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20" windowWidth="20115" windowHeight="7500"/>
  </bookViews>
  <sheets>
    <sheet name="Analitico de Ingresos por Rubro" sheetId="1" r:id="rId1"/>
    <sheet name="Fuente 1 NO BORRAR" sheetId="2" state="hidden" r:id="rId2"/>
    <sheet name="BExRepositorySheet" sheetId="4" state="veryHidden" r:id="rId3"/>
    <sheet name="Fuente 2 NO BORRAR" sheetId="3" state="hidden" r:id="rId4"/>
  </sheets>
  <externalReferences>
    <externalReference r:id="rId5"/>
  </externalReferences>
  <definedNames>
    <definedName name="_xlnm.Print_Area" localSheetId="0">'Analitico de Ingresos por Rubro'!$A$2:$L$46</definedName>
  </definedNames>
  <calcPr calcId="144525"/>
</workbook>
</file>

<file path=xl/calcChain.xml><?xml version="1.0" encoding="utf-8"?>
<calcChain xmlns="http://schemas.openxmlformats.org/spreadsheetml/2006/main">
  <c r="H26" i="3" l="1"/>
  <c r="G26" i="3"/>
  <c r="F26" i="3"/>
  <c r="E26" i="3"/>
  <c r="D26" i="3"/>
  <c r="C26" i="3"/>
  <c r="B26" i="3"/>
  <c r="H25" i="3"/>
  <c r="G25" i="3"/>
  <c r="F25" i="3"/>
  <c r="E25" i="3"/>
  <c r="D25" i="3"/>
  <c r="C25" i="3"/>
  <c r="B25" i="3"/>
  <c r="H24" i="3"/>
  <c r="G24" i="3"/>
  <c r="F24" i="3"/>
  <c r="E24" i="3"/>
  <c r="D24" i="3"/>
  <c r="C24" i="3"/>
  <c r="B24" i="3"/>
  <c r="H23" i="3"/>
  <c r="G23" i="3"/>
  <c r="F23" i="3"/>
  <c r="E23" i="3"/>
  <c r="D23" i="3"/>
  <c r="C23" i="3"/>
  <c r="B23" i="3"/>
  <c r="H22" i="3"/>
  <c r="G22" i="3"/>
  <c r="F22" i="3"/>
  <c r="E22" i="3"/>
  <c r="D22" i="3"/>
  <c r="C22" i="3"/>
  <c r="B22" i="3"/>
  <c r="H21" i="3"/>
  <c r="G21" i="3"/>
  <c r="F21" i="3"/>
  <c r="E21" i="3"/>
  <c r="D21" i="3"/>
  <c r="C21" i="3"/>
  <c r="B21" i="3"/>
  <c r="H20" i="3"/>
  <c r="G20" i="3"/>
  <c r="F20" i="3"/>
  <c r="E20" i="3"/>
  <c r="D20" i="3"/>
  <c r="C20" i="3"/>
  <c r="B20" i="3"/>
  <c r="H19" i="3"/>
  <c r="G19" i="3"/>
  <c r="F19" i="3"/>
  <c r="E19" i="3"/>
  <c r="D19" i="3"/>
  <c r="C19" i="3"/>
  <c r="B19" i="3"/>
  <c r="H18" i="3"/>
  <c r="G18" i="3"/>
  <c r="F18" i="3"/>
  <c r="E18" i="3"/>
  <c r="D18" i="3"/>
  <c r="C18" i="3"/>
  <c r="B18" i="3"/>
  <c r="H17" i="3"/>
  <c r="G17" i="3"/>
  <c r="F17" i="3"/>
  <c r="E17" i="3"/>
  <c r="D17" i="3"/>
  <c r="C17" i="3"/>
  <c r="B17" i="3"/>
  <c r="H16" i="3"/>
  <c r="G16" i="3"/>
  <c r="F16" i="3"/>
  <c r="E16" i="3"/>
  <c r="D16" i="3"/>
  <c r="C16" i="3"/>
  <c r="B16" i="3"/>
  <c r="H15" i="3"/>
  <c r="G15" i="3"/>
  <c r="F15" i="3"/>
  <c r="E15" i="3"/>
  <c r="D15" i="3"/>
  <c r="C15" i="3"/>
  <c r="B15" i="3"/>
  <c r="H14" i="3"/>
  <c r="G14" i="3"/>
  <c r="F14" i="3"/>
  <c r="E14" i="3"/>
  <c r="D14" i="3"/>
  <c r="C14" i="3"/>
  <c r="B14" i="3"/>
  <c r="H13" i="3"/>
  <c r="G13" i="3"/>
  <c r="F13" i="3"/>
  <c r="E13" i="3"/>
  <c r="D13" i="3"/>
  <c r="C13" i="3"/>
  <c r="B13" i="3"/>
  <c r="H12" i="3"/>
  <c r="G12" i="3"/>
  <c r="F12" i="3"/>
  <c r="E12" i="3"/>
  <c r="D12" i="3"/>
  <c r="C12" i="3"/>
  <c r="B12" i="3"/>
  <c r="H11" i="3"/>
  <c r="G11" i="3"/>
  <c r="F11" i="3"/>
  <c r="E11" i="3"/>
  <c r="D11" i="3"/>
  <c r="C11" i="3"/>
  <c r="B11" i="3"/>
  <c r="H10" i="3"/>
  <c r="G10" i="3"/>
  <c r="F10" i="3"/>
  <c r="E10" i="3"/>
  <c r="D10" i="3"/>
  <c r="C10" i="3"/>
  <c r="B10" i="3"/>
  <c r="H9" i="3"/>
  <c r="G9" i="3"/>
  <c r="F9" i="3"/>
  <c r="E9" i="3"/>
  <c r="D9" i="3"/>
  <c r="C9" i="3"/>
  <c r="B9" i="3"/>
  <c r="H8" i="3"/>
  <c r="G8" i="3"/>
  <c r="F8" i="3"/>
  <c r="E8" i="3"/>
  <c r="D8" i="3"/>
  <c r="C8" i="3"/>
  <c r="B8" i="3"/>
  <c r="H7" i="3"/>
  <c r="G7" i="3"/>
  <c r="F7" i="3"/>
  <c r="E7" i="3"/>
  <c r="D7" i="3"/>
  <c r="C7" i="3"/>
  <c r="B7" i="3"/>
  <c r="H6" i="3"/>
  <c r="G6" i="3"/>
  <c r="F6" i="3"/>
  <c r="E6" i="3"/>
  <c r="D6" i="3"/>
  <c r="C6" i="3"/>
  <c r="B6" i="3"/>
  <c r="H5" i="3"/>
  <c r="G5" i="3"/>
  <c r="F5" i="3"/>
  <c r="E5" i="3"/>
  <c r="D5" i="3"/>
  <c r="C5" i="3"/>
  <c r="B5" i="3"/>
  <c r="H4" i="3"/>
  <c r="G4" i="3"/>
  <c r="F4" i="3"/>
  <c r="E4" i="3"/>
  <c r="D4" i="3"/>
  <c r="C4" i="3"/>
  <c r="B4" i="3"/>
  <c r="H3" i="3"/>
  <c r="G3" i="3"/>
  <c r="F3" i="3"/>
  <c r="E3" i="3"/>
  <c r="D3" i="3"/>
  <c r="C3" i="3"/>
  <c r="B3" i="3"/>
  <c r="H2" i="3"/>
  <c r="G2" i="3"/>
  <c r="F2" i="3"/>
  <c r="E2" i="3"/>
  <c r="D2" i="3"/>
  <c r="C2" i="3"/>
  <c r="B2" i="3"/>
  <c r="B2" i="2"/>
  <c r="H11" i="2"/>
  <c r="G11" i="2"/>
  <c r="F11" i="2"/>
  <c r="E11" i="2"/>
  <c r="D11" i="2"/>
  <c r="C11" i="2"/>
  <c r="B11" i="2"/>
  <c r="H10" i="2"/>
  <c r="G10" i="2"/>
  <c r="F10" i="2"/>
  <c r="E10" i="2"/>
  <c r="D10" i="2"/>
  <c r="C10" i="2"/>
  <c r="B10" i="2"/>
  <c r="H9" i="2"/>
  <c r="G9" i="2"/>
  <c r="F9" i="2"/>
  <c r="E9" i="2"/>
  <c r="D9" i="2"/>
  <c r="C9" i="2"/>
  <c r="B9" i="2"/>
  <c r="H8" i="2"/>
  <c r="G8" i="2"/>
  <c r="F8" i="2"/>
  <c r="E8" i="2"/>
  <c r="D8" i="2"/>
  <c r="C8" i="2"/>
  <c r="B8" i="2"/>
  <c r="H7" i="2"/>
  <c r="G7" i="2"/>
  <c r="F7" i="2"/>
  <c r="E7" i="2"/>
  <c r="D7" i="2"/>
  <c r="C7" i="2"/>
  <c r="B7" i="2"/>
  <c r="H6" i="2"/>
  <c r="G6" i="2"/>
  <c r="F6" i="2"/>
  <c r="E6" i="2"/>
  <c r="D6" i="2"/>
  <c r="C6" i="2"/>
  <c r="B6" i="2"/>
  <c r="H5" i="2"/>
  <c r="G5" i="2"/>
  <c r="F5" i="2"/>
  <c r="E5" i="2"/>
  <c r="D5" i="2"/>
  <c r="C5" i="2"/>
  <c r="B5" i="2"/>
  <c r="H4" i="2"/>
  <c r="G4" i="2"/>
  <c r="F4" i="2"/>
  <c r="E4" i="2"/>
  <c r="D4" i="2"/>
  <c r="C4" i="2"/>
  <c r="B4" i="2"/>
  <c r="H3" i="2"/>
  <c r="G3" i="2"/>
  <c r="F3" i="2"/>
  <c r="E3" i="2"/>
  <c r="D3" i="2"/>
  <c r="C3" i="2"/>
  <c r="B3" i="2"/>
  <c r="H2" i="2"/>
  <c r="G2" i="2"/>
  <c r="F2" i="2"/>
  <c r="E2" i="2"/>
  <c r="D2" i="2"/>
  <c r="C2" i="2"/>
  <c r="K22" i="1"/>
  <c r="J22" i="1"/>
  <c r="H22" i="1"/>
  <c r="G22" i="1"/>
  <c r="K21" i="1"/>
  <c r="J21" i="1"/>
  <c r="L22" i="1" l="1"/>
  <c r="I22" i="1"/>
  <c r="H21" i="1"/>
  <c r="G21" i="1"/>
  <c r="K20" i="1"/>
  <c r="J20" i="1"/>
  <c r="L21" i="1" l="1"/>
  <c r="I21" i="1"/>
  <c r="H20" i="1"/>
  <c r="G20" i="1"/>
  <c r="K19" i="1"/>
  <c r="J19" i="1"/>
  <c r="L20" i="1" l="1"/>
  <c r="I20" i="1"/>
  <c r="H19" i="1"/>
  <c r="G19" i="1"/>
  <c r="K18" i="1"/>
  <c r="J18" i="1"/>
  <c r="L19" i="1" l="1"/>
  <c r="I19" i="1"/>
  <c r="H18" i="1"/>
  <c r="G18" i="1"/>
  <c r="K17" i="1"/>
  <c r="J17" i="1"/>
  <c r="L18" i="1" l="1"/>
  <c r="I18" i="1"/>
  <c r="H17" i="1"/>
  <c r="G17" i="1"/>
  <c r="K16" i="1"/>
  <c r="J16" i="1"/>
  <c r="L17" i="1" l="1"/>
  <c r="I17" i="1"/>
  <c r="H16" i="1"/>
  <c r="G16" i="1"/>
  <c r="K15" i="1"/>
  <c r="J15" i="1"/>
  <c r="L16" i="1" l="1"/>
  <c r="I16" i="1"/>
  <c r="H15" i="1"/>
  <c r="G15" i="1"/>
  <c r="K14" i="1"/>
  <c r="J14" i="1"/>
  <c r="L15" i="1" l="1"/>
  <c r="I15" i="1"/>
  <c r="H14" i="1"/>
  <c r="G14" i="1"/>
  <c r="K13" i="1"/>
  <c r="J13" i="1"/>
  <c r="L14" i="1" l="1"/>
  <c r="I14" i="1"/>
  <c r="H13" i="1"/>
  <c r="G13" i="1"/>
  <c r="K12" i="1"/>
  <c r="J12" i="1"/>
  <c r="L13" i="1" l="1"/>
  <c r="I13" i="1"/>
  <c r="H12" i="1"/>
  <c r="G12" i="1"/>
  <c r="K11" i="1"/>
  <c r="J11" i="1"/>
  <c r="L12" i="1" l="1"/>
  <c r="I12" i="1"/>
  <c r="H11" i="1"/>
  <c r="G11" i="1"/>
  <c r="K10" i="1"/>
  <c r="J10" i="1"/>
  <c r="L11" i="1" l="1"/>
  <c r="I11" i="1"/>
  <c r="H10" i="1"/>
  <c r="G10" i="1"/>
  <c r="K9" i="1"/>
  <c r="J9" i="1"/>
  <c r="J23" i="1" l="1"/>
  <c r="K23" i="1"/>
  <c r="L10" i="1"/>
  <c r="I10" i="1"/>
  <c r="H9" i="1"/>
  <c r="G9" i="1"/>
  <c r="G23" i="1" l="1"/>
  <c r="L9" i="1"/>
  <c r="L23" i="1" s="1"/>
  <c r="I9" i="1"/>
  <c r="I23" i="1" s="1"/>
  <c r="H23" i="1"/>
  <c r="G1" i="1"/>
  <c r="I1" i="1" s="1"/>
  <c r="A4" i="1" s="1"/>
  <c r="F1" i="1"/>
  <c r="H1" i="1" s="1"/>
</calcChain>
</file>

<file path=xl/sharedStrings.xml><?xml version="1.0" encoding="utf-8"?>
<sst xmlns="http://schemas.openxmlformats.org/spreadsheetml/2006/main" count="104" uniqueCount="90">
  <si>
    <t>Rubro de Ingresos</t>
  </si>
  <si>
    <t>CRI</t>
  </si>
  <si>
    <t>Ingreso</t>
  </si>
  <si>
    <t>Estimado</t>
  </si>
  <si>
    <t>Ampliaciones y 
Reducciones</t>
  </si>
  <si>
    <t>Modificado</t>
  </si>
  <si>
    <t>Devengado</t>
  </si>
  <si>
    <t>Recaudado</t>
  </si>
  <si>
    <t>Diferencia</t>
  </si>
  <si>
    <t>(1)</t>
  </si>
  <si>
    <t>(2)</t>
  </si>
  <si>
    <t>(3=1+2)</t>
  </si>
  <si>
    <t>(4)</t>
  </si>
  <si>
    <t>(5)</t>
  </si>
  <si>
    <t>Impuestos</t>
  </si>
  <si>
    <t>Cuotas y Aportaciones de Seguridad Social</t>
  </si>
  <si>
    <t>Contribuciones de Mejoras</t>
  </si>
  <si>
    <t>Derechos</t>
  </si>
  <si>
    <t>Productos</t>
  </si>
  <si>
    <t>Corriente</t>
  </si>
  <si>
    <t>Capital</t>
  </si>
  <si>
    <t>Aprovechamientos</t>
  </si>
  <si>
    <t>Ingresos por Ventas de Bienes y Servicios</t>
  </si>
  <si>
    <t>Participaciones y Aportaciones</t>
  </si>
  <si>
    <t>Transferencias, Asignaciones, Subsidios y Otras Ayudas</t>
  </si>
  <si>
    <t>Ingresos Derivados de Financiamientos</t>
  </si>
  <si>
    <t>Total</t>
  </si>
  <si>
    <r>
      <t xml:space="preserve">Ingresos excedentes </t>
    </r>
    <r>
      <rPr>
        <b/>
        <vertAlign val="superscript"/>
        <sz val="11"/>
        <color theme="1"/>
        <rFont val="Calibri"/>
        <family val="2"/>
      </rPr>
      <t>1</t>
    </r>
  </si>
  <si>
    <r>
      <rPr>
        <vertAlign val="superscript"/>
        <sz val="11"/>
        <color theme="1"/>
        <rFont val="Calibri"/>
        <family val="2"/>
      </rPr>
      <t>1</t>
    </r>
    <r>
      <rPr>
        <sz val="10"/>
        <rFont val="Arial"/>
        <family val="2"/>
      </rPr>
      <t xml:space="preserve"> Los ingresos excedentes se presentan para efectos de cumplimiento de la Ley General de Contabilidad Gubernamental y el importe reflejado debe ser siempre mayor a cero.</t>
    </r>
  </si>
  <si>
    <t>Estado Analítico de Ingresos por Rubro</t>
  </si>
  <si>
    <t>(6=1-5)</t>
  </si>
  <si>
    <t>Municipio de Oaxaca de Juarez</t>
  </si>
  <si>
    <t>-----------------------------------------------------------------------------</t>
  </si>
  <si>
    <t>SECRETARIO DE FINANZAS Y ADMINISTRACION</t>
  </si>
  <si>
    <t xml:space="preserve">             SINDICO PRIMERO</t>
  </si>
  <si>
    <t>-------------------------------------------------------------------------------</t>
  </si>
  <si>
    <t>------------------------------------------------------------</t>
  </si>
  <si>
    <t xml:space="preserve">   C.  CARLOS MELGOZA MARTIN DEL CAMPO</t>
  </si>
  <si>
    <t xml:space="preserve"> C. LEYESEF CARRERA CARRAZCO</t>
  </si>
  <si>
    <t xml:space="preserve">                        SINDICO SEGUNDO</t>
  </si>
  <si>
    <t xml:space="preserve">   -----------------------------------------------------------------------------</t>
  </si>
  <si>
    <t xml:space="preserve">     C. RODRIGO ELIGIO GONZALEZ ILLIESCAS</t>
  </si>
  <si>
    <t xml:space="preserve">               C. GRISEL VALENCIA SANCHEZ</t>
  </si>
  <si>
    <t>2016</t>
  </si>
  <si>
    <t>1..3</t>
  </si>
  <si>
    <t>02/05/2016</t>
  </si>
  <si>
    <t>Rubro</t>
  </si>
  <si>
    <t>Ley de 
Ingresos Estimada</t>
  </si>
  <si>
    <t>Ampliaciones</t>
  </si>
  <si>
    <t>(Reducciones)</t>
  </si>
  <si>
    <t>Avance de 
Recaudación</t>
  </si>
  <si>
    <t>0</t>
  </si>
  <si>
    <t>1</t>
  </si>
  <si>
    <t>3</t>
  </si>
  <si>
    <t>4</t>
  </si>
  <si>
    <t>5</t>
  </si>
  <si>
    <t>6</t>
  </si>
  <si>
    <t>7</t>
  </si>
  <si>
    <t>8</t>
  </si>
  <si>
    <t>9</t>
  </si>
  <si>
    <t>Resultado total</t>
  </si>
  <si>
    <t>Tipo CRI</t>
  </si>
  <si>
    <t>ENDEUDAMIENTO INTERNO</t>
  </si>
  <si>
    <t>IMPUESTOS SOBRE LOS INGRESOS</t>
  </si>
  <si>
    <t>IMPUESTOS SOBRE EL PATRIMONIO</t>
  </si>
  <si>
    <t>ACCESORIOS DE IMPUESTOS</t>
  </si>
  <si>
    <t>OTROS IMPUESTOS</t>
  </si>
  <si>
    <t>IMPUESTOS NO COMPRENDIDOS EN LAS FRACCIONES DE LA LEY DE ING</t>
  </si>
  <si>
    <t>CONTRIBUCION DE MEJORAS POR OBRAS PUBLICAS</t>
  </si>
  <si>
    <t>CONTRIBUCIONES DE MEJORAS NO COMPRENDIDAS EN LAS FRACCIONES</t>
  </si>
  <si>
    <t>DERECHOS POR EL USO, GOCE, APROVECHAMIENTOS O EXPLOTACION DE</t>
  </si>
  <si>
    <t>DERECHOS POR PRESTACION DE SERVICIOS</t>
  </si>
  <si>
    <t>OTROS DERECHOS</t>
  </si>
  <si>
    <t>ACCESORIOS DE DERECHOS</t>
  </si>
  <si>
    <t>DERECHOS NO COMPRENDIDOS EN LAS FRACCIONES DE LA LEY DEINGRE</t>
  </si>
  <si>
    <t>PRODUCTOS TIPO CORRIENTE</t>
  </si>
  <si>
    <t>PRODUCTOS DE CAPITAL</t>
  </si>
  <si>
    <t>PRODUCTOS NO COMPRENDIDOS EN LAS FRACCIONES DE LA LEY DE ING</t>
  </si>
  <si>
    <t>APROVECHAMIENTOS DE TIPO CORRIENTE</t>
  </si>
  <si>
    <t>APROVECHAMIENTOS DE CAPITAL</t>
  </si>
  <si>
    <t>APROVECHAMIENTOS NO COMPRENDIDOS EN LAS FRACCIONES DE LA LEY</t>
  </si>
  <si>
    <t>INGRESOS POR VENTAS DE BIENES Y SERVICIOS PRODUCIDOS EN ESTA</t>
  </si>
  <si>
    <t>PARTICIPACIONES</t>
  </si>
  <si>
    <t>APORTACIONES</t>
  </si>
  <si>
    <t>SUBSIDIOS Y SUBVENCIONES</t>
  </si>
  <si>
    <t>AYUDAS SOCIALES</t>
  </si>
  <si>
    <t>Elaborado el 31 de Marzo del 2016</t>
  </si>
  <si>
    <t>ENCARGADA DE DESPACHO DE LA PRESIDENCIA MUNICIPAL</t>
  </si>
  <si>
    <t>REGIDURIA DE HACIENDA MUNICIPAL</t>
  </si>
  <si>
    <t xml:space="preserve">     C. ROSA SILVIA GARCIA PINEDA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</si>
</sst>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#,##0\ %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0"/>
      <name val="Arial"/>
      <family val="2"/>
    </font>
    <font>
      <b/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2"/>
        <bgColor indexed="42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55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6">
    <xf numFmtId="0" fontId="0" fillId="0" borderId="0"/>
    <xf numFmtId="0" fontId="30" fillId="0" borderId="24" applyNumberFormat="0" applyFill="0" applyAlignment="0" applyProtection="0"/>
    <xf numFmtId="0" fontId="31" fillId="0" borderId="25" applyNumberFormat="0" applyFill="0" applyAlignment="0" applyProtection="0"/>
    <xf numFmtId="0" fontId="13" fillId="0" borderId="26" applyNumberFormat="0" applyFill="0" applyAlignment="0" applyProtection="0"/>
    <xf numFmtId="0" fontId="13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5" fillId="6" borderId="0" applyNumberFormat="0" applyBorder="0" applyAlignment="0" applyProtection="0"/>
    <xf numFmtId="0" fontId="16" fillId="5" borderId="0" applyNumberFormat="0" applyBorder="0" applyAlignment="0" applyProtection="0"/>
    <xf numFmtId="0" fontId="14" fillId="5" borderId="17" applyNumberFormat="0" applyAlignment="0" applyProtection="0"/>
    <xf numFmtId="0" fontId="18" fillId="3" borderId="21" applyNumberFormat="0" applyAlignment="0" applyProtection="0"/>
    <xf numFmtId="0" fontId="10" fillId="3" borderId="17" applyNumberFormat="0" applyAlignment="0" applyProtection="0"/>
    <xf numFmtId="0" fontId="12" fillId="0" borderId="19" applyNumberFormat="0" applyFill="0" applyAlignment="0" applyProtection="0"/>
    <xf numFmtId="0" fontId="11" fillId="4" borderId="18" applyNumberFormat="0" applyAlignment="0" applyProtection="0"/>
    <xf numFmtId="0" fontId="28" fillId="0" borderId="0" applyNumberFormat="0" applyFill="0" applyBorder="0" applyAlignment="0" applyProtection="0"/>
    <xf numFmtId="0" fontId="17" fillId="7" borderId="20" applyNumberFormat="0" applyFont="0" applyAlignment="0" applyProtection="0"/>
    <xf numFmtId="0" fontId="29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3" fillId="0" borderId="0"/>
    <xf numFmtId="4" fontId="19" fillId="8" borderId="22" applyNumberFormat="0" applyProtection="0">
      <alignment vertical="center"/>
    </xf>
    <xf numFmtId="4" fontId="20" fillId="8" borderId="22" applyNumberFormat="0" applyProtection="0">
      <alignment vertical="center"/>
    </xf>
    <xf numFmtId="4" fontId="19" fillId="8" borderId="22" applyNumberFormat="0" applyProtection="0">
      <alignment horizontal="left" vertical="center" indent="1"/>
    </xf>
    <xf numFmtId="0" fontId="19" fillId="8" borderId="22" applyNumberFormat="0" applyProtection="0">
      <alignment horizontal="left" vertical="top" indent="1"/>
    </xf>
    <xf numFmtId="4" fontId="19" fillId="9" borderId="0" applyNumberFormat="0" applyProtection="0">
      <alignment horizontal="left" vertical="center" indent="1"/>
    </xf>
    <xf numFmtId="4" fontId="21" fillId="10" borderId="22" applyNumberFormat="0" applyProtection="0">
      <alignment horizontal="right" vertical="center"/>
    </xf>
    <xf numFmtId="4" fontId="21" fillId="11" borderId="22" applyNumberFormat="0" applyProtection="0">
      <alignment horizontal="right" vertical="center"/>
    </xf>
    <xf numFmtId="4" fontId="21" fillId="12" borderId="22" applyNumberFormat="0" applyProtection="0">
      <alignment horizontal="right" vertical="center"/>
    </xf>
    <xf numFmtId="4" fontId="21" fillId="13" borderId="22" applyNumberFormat="0" applyProtection="0">
      <alignment horizontal="right" vertical="center"/>
    </xf>
    <xf numFmtId="4" fontId="21" fillId="14" borderId="22" applyNumberFormat="0" applyProtection="0">
      <alignment horizontal="right" vertical="center"/>
    </xf>
    <xf numFmtId="4" fontId="21" fillId="15" borderId="22" applyNumberFormat="0" applyProtection="0">
      <alignment horizontal="right" vertical="center"/>
    </xf>
    <xf numFmtId="4" fontId="21" fillId="16" borderId="22" applyNumberFormat="0" applyProtection="0">
      <alignment horizontal="right" vertical="center"/>
    </xf>
    <xf numFmtId="4" fontId="21" fillId="17" borderId="22" applyNumberFormat="0" applyProtection="0">
      <alignment horizontal="right" vertical="center"/>
    </xf>
    <xf numFmtId="4" fontId="21" fillId="18" borderId="22" applyNumberFormat="0" applyProtection="0">
      <alignment horizontal="right" vertical="center"/>
    </xf>
    <xf numFmtId="4" fontId="19" fillId="19" borderId="23" applyNumberFormat="0" applyProtection="0">
      <alignment horizontal="left" vertical="center" indent="1"/>
    </xf>
    <xf numFmtId="4" fontId="21" fillId="20" borderId="0" applyNumberFormat="0" applyProtection="0">
      <alignment horizontal="left" vertical="center" indent="1"/>
    </xf>
    <xf numFmtId="4" fontId="22" fillId="21" borderId="0" applyNumberFormat="0" applyProtection="0">
      <alignment horizontal="left" vertical="center" indent="1"/>
    </xf>
    <xf numFmtId="4" fontId="21" fillId="9" borderId="22" applyNumberFormat="0" applyProtection="0">
      <alignment horizontal="right" vertical="center"/>
    </xf>
    <xf numFmtId="4" fontId="23" fillId="20" borderId="0" applyNumberFormat="0" applyProtection="0">
      <alignment horizontal="left" vertical="center" indent="1"/>
    </xf>
    <xf numFmtId="4" fontId="23" fillId="9" borderId="0" applyNumberFormat="0" applyProtection="0">
      <alignment horizontal="left" vertical="center" indent="1"/>
    </xf>
    <xf numFmtId="0" fontId="17" fillId="21" borderId="22" applyNumberFormat="0" applyProtection="0">
      <alignment horizontal="left" vertical="center" indent="1"/>
    </xf>
    <xf numFmtId="0" fontId="17" fillId="21" borderId="22" applyNumberFormat="0" applyProtection="0">
      <alignment horizontal="left" vertical="top" indent="1"/>
    </xf>
    <xf numFmtId="0" fontId="17" fillId="9" borderId="22" applyNumberFormat="0" applyProtection="0">
      <alignment horizontal="left" vertical="center" indent="1"/>
    </xf>
    <xf numFmtId="0" fontId="17" fillId="9" borderId="22" applyNumberFormat="0" applyProtection="0">
      <alignment horizontal="left" vertical="top" indent="1"/>
    </xf>
    <xf numFmtId="0" fontId="17" fillId="22" borderId="22" applyNumberFormat="0" applyProtection="0">
      <alignment horizontal="left" vertical="center" indent="1"/>
    </xf>
    <xf numFmtId="0" fontId="17" fillId="22" borderId="22" applyNumberFormat="0" applyProtection="0">
      <alignment horizontal="left" vertical="top" indent="1"/>
    </xf>
    <xf numFmtId="0" fontId="17" fillId="20" borderId="22" applyNumberFormat="0" applyProtection="0">
      <alignment horizontal="left" vertical="center" indent="1"/>
    </xf>
    <xf numFmtId="0" fontId="17" fillId="20" borderId="22" applyNumberFormat="0" applyProtection="0">
      <alignment horizontal="left" vertical="top" indent="1"/>
    </xf>
    <xf numFmtId="0" fontId="17" fillId="23" borderId="16" applyNumberFormat="0">
      <protection locked="0"/>
    </xf>
    <xf numFmtId="4" fontId="21" fillId="24" borderId="22" applyNumberFormat="0" applyProtection="0">
      <alignment vertical="center"/>
    </xf>
    <xf numFmtId="4" fontId="24" fillId="24" borderId="22" applyNumberFormat="0" applyProtection="0">
      <alignment vertical="center"/>
    </xf>
    <xf numFmtId="4" fontId="21" fillId="24" borderId="22" applyNumberFormat="0" applyProtection="0">
      <alignment horizontal="left" vertical="center" indent="1"/>
    </xf>
    <xf numFmtId="0" fontId="21" fillId="24" borderId="22" applyNumberFormat="0" applyProtection="0">
      <alignment horizontal="left" vertical="top" indent="1"/>
    </xf>
    <xf numFmtId="4" fontId="21" fillId="20" borderId="22" applyNumberFormat="0" applyProtection="0">
      <alignment horizontal="right" vertical="center"/>
    </xf>
    <xf numFmtId="4" fontId="24" fillId="20" borderId="22" applyNumberFormat="0" applyProtection="0">
      <alignment horizontal="right" vertical="center"/>
    </xf>
    <xf numFmtId="4" fontId="21" fillId="9" borderId="22" applyNumberFormat="0" applyProtection="0">
      <alignment horizontal="left" vertical="center" indent="1"/>
    </xf>
    <xf numFmtId="0" fontId="21" fillId="9" borderId="22" applyNumberFormat="0" applyProtection="0">
      <alignment horizontal="left" vertical="top" indent="1"/>
    </xf>
    <xf numFmtId="4" fontId="25" fillId="25" borderId="0" applyNumberFormat="0" applyProtection="0">
      <alignment horizontal="left" vertical="center" indent="1"/>
    </xf>
    <xf numFmtId="4" fontId="26" fillId="20" borderId="22" applyNumberFormat="0" applyProtection="0">
      <alignment horizontal="right" vertical="center"/>
    </xf>
    <xf numFmtId="0" fontId="2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37" fillId="49" borderId="0" applyNumberFormat="0" applyBorder="0" applyAlignment="0" applyProtection="0"/>
    <xf numFmtId="0" fontId="17" fillId="0" borderId="0"/>
    <xf numFmtId="4" fontId="21" fillId="20" borderId="0" applyNumberFormat="0" applyProtection="0">
      <alignment horizontal="left" vertical="center" indent="1"/>
    </xf>
    <xf numFmtId="4" fontId="21" fillId="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 applyNumberFormat="0" applyFill="0" applyBorder="0" applyAlignment="0" applyProtection="0"/>
    <xf numFmtId="0" fontId="40" fillId="0" borderId="28" applyNumberFormat="0" applyFill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2" fillId="0" borderId="0" applyNumberFormat="0" applyFill="0" applyBorder="0" applyAlignment="0" applyProtection="0"/>
    <xf numFmtId="0" fontId="43" fillId="50" borderId="0" applyNumberFormat="0" applyBorder="0" applyAlignment="0" applyProtection="0"/>
    <xf numFmtId="0" fontId="44" fillId="51" borderId="0" applyNumberFormat="0" applyBorder="0" applyAlignment="0" applyProtection="0"/>
    <xf numFmtId="0" fontId="45" fillId="52" borderId="0" applyNumberFormat="0" applyBorder="0" applyAlignment="0" applyProtection="0"/>
    <xf numFmtId="0" fontId="46" fillId="53" borderId="31" applyNumberFormat="0" applyAlignment="0" applyProtection="0"/>
    <xf numFmtId="0" fontId="47" fillId="54" borderId="32" applyNumberFormat="0" applyAlignment="0" applyProtection="0"/>
    <xf numFmtId="0" fontId="48" fillId="54" borderId="31" applyNumberFormat="0" applyAlignment="0" applyProtection="0"/>
    <xf numFmtId="0" fontId="49" fillId="0" borderId="33" applyNumberFormat="0" applyFill="0" applyAlignment="0" applyProtection="0"/>
    <xf numFmtId="0" fontId="50" fillId="55" borderId="34" applyNumberFormat="0" applyAlignment="0" applyProtection="0"/>
    <xf numFmtId="0" fontId="4" fillId="0" borderId="0" applyNumberFormat="0" applyFill="0" applyBorder="0" applyAlignment="0" applyProtection="0"/>
    <xf numFmtId="0" fontId="2" fillId="56" borderId="35" applyNumberFormat="0" applyFont="0" applyAlignment="0" applyProtection="0"/>
    <xf numFmtId="0" fontId="51" fillId="0" borderId="0" applyNumberFormat="0" applyFill="0" applyBorder="0" applyAlignment="0" applyProtection="0"/>
    <xf numFmtId="0" fontId="5" fillId="0" borderId="36" applyNumberFormat="0" applyFill="0" applyAlignment="0" applyProtection="0"/>
    <xf numFmtId="0" fontId="2" fillId="0" borderId="0"/>
    <xf numFmtId="0" fontId="2" fillId="56" borderId="35" applyNumberFormat="0" applyFont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17" fillId="0" borderId="0"/>
    <xf numFmtId="0" fontId="30" fillId="0" borderId="24" applyNumberFormat="0" applyFill="0" applyAlignment="0" applyProtection="0"/>
    <xf numFmtId="0" fontId="31" fillId="0" borderId="25" applyNumberFormat="0" applyFill="0" applyAlignment="0" applyProtection="0"/>
    <xf numFmtId="0" fontId="13" fillId="0" borderId="26" applyNumberFormat="0" applyFill="0" applyAlignment="0" applyProtection="0"/>
    <xf numFmtId="0" fontId="13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5" fillId="6" borderId="0" applyNumberFormat="0" applyBorder="0" applyAlignment="0" applyProtection="0"/>
    <xf numFmtId="0" fontId="16" fillId="5" borderId="0" applyNumberFormat="0" applyBorder="0" applyAlignment="0" applyProtection="0"/>
    <xf numFmtId="0" fontId="14" fillId="5" borderId="17" applyNumberFormat="0" applyAlignment="0" applyProtection="0"/>
    <xf numFmtId="0" fontId="18" fillId="3" borderId="21" applyNumberFormat="0" applyAlignment="0" applyProtection="0"/>
    <xf numFmtId="0" fontId="10" fillId="3" borderId="17" applyNumberFormat="0" applyAlignment="0" applyProtection="0"/>
    <xf numFmtId="0" fontId="12" fillId="0" borderId="19" applyNumberFormat="0" applyFill="0" applyAlignment="0" applyProtection="0"/>
    <xf numFmtId="0" fontId="11" fillId="4" borderId="18" applyNumberFormat="0" applyAlignment="0" applyProtection="0"/>
    <xf numFmtId="0" fontId="28" fillId="0" borderId="0" applyNumberFormat="0" applyFill="0" applyBorder="0" applyAlignment="0" applyProtection="0"/>
    <xf numFmtId="0" fontId="17" fillId="7" borderId="20" applyNumberFormat="0" applyFont="0" applyAlignment="0" applyProtection="0"/>
    <xf numFmtId="0" fontId="29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56" borderId="35" applyNumberFormat="0" applyFont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56" borderId="35" applyNumberFormat="0" applyFont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56" borderId="35" applyNumberFormat="0" applyFont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6" borderId="3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56" borderId="35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35" applyNumberFormat="0" applyFont="0" applyAlignment="0" applyProtection="0"/>
    <xf numFmtId="0" fontId="1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/>
    <xf numFmtId="0" fontId="0" fillId="0" borderId="5" xfId="0" applyBorder="1"/>
    <xf numFmtId="0" fontId="0" fillId="0" borderId="0" xfId="0" applyBorder="1"/>
    <xf numFmtId="0" fontId="5" fillId="0" borderId="10" xfId="0" applyFont="1" applyBorder="1"/>
    <xf numFmtId="0" fontId="5" fillId="0" borderId="11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8" fillId="0" borderId="11" xfId="0" applyFont="1" applyBorder="1" applyAlignment="1">
      <alignment horizontal="center"/>
    </xf>
    <xf numFmtId="164" fontId="0" fillId="0" borderId="14" xfId="0" applyNumberFormat="1" applyBorder="1"/>
    <xf numFmtId="164" fontId="5" fillId="0" borderId="1" xfId="0" applyNumberFormat="1" applyFont="1" applyBorder="1"/>
    <xf numFmtId="164" fontId="0" fillId="0" borderId="6" xfId="0" applyNumberFormat="1" applyBorder="1"/>
    <xf numFmtId="0" fontId="35" fillId="0" borderId="0" xfId="0" quotePrefix="1" applyFont="1" applyAlignment="1"/>
    <xf numFmtId="0" fontId="35" fillId="0" borderId="0" xfId="0" applyFont="1"/>
    <xf numFmtId="0" fontId="38" fillId="0" borderId="0" xfId="121" quotePrefix="1" applyFont="1" applyBorder="1"/>
    <xf numFmtId="4" fontId="38" fillId="0" borderId="0" xfId="121" quotePrefix="1" applyNumberFormat="1" applyFont="1" applyBorder="1"/>
    <xf numFmtId="0" fontId="5" fillId="0" borderId="4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 wrapText="1"/>
    </xf>
    <xf numFmtId="0" fontId="5" fillId="0" borderId="11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49" fontId="0" fillId="0" borderId="13" xfId="0" applyNumberFormat="1" applyFill="1" applyBorder="1" applyAlignment="1">
      <alignment horizontal="center"/>
    </xf>
    <xf numFmtId="49" fontId="0" fillId="0" borderId="8" xfId="0" applyNumberFormat="1" applyFill="1" applyBorder="1" applyAlignment="1">
      <alignment horizontal="center"/>
    </xf>
    <xf numFmtId="49" fontId="17" fillId="0" borderId="9" xfId="0" applyNumberFormat="1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5" fillId="0" borderId="7" xfId="0" applyFont="1" applyFill="1" applyBorder="1" applyAlignment="1">
      <alignment horizontal="center" vertical="top"/>
    </xf>
    <xf numFmtId="0" fontId="5" fillId="0" borderId="8" xfId="0" applyFont="1" applyFill="1" applyBorder="1" applyAlignment="1">
      <alignment horizontal="center" vertical="top"/>
    </xf>
    <xf numFmtId="0" fontId="5" fillId="0" borderId="9" xfId="0" applyFont="1" applyFill="1" applyBorder="1" applyAlignment="1">
      <alignment horizontal="center" vertical="top"/>
    </xf>
    <xf numFmtId="0" fontId="5" fillId="0" borderId="10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164" fontId="5" fillId="0" borderId="15" xfId="0" applyNumberFormat="1" applyFont="1" applyBorder="1" applyAlignment="1">
      <alignment horizontal="right"/>
    </xf>
    <xf numFmtId="164" fontId="5" fillId="0" borderId="13" xfId="0" applyNumberFormat="1" applyFont="1" applyBorder="1" applyAlignment="1">
      <alignment horizontal="right"/>
    </xf>
    <xf numFmtId="0" fontId="34" fillId="0" borderId="2" xfId="0" applyFont="1" applyFill="1" applyBorder="1" applyAlignment="1">
      <alignment horizontal="center"/>
    </xf>
    <xf numFmtId="0" fontId="34" fillId="0" borderId="3" xfId="0" applyFont="1" applyFill="1" applyBorder="1" applyAlignment="1">
      <alignment horizontal="center"/>
    </xf>
    <xf numFmtId="0" fontId="34" fillId="0" borderId="4" xfId="0" applyFont="1" applyFill="1" applyBorder="1" applyAlignment="1">
      <alignment horizontal="center"/>
    </xf>
    <xf numFmtId="0" fontId="33" fillId="0" borderId="5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21" fillId="9" borderId="22" xfId="53" quotePrefix="1" applyNumberFormat="1">
      <alignment horizontal="left" vertical="center" indent="1"/>
    </xf>
    <xf numFmtId="4" fontId="21" fillId="20" borderId="22" xfId="51" applyNumberFormat="1">
      <alignment horizontal="right" vertical="center"/>
    </xf>
    <xf numFmtId="3" fontId="21" fillId="20" borderId="22" xfId="51" applyNumberFormat="1">
      <alignment horizontal="right" vertical="center"/>
    </xf>
    <xf numFmtId="165" fontId="21" fillId="20" borderId="22" xfId="51" applyNumberFormat="1">
      <alignment horizontal="right" vertical="center"/>
    </xf>
    <xf numFmtId="0" fontId="19" fillId="8" borderId="22" xfId="20" quotePrefix="1" applyNumberFormat="1">
      <alignment horizontal="left" vertical="center" indent="1"/>
    </xf>
    <xf numFmtId="4" fontId="19" fillId="8" borderId="22" xfId="18" applyNumberFormat="1">
      <alignment vertical="center"/>
    </xf>
    <xf numFmtId="3" fontId="19" fillId="8" borderId="22" xfId="18" applyNumberFormat="1">
      <alignment vertical="center"/>
    </xf>
    <xf numFmtId="165" fontId="19" fillId="8" borderId="22" xfId="18" applyNumberFormat="1">
      <alignment vertical="center"/>
    </xf>
    <xf numFmtId="0" fontId="19" fillId="9" borderId="0" xfId="22" quotePrefix="1" applyNumberFormat="1" applyAlignment="1">
      <alignment horizontal="left" vertical="center" indent="1"/>
    </xf>
    <xf numFmtId="0" fontId="21" fillId="9" borderId="22" xfId="53" quotePrefix="1" applyNumberFormat="1" applyAlignment="1">
      <alignment horizontal="left" vertical="center" wrapText="1" indent="1"/>
    </xf>
    <xf numFmtId="0" fontId="38" fillId="0" borderId="0" xfId="83" applyFont="1" applyBorder="1"/>
    <xf numFmtId="0" fontId="17" fillId="0" borderId="0" xfId="0" applyFont="1"/>
    <xf numFmtId="0" fontId="38" fillId="0" borderId="0" xfId="121" applyFont="1" applyBorder="1"/>
    <xf numFmtId="4" fontId="38" fillId="0" borderId="0" xfId="121" applyNumberFormat="1" applyFont="1" applyBorder="1"/>
    <xf numFmtId="0" fontId="38" fillId="0" borderId="0" xfId="121" applyFont="1" applyBorder="1" applyAlignment="1">
      <alignment horizontal="left"/>
    </xf>
  </cellXfs>
  <cellStyles count="596">
    <cellStyle name="20% - Énfasis1" xfId="60" builtinId="30" customBuiltin="1"/>
    <cellStyle name="20% - Énfasis1 2" xfId="109"/>
    <cellStyle name="20% - Énfasis1 2 2" xfId="169"/>
    <cellStyle name="20% - Énfasis1 2 2 2" xfId="251"/>
    <cellStyle name="20% - Énfasis1 2 2 2 2" xfId="577"/>
    <cellStyle name="20% - Énfasis1 2 2 2 3" xfId="414"/>
    <cellStyle name="20% - Énfasis1 2 2 3" xfId="496"/>
    <cellStyle name="20% - Énfasis1 2 2 4" xfId="333"/>
    <cellStyle name="20% - Énfasis1 2 3" xfId="208"/>
    <cellStyle name="20% - Énfasis1 2 3 2" xfId="534"/>
    <cellStyle name="20% - Énfasis1 2 3 3" xfId="371"/>
    <cellStyle name="20% - Énfasis1 2 4" xfId="453"/>
    <cellStyle name="20% - Énfasis1 2 5" xfId="290"/>
    <cellStyle name="20% - Énfasis1 3" xfId="151"/>
    <cellStyle name="20% - Énfasis1 3 2" xfId="233"/>
    <cellStyle name="20% - Énfasis1 3 2 2" xfId="559"/>
    <cellStyle name="20% - Énfasis1 3 2 3" xfId="396"/>
    <cellStyle name="20% - Énfasis1 3 3" xfId="478"/>
    <cellStyle name="20% - Énfasis1 3 4" xfId="315"/>
    <cellStyle name="20% - Énfasis1 4" xfId="190"/>
    <cellStyle name="20% - Énfasis1 4 2" xfId="516"/>
    <cellStyle name="20% - Énfasis1 4 3" xfId="353"/>
    <cellStyle name="20% - Énfasis1 5" xfId="434"/>
    <cellStyle name="20% - Énfasis1 6" xfId="271"/>
    <cellStyle name="20% - Énfasis2" xfId="64" builtinId="34" customBuiltin="1"/>
    <cellStyle name="20% - Énfasis2 2" xfId="111"/>
    <cellStyle name="20% - Énfasis2 2 2" xfId="171"/>
    <cellStyle name="20% - Énfasis2 2 2 2" xfId="253"/>
    <cellStyle name="20% - Énfasis2 2 2 2 2" xfId="579"/>
    <cellStyle name="20% - Énfasis2 2 2 2 3" xfId="416"/>
    <cellStyle name="20% - Énfasis2 2 2 3" xfId="498"/>
    <cellStyle name="20% - Énfasis2 2 2 4" xfId="335"/>
    <cellStyle name="20% - Énfasis2 2 3" xfId="210"/>
    <cellStyle name="20% - Énfasis2 2 3 2" xfId="536"/>
    <cellStyle name="20% - Énfasis2 2 3 3" xfId="373"/>
    <cellStyle name="20% - Énfasis2 2 4" xfId="455"/>
    <cellStyle name="20% - Énfasis2 2 5" xfId="292"/>
    <cellStyle name="20% - Énfasis2 3" xfId="153"/>
    <cellStyle name="20% - Énfasis2 3 2" xfId="235"/>
    <cellStyle name="20% - Énfasis2 3 2 2" xfId="561"/>
    <cellStyle name="20% - Énfasis2 3 2 3" xfId="398"/>
    <cellStyle name="20% - Énfasis2 3 3" xfId="480"/>
    <cellStyle name="20% - Énfasis2 3 4" xfId="317"/>
    <cellStyle name="20% - Énfasis2 4" xfId="192"/>
    <cellStyle name="20% - Énfasis2 4 2" xfId="518"/>
    <cellStyle name="20% - Énfasis2 4 3" xfId="355"/>
    <cellStyle name="20% - Énfasis2 5" xfId="436"/>
    <cellStyle name="20% - Énfasis2 6" xfId="273"/>
    <cellStyle name="20% - Énfasis3" xfId="68" builtinId="38" customBuiltin="1"/>
    <cellStyle name="20% - Énfasis3 2" xfId="113"/>
    <cellStyle name="20% - Énfasis3 2 2" xfId="173"/>
    <cellStyle name="20% - Énfasis3 2 2 2" xfId="255"/>
    <cellStyle name="20% - Énfasis3 2 2 2 2" xfId="581"/>
    <cellStyle name="20% - Énfasis3 2 2 2 3" xfId="418"/>
    <cellStyle name="20% - Énfasis3 2 2 3" xfId="500"/>
    <cellStyle name="20% - Énfasis3 2 2 4" xfId="337"/>
    <cellStyle name="20% - Énfasis3 2 3" xfId="212"/>
    <cellStyle name="20% - Énfasis3 2 3 2" xfId="538"/>
    <cellStyle name="20% - Énfasis3 2 3 3" xfId="375"/>
    <cellStyle name="20% - Énfasis3 2 4" xfId="457"/>
    <cellStyle name="20% - Énfasis3 2 5" xfId="294"/>
    <cellStyle name="20% - Énfasis3 3" xfId="155"/>
    <cellStyle name="20% - Énfasis3 3 2" xfId="237"/>
    <cellStyle name="20% - Énfasis3 3 2 2" xfId="563"/>
    <cellStyle name="20% - Énfasis3 3 2 3" xfId="400"/>
    <cellStyle name="20% - Énfasis3 3 3" xfId="482"/>
    <cellStyle name="20% - Énfasis3 3 4" xfId="319"/>
    <cellStyle name="20% - Énfasis3 4" xfId="194"/>
    <cellStyle name="20% - Énfasis3 4 2" xfId="520"/>
    <cellStyle name="20% - Énfasis3 4 3" xfId="357"/>
    <cellStyle name="20% - Énfasis3 5" xfId="438"/>
    <cellStyle name="20% - Énfasis3 6" xfId="275"/>
    <cellStyle name="20% - Énfasis4" xfId="72" builtinId="42" customBuiltin="1"/>
    <cellStyle name="20% - Énfasis4 2" xfId="115"/>
    <cellStyle name="20% - Énfasis4 2 2" xfId="175"/>
    <cellStyle name="20% - Énfasis4 2 2 2" xfId="257"/>
    <cellStyle name="20% - Énfasis4 2 2 2 2" xfId="583"/>
    <cellStyle name="20% - Énfasis4 2 2 2 3" xfId="420"/>
    <cellStyle name="20% - Énfasis4 2 2 3" xfId="502"/>
    <cellStyle name="20% - Énfasis4 2 2 4" xfId="339"/>
    <cellStyle name="20% - Énfasis4 2 3" xfId="214"/>
    <cellStyle name="20% - Énfasis4 2 3 2" xfId="540"/>
    <cellStyle name="20% - Énfasis4 2 3 3" xfId="377"/>
    <cellStyle name="20% - Énfasis4 2 4" xfId="459"/>
    <cellStyle name="20% - Énfasis4 2 5" xfId="296"/>
    <cellStyle name="20% - Énfasis4 3" xfId="157"/>
    <cellStyle name="20% - Énfasis4 3 2" xfId="239"/>
    <cellStyle name="20% - Énfasis4 3 2 2" xfId="565"/>
    <cellStyle name="20% - Énfasis4 3 2 3" xfId="402"/>
    <cellStyle name="20% - Énfasis4 3 3" xfId="484"/>
    <cellStyle name="20% - Énfasis4 3 4" xfId="321"/>
    <cellStyle name="20% - Énfasis4 4" xfId="196"/>
    <cellStyle name="20% - Énfasis4 4 2" xfId="522"/>
    <cellStyle name="20% - Énfasis4 4 3" xfId="359"/>
    <cellStyle name="20% - Énfasis4 5" xfId="440"/>
    <cellStyle name="20% - Énfasis4 6" xfId="277"/>
    <cellStyle name="20% - Énfasis5" xfId="76" builtinId="46" customBuiltin="1"/>
    <cellStyle name="20% - Énfasis5 2" xfId="117"/>
    <cellStyle name="20% - Énfasis5 2 2" xfId="177"/>
    <cellStyle name="20% - Énfasis5 2 2 2" xfId="259"/>
    <cellStyle name="20% - Énfasis5 2 2 2 2" xfId="585"/>
    <cellStyle name="20% - Énfasis5 2 2 2 3" xfId="422"/>
    <cellStyle name="20% - Énfasis5 2 2 3" xfId="504"/>
    <cellStyle name="20% - Énfasis5 2 2 4" xfId="341"/>
    <cellStyle name="20% - Énfasis5 2 3" xfId="216"/>
    <cellStyle name="20% - Énfasis5 2 3 2" xfId="542"/>
    <cellStyle name="20% - Énfasis5 2 3 3" xfId="379"/>
    <cellStyle name="20% - Énfasis5 2 4" xfId="461"/>
    <cellStyle name="20% - Énfasis5 2 5" xfId="298"/>
    <cellStyle name="20% - Énfasis5 3" xfId="159"/>
    <cellStyle name="20% - Énfasis5 3 2" xfId="241"/>
    <cellStyle name="20% - Énfasis5 3 2 2" xfId="567"/>
    <cellStyle name="20% - Énfasis5 3 2 3" xfId="404"/>
    <cellStyle name="20% - Énfasis5 3 3" xfId="486"/>
    <cellStyle name="20% - Énfasis5 3 4" xfId="323"/>
    <cellStyle name="20% - Énfasis5 4" xfId="198"/>
    <cellStyle name="20% - Énfasis5 4 2" xfId="524"/>
    <cellStyle name="20% - Énfasis5 4 3" xfId="361"/>
    <cellStyle name="20% - Énfasis5 5" xfId="442"/>
    <cellStyle name="20% - Énfasis5 6" xfId="279"/>
    <cellStyle name="20% - Énfasis6" xfId="80" builtinId="50" customBuiltin="1"/>
    <cellStyle name="20% - Énfasis6 2" xfId="119"/>
    <cellStyle name="20% - Énfasis6 2 2" xfId="179"/>
    <cellStyle name="20% - Énfasis6 2 2 2" xfId="261"/>
    <cellStyle name="20% - Énfasis6 2 2 2 2" xfId="587"/>
    <cellStyle name="20% - Énfasis6 2 2 2 3" xfId="424"/>
    <cellStyle name="20% - Énfasis6 2 2 3" xfId="506"/>
    <cellStyle name="20% - Énfasis6 2 2 4" xfId="343"/>
    <cellStyle name="20% - Énfasis6 2 3" xfId="218"/>
    <cellStyle name="20% - Énfasis6 2 3 2" xfId="544"/>
    <cellStyle name="20% - Énfasis6 2 3 3" xfId="381"/>
    <cellStyle name="20% - Énfasis6 2 4" xfId="463"/>
    <cellStyle name="20% - Énfasis6 2 5" xfId="300"/>
    <cellStyle name="20% - Énfasis6 3" xfId="161"/>
    <cellStyle name="20% - Énfasis6 3 2" xfId="243"/>
    <cellStyle name="20% - Énfasis6 3 2 2" xfId="569"/>
    <cellStyle name="20% - Énfasis6 3 2 3" xfId="406"/>
    <cellStyle name="20% - Énfasis6 3 3" xfId="488"/>
    <cellStyle name="20% - Énfasis6 3 4" xfId="325"/>
    <cellStyle name="20% - Énfasis6 4" xfId="200"/>
    <cellStyle name="20% - Énfasis6 4 2" xfId="526"/>
    <cellStyle name="20% - Énfasis6 4 3" xfId="363"/>
    <cellStyle name="20% - Énfasis6 5" xfId="444"/>
    <cellStyle name="20% - Énfasis6 6" xfId="281"/>
    <cellStyle name="40% - Énfasis1" xfId="61" builtinId="31" customBuiltin="1"/>
    <cellStyle name="40% - Énfasis1 2" xfId="110"/>
    <cellStyle name="40% - Énfasis1 2 2" xfId="170"/>
    <cellStyle name="40% - Énfasis1 2 2 2" xfId="252"/>
    <cellStyle name="40% - Énfasis1 2 2 2 2" xfId="578"/>
    <cellStyle name="40% - Énfasis1 2 2 2 3" xfId="415"/>
    <cellStyle name="40% - Énfasis1 2 2 3" xfId="497"/>
    <cellStyle name="40% - Énfasis1 2 2 4" xfId="334"/>
    <cellStyle name="40% - Énfasis1 2 3" xfId="209"/>
    <cellStyle name="40% - Énfasis1 2 3 2" xfId="535"/>
    <cellStyle name="40% - Énfasis1 2 3 3" xfId="372"/>
    <cellStyle name="40% - Énfasis1 2 4" xfId="454"/>
    <cellStyle name="40% - Énfasis1 2 5" xfId="291"/>
    <cellStyle name="40% - Énfasis1 3" xfId="152"/>
    <cellStyle name="40% - Énfasis1 3 2" xfId="234"/>
    <cellStyle name="40% - Énfasis1 3 2 2" xfId="560"/>
    <cellStyle name="40% - Énfasis1 3 2 3" xfId="397"/>
    <cellStyle name="40% - Énfasis1 3 3" xfId="479"/>
    <cellStyle name="40% - Énfasis1 3 4" xfId="316"/>
    <cellStyle name="40% - Énfasis1 4" xfId="191"/>
    <cellStyle name="40% - Énfasis1 4 2" xfId="517"/>
    <cellStyle name="40% - Énfasis1 4 3" xfId="354"/>
    <cellStyle name="40% - Énfasis1 5" xfId="435"/>
    <cellStyle name="40% - Énfasis1 6" xfId="272"/>
    <cellStyle name="40% - Énfasis2" xfId="65" builtinId="35" customBuiltin="1"/>
    <cellStyle name="40% - Énfasis2 2" xfId="112"/>
    <cellStyle name="40% - Énfasis2 2 2" xfId="172"/>
    <cellStyle name="40% - Énfasis2 2 2 2" xfId="254"/>
    <cellStyle name="40% - Énfasis2 2 2 2 2" xfId="580"/>
    <cellStyle name="40% - Énfasis2 2 2 2 3" xfId="417"/>
    <cellStyle name="40% - Énfasis2 2 2 3" xfId="499"/>
    <cellStyle name="40% - Énfasis2 2 2 4" xfId="336"/>
    <cellStyle name="40% - Énfasis2 2 3" xfId="211"/>
    <cellStyle name="40% - Énfasis2 2 3 2" xfId="537"/>
    <cellStyle name="40% - Énfasis2 2 3 3" xfId="374"/>
    <cellStyle name="40% - Énfasis2 2 4" xfId="456"/>
    <cellStyle name="40% - Énfasis2 2 5" xfId="293"/>
    <cellStyle name="40% - Énfasis2 3" xfId="154"/>
    <cellStyle name="40% - Énfasis2 3 2" xfId="236"/>
    <cellStyle name="40% - Énfasis2 3 2 2" xfId="562"/>
    <cellStyle name="40% - Énfasis2 3 2 3" xfId="399"/>
    <cellStyle name="40% - Énfasis2 3 3" xfId="481"/>
    <cellStyle name="40% - Énfasis2 3 4" xfId="318"/>
    <cellStyle name="40% - Énfasis2 4" xfId="193"/>
    <cellStyle name="40% - Énfasis2 4 2" xfId="519"/>
    <cellStyle name="40% - Énfasis2 4 3" xfId="356"/>
    <cellStyle name="40% - Énfasis2 5" xfId="437"/>
    <cellStyle name="40% - Énfasis2 6" xfId="274"/>
    <cellStyle name="40% - Énfasis3" xfId="69" builtinId="39" customBuiltin="1"/>
    <cellStyle name="40% - Énfasis3 2" xfId="114"/>
    <cellStyle name="40% - Énfasis3 2 2" xfId="174"/>
    <cellStyle name="40% - Énfasis3 2 2 2" xfId="256"/>
    <cellStyle name="40% - Énfasis3 2 2 2 2" xfId="582"/>
    <cellStyle name="40% - Énfasis3 2 2 2 3" xfId="419"/>
    <cellStyle name="40% - Énfasis3 2 2 3" xfId="501"/>
    <cellStyle name="40% - Énfasis3 2 2 4" xfId="338"/>
    <cellStyle name="40% - Énfasis3 2 3" xfId="213"/>
    <cellStyle name="40% - Énfasis3 2 3 2" xfId="539"/>
    <cellStyle name="40% - Énfasis3 2 3 3" xfId="376"/>
    <cellStyle name="40% - Énfasis3 2 4" xfId="458"/>
    <cellStyle name="40% - Énfasis3 2 5" xfId="295"/>
    <cellStyle name="40% - Énfasis3 3" xfId="156"/>
    <cellStyle name="40% - Énfasis3 3 2" xfId="238"/>
    <cellStyle name="40% - Énfasis3 3 2 2" xfId="564"/>
    <cellStyle name="40% - Énfasis3 3 2 3" xfId="401"/>
    <cellStyle name="40% - Énfasis3 3 3" xfId="483"/>
    <cellStyle name="40% - Énfasis3 3 4" xfId="320"/>
    <cellStyle name="40% - Énfasis3 4" xfId="195"/>
    <cellStyle name="40% - Énfasis3 4 2" xfId="521"/>
    <cellStyle name="40% - Énfasis3 4 3" xfId="358"/>
    <cellStyle name="40% - Énfasis3 5" xfId="439"/>
    <cellStyle name="40% - Énfasis3 6" xfId="276"/>
    <cellStyle name="40% - Énfasis4" xfId="73" builtinId="43" customBuiltin="1"/>
    <cellStyle name="40% - Énfasis4 2" xfId="116"/>
    <cellStyle name="40% - Énfasis4 2 2" xfId="176"/>
    <cellStyle name="40% - Énfasis4 2 2 2" xfId="258"/>
    <cellStyle name="40% - Énfasis4 2 2 2 2" xfId="584"/>
    <cellStyle name="40% - Énfasis4 2 2 2 3" xfId="421"/>
    <cellStyle name="40% - Énfasis4 2 2 3" xfId="503"/>
    <cellStyle name="40% - Énfasis4 2 2 4" xfId="340"/>
    <cellStyle name="40% - Énfasis4 2 3" xfId="215"/>
    <cellStyle name="40% - Énfasis4 2 3 2" xfId="541"/>
    <cellStyle name="40% - Énfasis4 2 3 3" xfId="378"/>
    <cellStyle name="40% - Énfasis4 2 4" xfId="460"/>
    <cellStyle name="40% - Énfasis4 2 5" xfId="297"/>
    <cellStyle name="40% - Énfasis4 3" xfId="158"/>
    <cellStyle name="40% - Énfasis4 3 2" xfId="240"/>
    <cellStyle name="40% - Énfasis4 3 2 2" xfId="566"/>
    <cellStyle name="40% - Énfasis4 3 2 3" xfId="403"/>
    <cellStyle name="40% - Énfasis4 3 3" xfId="485"/>
    <cellStyle name="40% - Énfasis4 3 4" xfId="322"/>
    <cellStyle name="40% - Énfasis4 4" xfId="197"/>
    <cellStyle name="40% - Énfasis4 4 2" xfId="523"/>
    <cellStyle name="40% - Énfasis4 4 3" xfId="360"/>
    <cellStyle name="40% - Énfasis4 5" xfId="441"/>
    <cellStyle name="40% - Énfasis4 6" xfId="278"/>
    <cellStyle name="40% - Énfasis5" xfId="77" builtinId="47" customBuiltin="1"/>
    <cellStyle name="40% - Énfasis5 2" xfId="118"/>
    <cellStyle name="40% - Énfasis5 2 2" xfId="178"/>
    <cellStyle name="40% - Énfasis5 2 2 2" xfId="260"/>
    <cellStyle name="40% - Énfasis5 2 2 2 2" xfId="586"/>
    <cellStyle name="40% - Énfasis5 2 2 2 3" xfId="423"/>
    <cellStyle name="40% - Énfasis5 2 2 3" xfId="505"/>
    <cellStyle name="40% - Énfasis5 2 2 4" xfId="342"/>
    <cellStyle name="40% - Énfasis5 2 3" xfId="217"/>
    <cellStyle name="40% - Énfasis5 2 3 2" xfId="543"/>
    <cellStyle name="40% - Énfasis5 2 3 3" xfId="380"/>
    <cellStyle name="40% - Énfasis5 2 4" xfId="462"/>
    <cellStyle name="40% - Énfasis5 2 5" xfId="299"/>
    <cellStyle name="40% - Énfasis5 3" xfId="160"/>
    <cellStyle name="40% - Énfasis5 3 2" xfId="242"/>
    <cellStyle name="40% - Énfasis5 3 2 2" xfId="568"/>
    <cellStyle name="40% - Énfasis5 3 2 3" xfId="405"/>
    <cellStyle name="40% - Énfasis5 3 3" xfId="487"/>
    <cellStyle name="40% - Énfasis5 3 4" xfId="324"/>
    <cellStyle name="40% - Énfasis5 4" xfId="199"/>
    <cellStyle name="40% - Énfasis5 4 2" xfId="525"/>
    <cellStyle name="40% - Énfasis5 4 3" xfId="362"/>
    <cellStyle name="40% - Énfasis5 5" xfId="443"/>
    <cellStyle name="40% - Énfasis5 6" xfId="280"/>
    <cellStyle name="40% - Énfasis6" xfId="81" builtinId="51" customBuiltin="1"/>
    <cellStyle name="40% - Énfasis6 2" xfId="120"/>
    <cellStyle name="40% - Énfasis6 2 2" xfId="180"/>
    <cellStyle name="40% - Énfasis6 2 2 2" xfId="262"/>
    <cellStyle name="40% - Énfasis6 2 2 2 2" xfId="588"/>
    <cellStyle name="40% - Énfasis6 2 2 2 3" xfId="425"/>
    <cellStyle name="40% - Énfasis6 2 2 3" xfId="507"/>
    <cellStyle name="40% - Énfasis6 2 2 4" xfId="344"/>
    <cellStyle name="40% - Énfasis6 2 3" xfId="219"/>
    <cellStyle name="40% - Énfasis6 2 3 2" xfId="545"/>
    <cellStyle name="40% - Énfasis6 2 3 3" xfId="382"/>
    <cellStyle name="40% - Énfasis6 2 4" xfId="464"/>
    <cellStyle name="40% - Énfasis6 2 5" xfId="301"/>
    <cellStyle name="40% - Énfasis6 3" xfId="162"/>
    <cellStyle name="40% - Énfasis6 3 2" xfId="244"/>
    <cellStyle name="40% - Énfasis6 3 2 2" xfId="570"/>
    <cellStyle name="40% - Énfasis6 3 2 3" xfId="407"/>
    <cellStyle name="40% - Énfasis6 3 3" xfId="489"/>
    <cellStyle name="40% - Énfasis6 3 4" xfId="326"/>
    <cellStyle name="40% - Énfasis6 4" xfId="201"/>
    <cellStyle name="40% - Énfasis6 4 2" xfId="527"/>
    <cellStyle name="40% - Énfasis6 4 3" xfId="364"/>
    <cellStyle name="40% - Énfasis6 5" xfId="445"/>
    <cellStyle name="40% - Énfasis6 6" xfId="282"/>
    <cellStyle name="60% - Énfasis1" xfId="62" builtinId="32" customBuiltin="1"/>
    <cellStyle name="60% - Énfasis2" xfId="66" builtinId="36" customBuiltin="1"/>
    <cellStyle name="60% - Énfasis3" xfId="70" builtinId="40" customBuiltin="1"/>
    <cellStyle name="60% - Énfasis4" xfId="74" builtinId="44" customBuiltin="1"/>
    <cellStyle name="60% - Énfasis5" xfId="78" builtinId="48" customBuiltin="1"/>
    <cellStyle name="60% - Énfasis6" xfId="82" builtinId="52" customBuiltin="1"/>
    <cellStyle name="Buena" xfId="5" builtinId="26" customBuiltin="1"/>
    <cellStyle name="Buena 2" xfId="95"/>
    <cellStyle name="Buena 3" xfId="126"/>
    <cellStyle name="Cálculo" xfId="10" builtinId="22" customBuiltin="1"/>
    <cellStyle name="Cálculo 2" xfId="100"/>
    <cellStyle name="Cálculo 3" xfId="131"/>
    <cellStyle name="Celda de comprobación" xfId="12" builtinId="23" customBuiltin="1"/>
    <cellStyle name="Celda de comprobación 2" xfId="102"/>
    <cellStyle name="Celda de comprobación 3" xfId="133"/>
    <cellStyle name="Celda vinculada" xfId="11" builtinId="24" customBuiltin="1"/>
    <cellStyle name="Celda vinculada 2" xfId="101"/>
    <cellStyle name="Celda vinculada 3" xfId="132"/>
    <cellStyle name="Encabezado 4" xfId="4" builtinId="19" customBuiltin="1"/>
    <cellStyle name="Encabezado 4 2" xfId="94"/>
    <cellStyle name="Encabezado 4 3" xfId="125"/>
    <cellStyle name="Énfasis1" xfId="59" builtinId="29" customBuiltin="1"/>
    <cellStyle name="Énfasis2" xfId="63" builtinId="33" customBuiltin="1"/>
    <cellStyle name="Énfasis3" xfId="67" builtinId="37" customBuiltin="1"/>
    <cellStyle name="Énfasis4" xfId="71" builtinId="41" customBuiltin="1"/>
    <cellStyle name="Énfasis5" xfId="75" builtinId="45" customBuiltin="1"/>
    <cellStyle name="Énfasis6" xfId="79" builtinId="49" customBuiltin="1"/>
    <cellStyle name="Entrada" xfId="8" builtinId="20" customBuiltin="1"/>
    <cellStyle name="Entrada 2" xfId="98"/>
    <cellStyle name="Entrada 3" xfId="129"/>
    <cellStyle name="Incorrecto" xfId="6" builtinId="27" customBuiltin="1"/>
    <cellStyle name="Incorrecto 2" xfId="96"/>
    <cellStyle name="Incorrecto 3" xfId="127"/>
    <cellStyle name="Neutral" xfId="7" builtinId="28" customBuiltin="1"/>
    <cellStyle name="Neutral 2" xfId="97"/>
    <cellStyle name="Neutral 3" xfId="128"/>
    <cellStyle name="Normal" xfId="0" builtinId="0" customBuiltin="1"/>
    <cellStyle name="Normal 2" xfId="89"/>
    <cellStyle name="Normal 2 2" xfId="140"/>
    <cellStyle name="Normal 2 2 2" xfId="184"/>
    <cellStyle name="Normal 2 2 2 2" xfId="265"/>
    <cellStyle name="Normal 2 2 2 2 2" xfId="591"/>
    <cellStyle name="Normal 2 2 2 2 3" xfId="428"/>
    <cellStyle name="Normal 2 2 2 3" xfId="510"/>
    <cellStyle name="Normal 2 2 2 4" xfId="347"/>
    <cellStyle name="Normal 2 2 3" xfId="222"/>
    <cellStyle name="Normal 2 2 3 2" xfId="548"/>
    <cellStyle name="Normal 2 2 3 3" xfId="385"/>
    <cellStyle name="Normal 2 2 4" xfId="467"/>
    <cellStyle name="Normal 2 2 5" xfId="304"/>
    <cellStyle name="Normal 2 3" xfId="165"/>
    <cellStyle name="Normal 2 3 2" xfId="247"/>
    <cellStyle name="Normal 2 3 2 2" xfId="573"/>
    <cellStyle name="Normal 2 3 2 3" xfId="410"/>
    <cellStyle name="Normal 2 3 3" xfId="492"/>
    <cellStyle name="Normal 2 3 4" xfId="329"/>
    <cellStyle name="Normal 2 4" xfId="145"/>
    <cellStyle name="Normal 2 4 2" xfId="227"/>
    <cellStyle name="Normal 2 4 2 2" xfId="553"/>
    <cellStyle name="Normal 2 4 2 3" xfId="390"/>
    <cellStyle name="Normal 2 4 3" xfId="472"/>
    <cellStyle name="Normal 2 4 4" xfId="309"/>
    <cellStyle name="Normal 2 5" xfId="204"/>
    <cellStyle name="Normal 2 5 2" xfId="530"/>
    <cellStyle name="Normal 2 5 3" xfId="367"/>
    <cellStyle name="Normal 2 6" xfId="449"/>
    <cellStyle name="Normal 2 7" xfId="286"/>
    <cellStyle name="Normal 3" xfId="17"/>
    <cellStyle name="Normal 3 2" xfId="88"/>
    <cellStyle name="Normal 3 2 2" xfId="139"/>
    <cellStyle name="Normal 3 2 2 2" xfId="183"/>
    <cellStyle name="Normal 3 2 2 2 2" xfId="264"/>
    <cellStyle name="Normal 3 2 2 2 2 2" xfId="590"/>
    <cellStyle name="Normal 3 2 2 2 2 3" xfId="427"/>
    <cellStyle name="Normal 3 2 2 2 3" xfId="509"/>
    <cellStyle name="Normal 3 2 2 2 4" xfId="346"/>
    <cellStyle name="Normal 3 2 2 3" xfId="221"/>
    <cellStyle name="Normal 3 2 2 3 2" xfId="547"/>
    <cellStyle name="Normal 3 2 2 3 3" xfId="384"/>
    <cellStyle name="Normal 3 2 2 4" xfId="466"/>
    <cellStyle name="Normal 3 2 2 5" xfId="303"/>
    <cellStyle name="Normal 3 2 3" xfId="164"/>
    <cellStyle name="Normal 3 2 3 2" xfId="246"/>
    <cellStyle name="Normal 3 2 3 2 2" xfId="572"/>
    <cellStyle name="Normal 3 2 3 2 3" xfId="409"/>
    <cellStyle name="Normal 3 2 3 3" xfId="491"/>
    <cellStyle name="Normal 3 2 3 4" xfId="328"/>
    <cellStyle name="Normal 3 2 4" xfId="150"/>
    <cellStyle name="Normal 3 2 4 2" xfId="232"/>
    <cellStyle name="Normal 3 2 4 2 2" xfId="558"/>
    <cellStyle name="Normal 3 2 4 2 3" xfId="395"/>
    <cellStyle name="Normal 3 2 4 3" xfId="477"/>
    <cellStyle name="Normal 3 2 4 4" xfId="314"/>
    <cellStyle name="Normal 3 2 5" xfId="203"/>
    <cellStyle name="Normal 3 2 5 2" xfId="529"/>
    <cellStyle name="Normal 3 2 5 3" xfId="366"/>
    <cellStyle name="Normal 3 2 6" xfId="448"/>
    <cellStyle name="Normal 3 2 7" xfId="285"/>
    <cellStyle name="Normal 3 3" xfId="138"/>
    <cellStyle name="Normal 3 3 2" xfId="182"/>
    <cellStyle name="Normal 3 3 2 2" xfId="263"/>
    <cellStyle name="Normal 3 3 2 2 2" xfId="589"/>
    <cellStyle name="Normal 3 3 2 2 3" xfId="426"/>
    <cellStyle name="Normal 3 3 2 3" xfId="508"/>
    <cellStyle name="Normal 3 3 2 4" xfId="345"/>
    <cellStyle name="Normal 3 3 3" xfId="149"/>
    <cellStyle name="Normal 3 3 3 2" xfId="231"/>
    <cellStyle name="Normal 3 3 3 2 2" xfId="557"/>
    <cellStyle name="Normal 3 3 3 2 3" xfId="394"/>
    <cellStyle name="Normal 3 3 3 3" xfId="476"/>
    <cellStyle name="Normal 3 3 3 4" xfId="313"/>
    <cellStyle name="Normal 3 3 4" xfId="220"/>
    <cellStyle name="Normal 3 3 4 2" xfId="546"/>
    <cellStyle name="Normal 3 3 4 3" xfId="383"/>
    <cellStyle name="Normal 3 3 5" xfId="465"/>
    <cellStyle name="Normal 3 3 6" xfId="302"/>
    <cellStyle name="Normal 3 4" xfId="87"/>
    <cellStyle name="Normal 3 4 2" xfId="163"/>
    <cellStyle name="Normal 3 4 2 2" xfId="245"/>
    <cellStyle name="Normal 3 4 2 2 2" xfId="571"/>
    <cellStyle name="Normal 3 4 2 2 3" xfId="408"/>
    <cellStyle name="Normal 3 4 2 3" xfId="490"/>
    <cellStyle name="Normal 3 4 2 4" xfId="327"/>
    <cellStyle name="Normal 3 4 3" xfId="202"/>
    <cellStyle name="Normal 3 4 3 2" xfId="528"/>
    <cellStyle name="Normal 3 4 3 3" xfId="365"/>
    <cellStyle name="Normal 3 4 4" xfId="447"/>
    <cellStyle name="Normal 3 4 5" xfId="284"/>
    <cellStyle name="Normal 3 5" xfId="146"/>
    <cellStyle name="Normal 3 5 2" xfId="228"/>
    <cellStyle name="Normal 3 5 2 2" xfId="554"/>
    <cellStyle name="Normal 3 5 2 3" xfId="391"/>
    <cellStyle name="Normal 3 5 3" xfId="473"/>
    <cellStyle name="Normal 3 5 4" xfId="310"/>
    <cellStyle name="Normal 3 6" xfId="189"/>
    <cellStyle name="Normal 3 6 2" xfId="515"/>
    <cellStyle name="Normal 3 6 3" xfId="352"/>
    <cellStyle name="Normal 3 7" xfId="86"/>
    <cellStyle name="Normal 3 7 2" xfId="446"/>
    <cellStyle name="Normal 3 7 3" xfId="283"/>
    <cellStyle name="Normal 3 8" xfId="433"/>
    <cellStyle name="Normal 3 9" xfId="270"/>
    <cellStyle name="Normal 4" xfId="121"/>
    <cellStyle name="Normal 4 2" xfId="181"/>
    <cellStyle name="Normal 4 3" xfId="147"/>
    <cellStyle name="Normal 4 3 2" xfId="229"/>
    <cellStyle name="Normal 4 3 2 2" xfId="555"/>
    <cellStyle name="Normal 4 3 2 3" xfId="392"/>
    <cellStyle name="Normal 4 3 3" xfId="474"/>
    <cellStyle name="Normal 4 3 4" xfId="311"/>
    <cellStyle name="Normal 5" xfId="107"/>
    <cellStyle name="Normal 5 2" xfId="142"/>
    <cellStyle name="Normal 5 2 2" xfId="186"/>
    <cellStyle name="Normal 5 2 2 2" xfId="267"/>
    <cellStyle name="Normal 5 2 2 2 2" xfId="593"/>
    <cellStyle name="Normal 5 2 2 2 3" xfId="430"/>
    <cellStyle name="Normal 5 2 2 3" xfId="512"/>
    <cellStyle name="Normal 5 2 2 4" xfId="349"/>
    <cellStyle name="Normal 5 2 3" xfId="224"/>
    <cellStyle name="Normal 5 2 3 2" xfId="550"/>
    <cellStyle name="Normal 5 2 3 3" xfId="387"/>
    <cellStyle name="Normal 5 2 4" xfId="469"/>
    <cellStyle name="Normal 5 2 5" xfId="306"/>
    <cellStyle name="Normal 5 3" xfId="144"/>
    <cellStyle name="Normal 5 3 2" xfId="188"/>
    <cellStyle name="Normal 5 3 2 2" xfId="269"/>
    <cellStyle name="Normal 5 3 2 2 2" xfId="595"/>
    <cellStyle name="Normal 5 3 2 2 3" xfId="432"/>
    <cellStyle name="Normal 5 3 2 3" xfId="514"/>
    <cellStyle name="Normal 5 3 2 4" xfId="351"/>
    <cellStyle name="Normal 5 3 3" xfId="226"/>
    <cellStyle name="Normal 5 3 3 2" xfId="552"/>
    <cellStyle name="Normal 5 3 3 3" xfId="389"/>
    <cellStyle name="Normal 5 3 4" xfId="471"/>
    <cellStyle name="Normal 5 3 5" xfId="308"/>
    <cellStyle name="Normal 5 4" xfId="167"/>
    <cellStyle name="Normal 5 4 2" xfId="249"/>
    <cellStyle name="Normal 5 4 2 2" xfId="575"/>
    <cellStyle name="Normal 5 4 2 3" xfId="412"/>
    <cellStyle name="Normal 5 4 3" xfId="494"/>
    <cellStyle name="Normal 5 4 4" xfId="331"/>
    <cellStyle name="Normal 5 5" xfId="148"/>
    <cellStyle name="Normal 5 5 2" xfId="230"/>
    <cellStyle name="Normal 5 5 2 2" xfId="556"/>
    <cellStyle name="Normal 5 5 2 3" xfId="393"/>
    <cellStyle name="Normal 5 5 3" xfId="475"/>
    <cellStyle name="Normal 5 5 4" xfId="312"/>
    <cellStyle name="Normal 5 6" xfId="206"/>
    <cellStyle name="Normal 5 6 2" xfId="532"/>
    <cellStyle name="Normal 5 6 3" xfId="369"/>
    <cellStyle name="Normal 5 7" xfId="451"/>
    <cellStyle name="Normal 5 8" xfId="288"/>
    <cellStyle name="Normal 6" xfId="143"/>
    <cellStyle name="Normal 6 2" xfId="187"/>
    <cellStyle name="Normal 6 2 2" xfId="268"/>
    <cellStyle name="Normal 6 2 2 2" xfId="594"/>
    <cellStyle name="Normal 6 2 2 3" xfId="431"/>
    <cellStyle name="Normal 6 2 3" xfId="513"/>
    <cellStyle name="Normal 6 2 4" xfId="350"/>
    <cellStyle name="Normal 6 3" xfId="225"/>
    <cellStyle name="Normal 6 3 2" xfId="551"/>
    <cellStyle name="Normal 6 3 3" xfId="388"/>
    <cellStyle name="Normal 6 4" xfId="470"/>
    <cellStyle name="Normal 6 5" xfId="307"/>
    <cellStyle name="Normal 7" xfId="83"/>
    <cellStyle name="Notas" xfId="14" builtinId="10" customBuiltin="1"/>
    <cellStyle name="Notas 2" xfId="104"/>
    <cellStyle name="Notas 2 2" xfId="141"/>
    <cellStyle name="Notas 2 2 2" xfId="185"/>
    <cellStyle name="Notas 2 2 2 2" xfId="266"/>
    <cellStyle name="Notas 2 2 2 2 2" xfId="592"/>
    <cellStyle name="Notas 2 2 2 2 3" xfId="429"/>
    <cellStyle name="Notas 2 2 2 3" xfId="511"/>
    <cellStyle name="Notas 2 2 2 4" xfId="348"/>
    <cellStyle name="Notas 2 2 3" xfId="223"/>
    <cellStyle name="Notas 2 2 3 2" xfId="549"/>
    <cellStyle name="Notas 2 2 3 3" xfId="386"/>
    <cellStyle name="Notas 2 2 4" xfId="468"/>
    <cellStyle name="Notas 2 2 5" xfId="305"/>
    <cellStyle name="Notas 2 3" xfId="166"/>
    <cellStyle name="Notas 2 3 2" xfId="248"/>
    <cellStyle name="Notas 2 3 2 2" xfId="574"/>
    <cellStyle name="Notas 2 3 2 3" xfId="411"/>
    <cellStyle name="Notas 2 3 3" xfId="493"/>
    <cellStyle name="Notas 2 3 4" xfId="330"/>
    <cellStyle name="Notas 2 4" xfId="205"/>
    <cellStyle name="Notas 2 4 2" xfId="531"/>
    <cellStyle name="Notas 2 4 3" xfId="368"/>
    <cellStyle name="Notas 2 5" xfId="450"/>
    <cellStyle name="Notas 2 6" xfId="287"/>
    <cellStyle name="Notas 3" xfId="135"/>
    <cellStyle name="Notas 4" xfId="108"/>
    <cellStyle name="Notas 4 2" xfId="168"/>
    <cellStyle name="Notas 4 2 2" xfId="250"/>
    <cellStyle name="Notas 4 2 2 2" xfId="576"/>
    <cellStyle name="Notas 4 2 2 3" xfId="413"/>
    <cellStyle name="Notas 4 2 3" xfId="495"/>
    <cellStyle name="Notas 4 2 4" xfId="332"/>
    <cellStyle name="Notas 4 3" xfId="207"/>
    <cellStyle name="Notas 4 3 2" xfId="533"/>
    <cellStyle name="Notas 4 3 3" xfId="370"/>
    <cellStyle name="Notas 4 4" xfId="452"/>
    <cellStyle name="Notas 4 5" xfId="289"/>
    <cellStyle name="Salida" xfId="9" builtinId="21" customBuiltin="1"/>
    <cellStyle name="Salida 2" xfId="99"/>
    <cellStyle name="Salida 3" xfId="130"/>
    <cellStyle name="SAPBEXaggData" xfId="18"/>
    <cellStyle name="SAPBEXaggDataEmph" xfId="19"/>
    <cellStyle name="SAPBEXaggItem" xfId="20"/>
    <cellStyle name="SAPBEXaggItemX" xfId="21"/>
    <cellStyle name="SAPBEXchaText" xfId="22"/>
    <cellStyle name="SAPBEXexcBad7" xfId="23"/>
    <cellStyle name="SAPBEXexcBad8" xfId="24"/>
    <cellStyle name="SAPBEXexcBad9" xfId="25"/>
    <cellStyle name="SAPBEXexcCritical4" xfId="26"/>
    <cellStyle name="SAPBEXexcCritical5" xfId="27"/>
    <cellStyle name="SAPBEXexcCritical6" xfId="28"/>
    <cellStyle name="SAPBEXexcGood1" xfId="29"/>
    <cellStyle name="SAPBEXexcGood2" xfId="30"/>
    <cellStyle name="SAPBEXexcGood3" xfId="31"/>
    <cellStyle name="SAPBEXfilterDrill" xfId="32"/>
    <cellStyle name="SAPBEXfilterItem" xfId="33"/>
    <cellStyle name="SAPBEXfilterText" xfId="34"/>
    <cellStyle name="SAPBEXformats" xfId="35"/>
    <cellStyle name="SAPBEXheaderItem" xfId="36"/>
    <cellStyle name="SAPBEXheaderItem 2" xfId="84"/>
    <cellStyle name="SAPBEXheaderText" xfId="37"/>
    <cellStyle name="SAPBEXheaderText 2" xfId="85"/>
    <cellStyle name="SAPBEXHLevel0" xfId="38"/>
    <cellStyle name="SAPBEXHLevel0X" xfId="39"/>
    <cellStyle name="SAPBEXHLevel1" xfId="40"/>
    <cellStyle name="SAPBEXHLevel1X" xfId="41"/>
    <cellStyle name="SAPBEXHLevel2" xfId="42"/>
    <cellStyle name="SAPBEXHLevel2X" xfId="43"/>
    <cellStyle name="SAPBEXHLevel3" xfId="44"/>
    <cellStyle name="SAPBEXHLevel3X" xfId="45"/>
    <cellStyle name="SAPBEXinputData" xfId="46"/>
    <cellStyle name="SAPBEXresData" xfId="47"/>
    <cellStyle name="SAPBEXresDataEmph" xfId="48"/>
    <cellStyle name="SAPBEXresItem" xfId="49"/>
    <cellStyle name="SAPBEXresItemX" xfId="50"/>
    <cellStyle name="SAPBEXstdData" xfId="51"/>
    <cellStyle name="SAPBEXstdDataEmph" xfId="52"/>
    <cellStyle name="SAPBEXstdItem" xfId="53"/>
    <cellStyle name="SAPBEXstdItemX" xfId="54"/>
    <cellStyle name="SAPBEXtitle" xfId="55"/>
    <cellStyle name="SAPBEXundefined" xfId="56"/>
    <cellStyle name="Sheet Title" xfId="57"/>
    <cellStyle name="Texto de advertencia" xfId="13" builtinId="11" customBuiltin="1"/>
    <cellStyle name="Texto de advertencia 2" xfId="103"/>
    <cellStyle name="Texto de advertencia 3" xfId="134"/>
    <cellStyle name="Texto explicativo" xfId="15" builtinId="53" customBuiltin="1"/>
    <cellStyle name="Texto explicativo 2" xfId="105"/>
    <cellStyle name="Texto explicativo 3" xfId="136"/>
    <cellStyle name="Título" xfId="58" builtinId="15" customBuiltin="1"/>
    <cellStyle name="Título 1" xfId="1" builtinId="16" customBuiltin="1"/>
    <cellStyle name="Título 1 2" xfId="91"/>
    <cellStyle name="Título 1 3" xfId="122"/>
    <cellStyle name="Título 2" xfId="2" builtinId="17" customBuiltin="1"/>
    <cellStyle name="Título 2 2" xfId="92"/>
    <cellStyle name="Título 2 3" xfId="123"/>
    <cellStyle name="Título 3" xfId="3" builtinId="18" customBuiltin="1"/>
    <cellStyle name="Título 3 2" xfId="93"/>
    <cellStyle name="Título 3 3" xfId="124"/>
    <cellStyle name="Título 4" xfId="90"/>
    <cellStyle name="Total" xfId="16" builtinId="25" customBuiltin="1"/>
    <cellStyle name="Total 2" xfId="106"/>
    <cellStyle name="Total 3" xfId="13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1</xdr:row>
      <xdr:rowOff>19050</xdr:rowOff>
    </xdr:from>
    <xdr:to>
      <xdr:col>1</xdr:col>
      <xdr:colOff>400050</xdr:colOff>
      <xdr:row>4</xdr:row>
      <xdr:rowOff>381000</xdr:rowOff>
    </xdr:to>
    <xdr:pic>
      <xdr:nvPicPr>
        <xdr:cNvPr id="9" name="8 Imagen"/>
        <xdr:cNvPicPr/>
      </xdr:nvPicPr>
      <xdr:blipFill>
        <a:blip xmlns:r="http://schemas.openxmlformats.org/officeDocument/2006/relationships" r:embed="rId1"/>
        <a:srcRect l="5887" t="10361" r="6158" b="8559"/>
        <a:stretch>
          <a:fillRect/>
        </a:stretch>
      </xdr:blipFill>
      <xdr:spPr bwMode="auto">
        <a:xfrm>
          <a:off x="28576" y="19050"/>
          <a:ext cx="1133474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749300</xdr:colOff>
      <xdr:row>0</xdr:row>
      <xdr:rowOff>1588</xdr:rowOff>
    </xdr:to>
    <xdr:pic macro="[1]!DesignIconClicked">
      <xdr:nvPicPr>
        <xdr:cNvPr id="5" name="BExOB64NK7KQ5K48UYJUUHIDGHDD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300" cy="15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1</xdr:col>
      <xdr:colOff>749300</xdr:colOff>
      <xdr:row>0</xdr:row>
      <xdr:rowOff>1588</xdr:rowOff>
    </xdr:to>
    <xdr:pic macro="[1]!DesignIconClicked">
      <xdr:nvPicPr>
        <xdr:cNvPr id="6" name="BEx91V9QF5DSHTCJTNDRACXAFWHE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0"/>
          <a:ext cx="749300" cy="1588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863600</xdr:colOff>
      <xdr:row>0</xdr:row>
      <xdr:rowOff>1588</xdr:rowOff>
    </xdr:to>
    <xdr:pic macro="[1]!DesignIconClicked">
      <xdr:nvPicPr>
        <xdr:cNvPr id="7" name="BEx5BDWH662IRWOHBUEIU1DFGEL2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0"/>
          <a:ext cx="863600" cy="1588"/>
        </a:xfrm>
        <a:prstGeom prst="rect">
          <a:avLst/>
        </a:prstGeom>
      </xdr:spPr>
    </xdr:pic>
    <xdr:clientData/>
  </xdr:twoCellAnchor>
  <xdr:twoCellAnchor>
    <xdr:from>
      <xdr:col>10</xdr:col>
      <xdr:colOff>213125</xdr:colOff>
      <xdr:row>1</xdr:row>
      <xdr:rowOff>52918</xdr:rowOff>
    </xdr:from>
    <xdr:to>
      <xdr:col>11</xdr:col>
      <xdr:colOff>1088244</xdr:colOff>
      <xdr:row>4</xdr:row>
      <xdr:rowOff>338668</xdr:rowOff>
    </xdr:to>
    <xdr:pic>
      <xdr:nvPicPr>
        <xdr:cNvPr id="8" name="Imagen 7" descr="Imágenes integradas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625" y="52918"/>
          <a:ext cx="2018119" cy="1005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749300</xdr:colOff>
      <xdr:row>10</xdr:row>
      <xdr:rowOff>149225</xdr:rowOff>
    </xdr:to>
    <xdr:pic macro="[1]!DesignIconClicked">
      <xdr:nvPicPr>
        <xdr:cNvPr id="2" name="BEx3HY14UOW490UCIRXE6VBCUV0E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8725" cy="1768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1111250</xdr:colOff>
      <xdr:row>25</xdr:row>
      <xdr:rowOff>149225</xdr:rowOff>
    </xdr:to>
    <xdr:pic macro="[1]!DesignIconClicked">
      <xdr:nvPicPr>
        <xdr:cNvPr id="2" name="BExXQTEGCZD2SID3E7B0GF0SYCKF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74250" cy="4197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Common%20Files/SAP%20Shared/BW/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</sheetNames>
    <definedNames>
      <definedName name="BexGetData"/>
      <definedName name="DesignIconClicked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5"/>
  <sheetViews>
    <sheetView showGridLines="0" tabSelected="1" zoomScale="90" zoomScaleNormal="90" workbookViewId="0">
      <pane ySplit="8" topLeftCell="A18" activePane="bottomLeft" state="frozen"/>
      <selection pane="bottomLeft" activeCell="G43" sqref="G43"/>
    </sheetView>
  </sheetViews>
  <sheetFormatPr baseColWidth="10" defaultRowHeight="12.75" x14ac:dyDescent="0.2"/>
  <cols>
    <col min="5" max="5" width="13.140625" customWidth="1"/>
    <col min="6" max="6" width="13.140625" hidden="1" customWidth="1"/>
    <col min="7" max="7" width="21.7109375" customWidth="1"/>
    <col min="8" max="8" width="18.28515625" customWidth="1"/>
    <col min="9" max="9" width="17.85546875" customWidth="1"/>
    <col min="10" max="10" width="15.7109375" customWidth="1"/>
    <col min="11" max="11" width="17.140625" customWidth="1"/>
    <col min="12" max="12" width="17.5703125" customWidth="1"/>
  </cols>
  <sheetData>
    <row r="1" spans="1:12" s="13" customFormat="1" ht="13.5" hidden="1" thickBot="1" x14ac:dyDescent="0.25">
      <c r="A1" s="12" t="s">
        <v>43</v>
      </c>
      <c r="B1" s="12" t="s">
        <v>45</v>
      </c>
      <c r="E1" s="12" t="s">
        <v>44</v>
      </c>
      <c r="F1" s="13" t="str">
        <f>IF(AND(LEN(E1)&gt;0,LEN(E1)&lt;=2),MID(E1,1,2),MID(E1,1,FIND(".",E1)-1))</f>
        <v>1</v>
      </c>
      <c r="G1" s="13" t="str">
        <f>IF(LEN(E1)&gt;2,MID(E1,FIND(".",E1)+2,2),0)</f>
        <v>3</v>
      </c>
      <c r="H1" s="13" t="str">
        <f>IF(F1="1","Ene",IF(F1="2","Feb",IF(F1="3","Mar",IF(F1="4","Abr",IF(F1="5","May",IF(F1="6","Jun",IF(F1="7","Jul",IF(F1="8","Ago",IF(F1="9","Sep",IF(F1="10","Oct",IF(F1="11","Nov","Dic")))))))))))</f>
        <v>Ene</v>
      </c>
      <c r="I1" s="13" t="str">
        <f>IF(G1&lt;&gt;0,IF(G1="1","Ene",IF(G1="2","Feb",IF(G1="3","Mar",IF(G1="4","Abr",IF(G1="5","May",IF(G1="6","Jun",IF(G1="7","Jul",IF(G1="8","Ago",IF(G1="9","Sep",IF(G1="10","Oct",IF(G1="11","Nov","Dic"))))))))))),0)</f>
        <v>Mar</v>
      </c>
    </row>
    <row r="2" spans="1:12" ht="18.75" x14ac:dyDescent="0.3">
      <c r="A2" s="32" t="s">
        <v>31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4"/>
    </row>
    <row r="3" spans="1:12" ht="15.75" x14ac:dyDescent="0.25">
      <c r="A3" s="35" t="s">
        <v>29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7"/>
    </row>
    <row r="4" spans="1:12" ht="21.75" customHeight="1" x14ac:dyDescent="0.25">
      <c r="A4" s="38" t="str">
        <f>IF(I1=0,CONCATENATE(H1," del ",A1),CONCATENATE("De ",H1," a ",I1," del ",A1))</f>
        <v>De Ene a Mar del 2016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40"/>
    </row>
    <row r="5" spans="1:12" ht="30.75" customHeight="1" thickBot="1" x14ac:dyDescent="0.25">
      <c r="A5" s="25" t="s">
        <v>86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7"/>
    </row>
    <row r="6" spans="1:12" ht="15.75" thickBot="1" x14ac:dyDescent="0.3">
      <c r="A6" s="47" t="s">
        <v>0</v>
      </c>
      <c r="B6" s="48"/>
      <c r="C6" s="48"/>
      <c r="D6" s="48"/>
      <c r="E6" s="48"/>
      <c r="F6" s="44" t="s">
        <v>1</v>
      </c>
      <c r="G6" s="41" t="s">
        <v>2</v>
      </c>
      <c r="H6" s="42"/>
      <c r="I6" s="42"/>
      <c r="J6" s="42"/>
      <c r="K6" s="43"/>
      <c r="L6" s="16"/>
    </row>
    <row r="7" spans="1:12" ht="30.75" thickBot="1" x14ac:dyDescent="0.3">
      <c r="A7" s="49"/>
      <c r="B7" s="50"/>
      <c r="C7" s="50"/>
      <c r="D7" s="50"/>
      <c r="E7" s="50"/>
      <c r="F7" s="45"/>
      <c r="G7" s="17" t="s">
        <v>3</v>
      </c>
      <c r="H7" s="18" t="s">
        <v>4</v>
      </c>
      <c r="I7" s="17" t="s">
        <v>5</v>
      </c>
      <c r="J7" s="19" t="s">
        <v>6</v>
      </c>
      <c r="K7" s="17" t="s">
        <v>7</v>
      </c>
      <c r="L7" s="20" t="s">
        <v>8</v>
      </c>
    </row>
    <row r="8" spans="1:12" ht="13.5" thickBot="1" x14ac:dyDescent="0.25">
      <c r="A8" s="51"/>
      <c r="B8" s="52"/>
      <c r="C8" s="52"/>
      <c r="D8" s="52"/>
      <c r="E8" s="52"/>
      <c r="F8" s="46"/>
      <c r="G8" s="21" t="s">
        <v>9</v>
      </c>
      <c r="H8" s="22" t="s">
        <v>10</v>
      </c>
      <c r="I8" s="21" t="s">
        <v>11</v>
      </c>
      <c r="J8" s="22" t="s">
        <v>12</v>
      </c>
      <c r="K8" s="21" t="s">
        <v>13</v>
      </c>
      <c r="L8" s="23" t="s">
        <v>30</v>
      </c>
    </row>
    <row r="9" spans="1:12" ht="15" x14ac:dyDescent="0.25">
      <c r="A9" s="2" t="s">
        <v>14</v>
      </c>
      <c r="B9" s="3"/>
      <c r="C9" s="3"/>
      <c r="D9" s="3"/>
      <c r="E9" s="3"/>
      <c r="F9" s="6">
        <v>1</v>
      </c>
      <c r="G9" s="9">
        <f>IF(ISNUMBER([1]!BexGetData("DP_1","'Ley de Ingresos Estimada","1")),([1]!BexGetData("DP_1","'Ley de Ingresos Estimada","1")),0)</f>
        <v>94147108</v>
      </c>
      <c r="H9" s="9">
        <f>(IF(ISNUMBER([1]!BexGetData("DP_1","'Ampliaciones","1")),([1]!BexGetData("DP_1","'Ampliaciones","1")),0)+IF(ISNUMBER([1]!BexGetData("DP_1","'(Reducciones)","1")),([1]!BexGetData("DP_1","'(Reducciones)","1")),0))</f>
        <v>0</v>
      </c>
      <c r="I9" s="9">
        <f>+G9+H9</f>
        <v>94147108</v>
      </c>
      <c r="J9" s="9">
        <f>IF(ISNUMBER([1]!BexGetData("DP_1","'Devengado","1")),([1]!BexGetData("DP_1","'Devengado","1")),0)</f>
        <v>64460336.619999997</v>
      </c>
      <c r="K9" s="9">
        <f>IF(ISNUMBER([1]!BexGetData("DP_1","'Recaudado","1")),([1]!BexGetData("DP_1","'Recaudado","1")),0)</f>
        <v>64460336.619999997</v>
      </c>
      <c r="L9" s="11">
        <f>G9-K9</f>
        <v>29686771.380000003</v>
      </c>
    </row>
    <row r="10" spans="1:12" ht="15" x14ac:dyDescent="0.25">
      <c r="A10" s="2" t="s">
        <v>15</v>
      </c>
      <c r="B10" s="3"/>
      <c r="C10" s="3"/>
      <c r="D10" s="3"/>
      <c r="E10" s="3"/>
      <c r="F10" s="6">
        <v>2</v>
      </c>
      <c r="G10" s="9">
        <f>IF(ISNUMBER([1]!BexGetData("DP_1","'Ley de Ingresos Estimada","2")),([1]!BexGetData("DP_1","'Ley de Ingresos Estimada","2")),0)</f>
        <v>0</v>
      </c>
      <c r="H10" s="9">
        <f>(IF(ISNUMBER([1]!BexGetData("DP_1","'Ampliaciones","2")),([1]!BexGetData("DP_1","'Ampliaciones","2")),0)+IF(ISNUMBER([1]!BexGetData("DP_1","'(Reducciones)","2")),([1]!BexGetData("DP_1","'(Reducciones)","2")),0))</f>
        <v>0</v>
      </c>
      <c r="I10" s="9">
        <f t="shared" ref="I10:I22" si="0">+G10+H10</f>
        <v>0</v>
      </c>
      <c r="J10" s="9">
        <f>IF(ISNUMBER([1]!BexGetData("DP_1","'Devengado","2")),([1]!BexGetData("DP_1","'Devengado","2")),0)</f>
        <v>0</v>
      </c>
      <c r="K10" s="9">
        <f>IF(ISNUMBER([1]!BexGetData("DP_1","'Recaudado","2")),([1]!BexGetData("DP_1","'Recaudado","2")),0)</f>
        <v>0</v>
      </c>
      <c r="L10" s="11">
        <f t="shared" ref="L10:L22" si="1">G10-K10</f>
        <v>0</v>
      </c>
    </row>
    <row r="11" spans="1:12" ht="15" x14ac:dyDescent="0.25">
      <c r="A11" s="2" t="s">
        <v>16</v>
      </c>
      <c r="B11" s="3"/>
      <c r="C11" s="3"/>
      <c r="D11" s="3"/>
      <c r="E11" s="3"/>
      <c r="F11" s="6">
        <v>3</v>
      </c>
      <c r="G11" s="9">
        <f>IF(ISNUMBER([1]!BexGetData("DP_1","'Ley de Ingresos Estimada","3")),([1]!BexGetData("DP_1","'Ley de Ingresos Estimada","3")),0)</f>
        <v>2</v>
      </c>
      <c r="H11" s="9">
        <f>(IF(ISNUMBER([1]!BexGetData("DP_1","'Ampliaciones","3")),([1]!BexGetData("DP_1","'Ampliaciones","3")),0)+IF(ISNUMBER([1]!BexGetData("DP_1","'(Reducciones)","3")),([1]!BexGetData("DP_1","'(Reducciones)","3")),0))</f>
        <v>0</v>
      </c>
      <c r="I11" s="9">
        <f t="shared" si="0"/>
        <v>2</v>
      </c>
      <c r="J11" s="9">
        <f>IF(ISNUMBER([1]!BexGetData("DP_1","'Devengado","3")),([1]!BexGetData("DP_1","'Devengado","3")),0)</f>
        <v>0</v>
      </c>
      <c r="K11" s="9">
        <f>IF(ISNUMBER([1]!BexGetData("DP_1","'Recaudado","3")),([1]!BexGetData("DP_1","'Recaudado","3")),0)</f>
        <v>0</v>
      </c>
      <c r="L11" s="11">
        <f t="shared" si="1"/>
        <v>2</v>
      </c>
    </row>
    <row r="12" spans="1:12" ht="15" x14ac:dyDescent="0.25">
      <c r="A12" s="2" t="s">
        <v>17</v>
      </c>
      <c r="B12" s="3"/>
      <c r="C12" s="3"/>
      <c r="D12" s="3"/>
      <c r="E12" s="3"/>
      <c r="F12" s="6">
        <v>4</v>
      </c>
      <c r="G12" s="9">
        <f>IF(ISNUMBER([1]!BexGetData("DP_1","'Ley de Ingresos Estimada","4")),([1]!BexGetData("DP_1","'Ley de Ingresos Estimada","4")),0)</f>
        <v>105706115</v>
      </c>
      <c r="H12" s="9">
        <f>(IF(ISNUMBER([1]!BexGetData("DP_1","'Ampliaciones","4")),([1]!BexGetData("DP_1","'Ampliaciones","4")),0)+IF(ISNUMBER([1]!BexGetData("DP_1","'(Reducciones)","4")),([1]!BexGetData("DP_1","'(Reducciones)","4")),0))</f>
        <v>0</v>
      </c>
      <c r="I12" s="9">
        <f t="shared" si="0"/>
        <v>105706115</v>
      </c>
      <c r="J12" s="9">
        <f>IF(ISNUMBER([1]!BexGetData("DP_1","'Devengado","4")),([1]!BexGetData("DP_1","'Devengado","4")),0)</f>
        <v>62464530.979999997</v>
      </c>
      <c r="K12" s="9">
        <f>IF(ISNUMBER([1]!BexGetData("DP_1","'Recaudado","4")),([1]!BexGetData("DP_1","'Recaudado","4")),0)</f>
        <v>62464530.979999997</v>
      </c>
      <c r="L12" s="11">
        <f t="shared" si="1"/>
        <v>43241584.020000003</v>
      </c>
    </row>
    <row r="13" spans="1:12" ht="15" x14ac:dyDescent="0.25">
      <c r="A13" s="2" t="s">
        <v>18</v>
      </c>
      <c r="B13" s="3"/>
      <c r="C13" s="3"/>
      <c r="D13" s="3"/>
      <c r="E13" s="3"/>
      <c r="F13" s="6">
        <v>5</v>
      </c>
      <c r="G13" s="9">
        <f>IF(ISNUMBER([1]!BexGetData("DP_1","'Ley de Ingresos Estimada","5")),([1]!BexGetData("DP_1","'Ley de Ingresos Estimada","5")),0)</f>
        <v>2220256</v>
      </c>
      <c r="H13" s="9">
        <f>(IF(ISNUMBER([1]!BexGetData("DP_1","'Ampliaciones","5")),([1]!BexGetData("DP_1","'Ampliaciones","5")),0)+IF(ISNUMBER([1]!BexGetData("DP_1","'(Reducciones)","5")),([1]!BexGetData("DP_1","'(Reducciones)","5")),0))</f>
        <v>0</v>
      </c>
      <c r="I13" s="9">
        <f t="shared" si="0"/>
        <v>2220256</v>
      </c>
      <c r="J13" s="9">
        <f>IF(ISNUMBER([1]!BexGetData("DP_1","'Devengado","5")),([1]!BexGetData("DP_1","'Devengado","5")),0)</f>
        <v>1207125.7</v>
      </c>
      <c r="K13" s="9">
        <f>IF(ISNUMBER([1]!BexGetData("DP_1","'Recaudado","5")),([1]!BexGetData("DP_1","'Recaudado","5")),0)</f>
        <v>1207125.7</v>
      </c>
      <c r="L13" s="11">
        <f t="shared" si="1"/>
        <v>1013130.3</v>
      </c>
    </row>
    <row r="14" spans="1:12" ht="15" x14ac:dyDescent="0.25">
      <c r="A14" s="2"/>
      <c r="B14" s="3" t="s">
        <v>19</v>
      </c>
      <c r="C14" s="1"/>
      <c r="D14" s="1"/>
      <c r="E14" s="1"/>
      <c r="F14" s="7">
        <v>51</v>
      </c>
      <c r="G14" s="9">
        <f>(IF(ISNUMBER([1]!BexGetData("DP_2","'Ley de Ingresos Estimada","51")),([1]!BexGetData("DP_2","'Ley de Ingresos Estimada","51")),0)+IF(ISNUMBER([1]!BexGetData("DP_2","'Ley de Ingresos Estimada","54")),([1]!BexGetData("DP_2","'Ley de Ingresos Estimada","54")),0)+IF(ISNUMBER([1]!BexGetData("DP_2","'Ley de Ingresos Estimada","59")),([1]!BexGetData("DP_2","'Ley de Ingresos Estimada","59")),0))</f>
        <v>2220254</v>
      </c>
      <c r="H14" s="9">
        <f>((IF(ISNUMBER([1]!BexGetData("DP_2","'Ampliaciones","51")),([1]!BexGetData("DP_2","'Ampliaciones","51")),0)+IF(ISNUMBER([1]!BexGetData("DP_2","'(Reducciones)","51")),([1]!BexGetData("DP_2","'(Reducciones)","51")),0))+(IF(ISNUMBER([1]!BexGetData("DP_2","'Ampliaciones","54")),([1]!BexGetData("DP_2","'Ampliaciones","54")),0)+IF(ISNUMBER([1]!BexGetData("DP_2","'(Reducciones)","54")),([1]!BexGetData("DP_2","'(Reducciones)","54")),0))+(IF(ISNUMBER([1]!BexGetData("DP_2","'Ampliaciones","59")),([1]!BexGetData("DP_2","'Ampliaciones","59")),0)+IF(ISNUMBER([1]!BexGetData("DP_2","'(Reducciones)","59")),([1]!BexGetData("DP_2","'(Reducciones)","59")),0)))</f>
        <v>0</v>
      </c>
      <c r="I14" s="9">
        <f t="shared" si="0"/>
        <v>2220254</v>
      </c>
      <c r="J14" s="9">
        <f>IF(ISNUMBER([1]!BexGetData("DP_2","'Devengado","51")),([1]!BexGetData("DP_2","'Devengado","51")),0)+IF(ISNUMBER([1]!BexGetData("DP_2","'Devengado","54")),([1]!BexGetData("DP_2","'Devengado","54")),0)+IF(ISNUMBER([1]!BexGetData("DP_2","'Devengado","59")),([1]!BexGetData("DP_2","'Devengado","59")),0)</f>
        <v>1207125.7</v>
      </c>
      <c r="K14" s="9">
        <f>IF(ISNUMBER([1]!BexGetData("DP_2","'Recaudado","51")),([1]!BexGetData("DP_2","'Recaudado","51")),0)+IF(ISNUMBER([1]!BexGetData("DP_2","'Recaudado","54")),([1]!BexGetData("DP_2","'Recaudado","54")),0)+IF(ISNUMBER([1]!BexGetData("DP_2","'Recaudado","59")),([1]!BexGetData("DP_2","'Recaudado","59")),0)</f>
        <v>1207125.7</v>
      </c>
      <c r="L14" s="11">
        <f t="shared" si="1"/>
        <v>1013128.3</v>
      </c>
    </row>
    <row r="15" spans="1:12" ht="15" x14ac:dyDescent="0.25">
      <c r="A15" s="2"/>
      <c r="B15" s="3" t="s">
        <v>20</v>
      </c>
      <c r="C15" s="1"/>
      <c r="D15" s="1"/>
      <c r="E15" s="1"/>
      <c r="F15" s="7">
        <v>52</v>
      </c>
      <c r="G15" s="9">
        <f>IF(ISNUMBER([1]!BexGetData("DP_2","'Ley de Ingresos Estimada","52")),([1]!BexGetData("DP_2","'Ley de Ingresos Estimada","52")),0)</f>
        <v>2</v>
      </c>
      <c r="H15" s="9">
        <f>(IF(ISNUMBER([1]!BexGetData("DP_2","'Ampliaciones","52")),([1]!BexGetData("DP_2","'Ampliaciones","52")),0)+IF(ISNUMBER([1]!BexGetData("DP_2","'(Reducciones)","52")),([1]!BexGetData("DP_2","'(Reducciones)","52")),0))</f>
        <v>0</v>
      </c>
      <c r="I15" s="9">
        <f t="shared" si="0"/>
        <v>2</v>
      </c>
      <c r="J15" s="9">
        <f>IF(ISNUMBER([1]!BexGetData("DP_2","'Devengado","52")),([1]!BexGetData("DP_2","'Devengado","52")),0)</f>
        <v>0</v>
      </c>
      <c r="K15" s="9">
        <f>IF(ISNUMBER([1]!BexGetData("DP_2","'Recaudado","52")),([1]!BexGetData("DP_2","'Recaudado","52")),0)</f>
        <v>0</v>
      </c>
      <c r="L15" s="11">
        <f t="shared" si="1"/>
        <v>2</v>
      </c>
    </row>
    <row r="16" spans="1:12" ht="15" x14ac:dyDescent="0.25">
      <c r="A16" s="2" t="s">
        <v>21</v>
      </c>
      <c r="B16" s="3"/>
      <c r="C16" s="3"/>
      <c r="D16" s="3"/>
      <c r="E16" s="3"/>
      <c r="F16" s="6">
        <v>6</v>
      </c>
      <c r="G16" s="9">
        <f>IF(ISNUMBER([1]!BexGetData("DP_1","'Ley de Ingresos Estimada","6")),([1]!BexGetData("DP_1","'Ley de Ingresos Estimada","6")),0)</f>
        <v>66569155</v>
      </c>
      <c r="H16" s="9">
        <f>(IF(ISNUMBER([1]!BexGetData("DP_1","'Ampliaciones","6")),([1]!BexGetData("DP_1","'Ampliaciones","6")),0)+IF(ISNUMBER([1]!BexGetData("DP_1","'(Reducciones)","6")),([1]!BexGetData("DP_1","'(Reducciones)","6")),0))</f>
        <v>0</v>
      </c>
      <c r="I16" s="9">
        <f t="shared" si="0"/>
        <v>66569155</v>
      </c>
      <c r="J16" s="9">
        <f>IF(ISNUMBER([1]!BexGetData("DP_1","'Devengado","6")),([1]!BexGetData("DP_1","'Devengado","6")),0)</f>
        <v>19905604.23</v>
      </c>
      <c r="K16" s="9">
        <f>IF(ISNUMBER([1]!BexGetData("DP_1","'Recaudado","6")),([1]!BexGetData("DP_1","'Recaudado","6")),0)</f>
        <v>19905604.23</v>
      </c>
      <c r="L16" s="11">
        <f t="shared" si="1"/>
        <v>46663550.769999996</v>
      </c>
    </row>
    <row r="17" spans="1:12" ht="15" x14ac:dyDescent="0.25">
      <c r="A17" s="2"/>
      <c r="B17" s="3" t="s">
        <v>19</v>
      </c>
      <c r="C17" s="1"/>
      <c r="D17" s="1"/>
      <c r="E17" s="1"/>
      <c r="F17" s="7">
        <v>61</v>
      </c>
      <c r="G17" s="9">
        <f>IF(ISNUMBER([1]!BexGetData("DP_2","'Ley de Ingresos Estimada","61")),([1]!BexGetData("DP_2","'Ley de Ingresos Estimada","61")),0)</f>
        <v>62341202</v>
      </c>
      <c r="H17" s="9">
        <f>(IF(ISNUMBER([1]!BexGetData("DP_2","'Ampliaciones","61")),([1]!BexGetData("DP_2","'Ampliaciones","61")),0)+IF(ISNUMBER([1]!BexGetData("DP_2","'(Reducciones)","61")),([1]!BexGetData("DP_2","'(Reducciones)","61")),0))</f>
        <v>0</v>
      </c>
      <c r="I17" s="9">
        <f t="shared" si="0"/>
        <v>62341202</v>
      </c>
      <c r="J17" s="9">
        <f>IF(ISNUMBER([1]!BexGetData("DP_2","'Devengado","61")),([1]!BexGetData("DP_2","'Devengado","61")),0)</f>
        <v>17108789.32</v>
      </c>
      <c r="K17" s="9">
        <f>IF(ISNUMBER([1]!BexGetData("DP_2","'Recaudado","61")),([1]!BexGetData("DP_2","'Recaudado","61")),0)</f>
        <v>17108789.32</v>
      </c>
      <c r="L17" s="11">
        <f t="shared" si="1"/>
        <v>45232412.68</v>
      </c>
    </row>
    <row r="18" spans="1:12" ht="15" x14ac:dyDescent="0.25">
      <c r="A18" s="2"/>
      <c r="B18" s="3" t="s">
        <v>20</v>
      </c>
      <c r="C18" s="1"/>
      <c r="D18" s="1"/>
      <c r="E18" s="1"/>
      <c r="F18" s="7">
        <v>62</v>
      </c>
      <c r="G18" s="9">
        <f>IF(ISNUMBER([1]!BexGetData("DP_2","'Ley de Ingresos Estimada","62")),([1]!BexGetData("DP_2","'Ley de Ingresos Estimada","62")),0)+IF(ISNUMBER([1]!BexGetData("DP_2","'Ley de Ingresos Estimada","69")),([1]!BexGetData("DP_2","'Ley de Ingresos Estimada","69")),0)</f>
        <v>4227953</v>
      </c>
      <c r="H18" s="9">
        <f>(IF(ISNUMBER([1]!BexGetData("DP_2","'Ampliaciones","62")),([1]!BexGetData("DP_2","'Ampliaciones","62")),0)+IF(ISNUMBER([1]!BexGetData("DP_2","'(Reducciones)","62")),([1]!BexGetData("DP_2","'(Reducciones)","62")),0))+(IF(ISNUMBER([1]!BexGetData("DP_2","'Ampliaciones","69")),([1]!BexGetData("DP_2","'Ampliaciones","69")),0)+IF(ISNUMBER([1]!BexGetData("DP_2","'(Reducciones)","69")),([1]!BexGetData("DP_2","'(Reducciones)","69")),0))</f>
        <v>0</v>
      </c>
      <c r="I18" s="9">
        <f t="shared" si="0"/>
        <v>4227953</v>
      </c>
      <c r="J18" s="9">
        <f>IF(ISNUMBER([1]!BexGetData("DP_2","'Devengado","62")),([1]!BexGetData("DP_2","'Devengado","62")),0)+IF(ISNUMBER([1]!BexGetData("DP_2","'Devengado","69")),([1]!BexGetData("DP_2","'Devengado","69")),0)</f>
        <v>2796814.91</v>
      </c>
      <c r="K18" s="9">
        <f>IF(ISNUMBER([1]!BexGetData("DP_2","'Recaudado","62")),([1]!BexGetData("DP_2","'Recaudado","62")),0)+IF(ISNUMBER([1]!BexGetData("DP_2","'Recaudado","69")),([1]!BexGetData("DP_2","'Recaudado","69")),0)</f>
        <v>2796814.91</v>
      </c>
      <c r="L18" s="11">
        <f t="shared" si="1"/>
        <v>1431138.0899999999</v>
      </c>
    </row>
    <row r="19" spans="1:12" ht="15" x14ac:dyDescent="0.25">
      <c r="A19" s="2" t="s">
        <v>22</v>
      </c>
      <c r="B19" s="3"/>
      <c r="C19" s="3"/>
      <c r="D19" s="3"/>
      <c r="E19" s="3"/>
      <c r="F19" s="6">
        <v>7</v>
      </c>
      <c r="G19" s="9">
        <f>IF(ISNUMBER([1]!BexGetData("DP_1","'Ley de Ingresos Estimada","7")),([1]!BexGetData("DP_1","'Ley de Ingresos Estimada","7")),0)</f>
        <v>3</v>
      </c>
      <c r="H19" s="9">
        <f>(IF(ISNUMBER([1]!BexGetData("DP_1","'Ampliaciones","7")),([1]!BexGetData("DP_1","'Ampliaciones","7")),0)+IF(ISNUMBER([1]!BexGetData("DP_1","'(Reducciones)","7")),([1]!BexGetData("DP_1","'(Reducciones)","7")),0))</f>
        <v>0</v>
      </c>
      <c r="I19" s="9">
        <f t="shared" si="0"/>
        <v>3</v>
      </c>
      <c r="J19" s="9">
        <f>IF(ISNUMBER([1]!BexGetData("DP_1","'Devengado","7")),([1]!BexGetData("DP_1","'Devengado","7")),0)</f>
        <v>0</v>
      </c>
      <c r="K19" s="9">
        <f>IF(ISNUMBER([1]!BexGetData("DP_1","'Recaudado","7")),([1]!BexGetData("DP_1","'Recaudado","7")),0)</f>
        <v>0</v>
      </c>
      <c r="L19" s="11">
        <f t="shared" si="1"/>
        <v>3</v>
      </c>
    </row>
    <row r="20" spans="1:12" ht="15" x14ac:dyDescent="0.25">
      <c r="A20" s="2" t="s">
        <v>23</v>
      </c>
      <c r="B20" s="3"/>
      <c r="C20" s="3"/>
      <c r="D20" s="3"/>
      <c r="E20" s="3"/>
      <c r="F20" s="6">
        <v>8</v>
      </c>
      <c r="G20" s="9">
        <f>IF(ISNUMBER([1]!BexGetData("DP_1","'Ley de Ingresos Estimada","8")),([1]!BexGetData("DP_1","'Ley de Ingresos Estimada","8")),0)</f>
        <v>818373131</v>
      </c>
      <c r="H20" s="9">
        <f>(IF(ISNUMBER([1]!BexGetData("DP_1","'Ampliaciones","8")),([1]!BexGetData("DP_1","'Ampliaciones","8")),0)+IF(ISNUMBER([1]!BexGetData("DP_1","'(Reducciones)","8")),([1]!BexGetData("DP_1","'(Reducciones)","8")),0))</f>
        <v>0</v>
      </c>
      <c r="I20" s="9">
        <f t="shared" si="0"/>
        <v>818373131</v>
      </c>
      <c r="J20" s="9">
        <f>IF(ISNUMBER([1]!BexGetData("DP_1","'Devengado","8")),([1]!BexGetData("DP_1","'Devengado","8")),0)</f>
        <v>201339705.49000001</v>
      </c>
      <c r="K20" s="9">
        <f>IF(ISNUMBER([1]!BexGetData("DP_1","'Recaudado","8")),([1]!BexGetData("DP_1","'Recaudado","8")),0)</f>
        <v>201339705.49000001</v>
      </c>
      <c r="L20" s="11">
        <f t="shared" si="1"/>
        <v>617033425.50999999</v>
      </c>
    </row>
    <row r="21" spans="1:12" ht="15" x14ac:dyDescent="0.25">
      <c r="A21" s="2" t="s">
        <v>24</v>
      </c>
      <c r="B21" s="3"/>
      <c r="C21" s="3"/>
      <c r="D21" s="3"/>
      <c r="E21" s="3"/>
      <c r="F21" s="6">
        <v>9</v>
      </c>
      <c r="G21" s="9">
        <f>IF(ISNUMBER([1]!BexGetData("DP_1","'Ley de Ingresos Estimada","9")),([1]!BexGetData("DP_1","'Ley de Ingresos Estimada","9")),0)</f>
        <v>81334180</v>
      </c>
      <c r="H21" s="9">
        <f>(IF(ISNUMBER([1]!BexGetData("DP_1","'Ampliaciones","9")),([1]!BexGetData("DP_1","'Ampliaciones","9")),0)+IF(ISNUMBER([1]!BexGetData("DP_1","'(Reducciones)","9")),([1]!BexGetData("DP_1","'(Reducciones)","9")),0))</f>
        <v>0</v>
      </c>
      <c r="I21" s="9">
        <f t="shared" si="0"/>
        <v>81334180</v>
      </c>
      <c r="J21" s="9">
        <f>IF(ISNUMBER([1]!BexGetData("DP_1","'Devengado","9")),([1]!BexGetData("DP_1","'Devengado","9")),0)</f>
        <v>7238879.4699999997</v>
      </c>
      <c r="K21" s="9">
        <f>IF(ISNUMBER([1]!BexGetData("DP_1","'Recaudado","9")),([1]!BexGetData("DP_1","'Recaudado","9")),0)</f>
        <v>7238879.4699999997</v>
      </c>
      <c r="L21" s="11">
        <f t="shared" si="1"/>
        <v>74095300.530000001</v>
      </c>
    </row>
    <row r="22" spans="1:12" ht="15.75" thickBot="1" x14ac:dyDescent="0.3">
      <c r="A22" s="2" t="s">
        <v>25</v>
      </c>
      <c r="B22" s="3"/>
      <c r="C22" s="3"/>
      <c r="D22" s="3"/>
      <c r="E22" s="3"/>
      <c r="F22" s="6">
        <v>0</v>
      </c>
      <c r="G22" s="9">
        <f>IF(ISNUMBER([1]!BexGetData("DP_1","'Ley de Ingresos Estimada","0")),([1]!BexGetData("DP_1","'Ley de Ingresos Estimada","0")),0)</f>
        <v>1</v>
      </c>
      <c r="H22" s="9">
        <f>(IF(ISNUMBER([1]!BexGetData("DP_1","'Ampliaciones","0")),([1]!BexGetData("DP_1","'Ampliaciones","0")),0)+IF(ISNUMBER([1]!BexGetData("DP_1","'(Reducciones)","0")),([1]!BexGetData("DP_1","'(Reducciones)","0")),0))</f>
        <v>0</v>
      </c>
      <c r="I22" s="9">
        <f t="shared" si="0"/>
        <v>1</v>
      </c>
      <c r="J22" s="9">
        <f>IF(ISNUMBER([1]!BexGetData("DP_1","'Devengado","0")),([1]!BexGetData("DP_1","'Devengado","0")),0)</f>
        <v>0</v>
      </c>
      <c r="K22" s="9">
        <f>IF(ISNUMBER([1]!BexGetData("DP_1","'Recaudado","0")),([1]!BexGetData("DP_1","'Recaudado","0")),0)</f>
        <v>0</v>
      </c>
      <c r="L22" s="11">
        <f t="shared" si="1"/>
        <v>1</v>
      </c>
    </row>
    <row r="23" spans="1:12" ht="15.75" thickBot="1" x14ac:dyDescent="0.3">
      <c r="A23" s="4"/>
      <c r="B23" s="5"/>
      <c r="C23" s="5" t="s">
        <v>26</v>
      </c>
      <c r="D23" s="5"/>
      <c r="E23" s="5"/>
      <c r="F23" s="8"/>
      <c r="G23" s="10">
        <f>G9+G10+G11+G12+G13+G16+G19+G20+G21+G22</f>
        <v>1168349951</v>
      </c>
      <c r="H23" s="10">
        <f>H9+H10+H11+H12+H13+H16+H19+H20+H21+H22</f>
        <v>0</v>
      </c>
      <c r="I23" s="10">
        <f>I9+I10+I11+I12+I13+I16+I19+I20+I21+I22</f>
        <v>1168349951</v>
      </c>
      <c r="J23" s="10">
        <f>J9+J10+J11+J12+J13+J16+J19+J20+J21+J22</f>
        <v>356616182.49000001</v>
      </c>
      <c r="K23" s="10">
        <f>K9+K10+K11+K12+K13+K16+K19+K20+K21+K22</f>
        <v>356616182.49000001</v>
      </c>
      <c r="L23" s="30">
        <f>+L9+L10+L11+L12+L13+L16+L19+L20+L21+L22</f>
        <v>811733768.50999999</v>
      </c>
    </row>
    <row r="24" spans="1:12" ht="18" thickBot="1" x14ac:dyDescent="0.3">
      <c r="A24" s="1"/>
      <c r="B24" s="1"/>
      <c r="C24" s="1"/>
      <c r="D24" s="1"/>
      <c r="E24" s="1"/>
      <c r="F24" s="1"/>
      <c r="G24" s="1"/>
      <c r="H24" s="1"/>
      <c r="I24" s="1"/>
      <c r="J24" s="28" t="s">
        <v>27</v>
      </c>
      <c r="K24" s="29"/>
      <c r="L24" s="31"/>
    </row>
    <row r="26" spans="1:12" x14ac:dyDescent="0.2">
      <c r="A26" s="24" t="s">
        <v>28</v>
      </c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</row>
    <row r="27" spans="1:12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</row>
    <row r="29" spans="1:12" s="64" customFormat="1" x14ac:dyDescent="0.2">
      <c r="A29" s="63" t="s">
        <v>87</v>
      </c>
      <c r="G29" s="65" t="s">
        <v>33</v>
      </c>
      <c r="K29" s="66" t="s">
        <v>34</v>
      </c>
    </row>
    <row r="30" spans="1:12" s="64" customFormat="1" x14ac:dyDescent="0.2"/>
    <row r="31" spans="1:12" s="64" customFormat="1" x14ac:dyDescent="0.2"/>
    <row r="32" spans="1:12" s="64" customFormat="1" x14ac:dyDescent="0.2"/>
    <row r="33" spans="1:11" s="64" customFormat="1" x14ac:dyDescent="0.2"/>
    <row r="34" spans="1:11" s="64" customFormat="1" x14ac:dyDescent="0.2">
      <c r="A34" s="14" t="s">
        <v>32</v>
      </c>
      <c r="G34" s="15" t="s">
        <v>35</v>
      </c>
      <c r="K34" s="14" t="s">
        <v>36</v>
      </c>
    </row>
    <row r="35" spans="1:11" s="64" customFormat="1" x14ac:dyDescent="0.2">
      <c r="A35" s="67" t="s">
        <v>89</v>
      </c>
      <c r="G35" s="66" t="s">
        <v>37</v>
      </c>
      <c r="K35" s="65" t="s">
        <v>38</v>
      </c>
    </row>
    <row r="36" spans="1:11" s="64" customFormat="1" x14ac:dyDescent="0.2">
      <c r="A36" s="67"/>
      <c r="G36" s="66"/>
      <c r="K36" s="65"/>
    </row>
    <row r="37" spans="1:11" s="64" customFormat="1" x14ac:dyDescent="0.2">
      <c r="A37" s="67"/>
      <c r="G37" s="66"/>
      <c r="J37" s="65"/>
    </row>
    <row r="38" spans="1:11" s="64" customFormat="1" x14ac:dyDescent="0.2"/>
    <row r="39" spans="1:11" s="64" customFormat="1" x14ac:dyDescent="0.2">
      <c r="C39" s="63" t="s">
        <v>39</v>
      </c>
      <c r="I39" s="63" t="s">
        <v>88</v>
      </c>
    </row>
    <row r="40" spans="1:11" s="64" customFormat="1" x14ac:dyDescent="0.2"/>
    <row r="41" spans="1:11" s="64" customFormat="1" x14ac:dyDescent="0.2"/>
    <row r="42" spans="1:11" s="64" customFormat="1" x14ac:dyDescent="0.2"/>
    <row r="43" spans="1:11" s="64" customFormat="1" x14ac:dyDescent="0.2"/>
    <row r="44" spans="1:11" s="64" customFormat="1" x14ac:dyDescent="0.2">
      <c r="C44" s="14" t="s">
        <v>40</v>
      </c>
      <c r="I44" s="14" t="s">
        <v>40</v>
      </c>
    </row>
    <row r="45" spans="1:11" s="64" customFormat="1" x14ac:dyDescent="0.2">
      <c r="C45" s="67" t="s">
        <v>41</v>
      </c>
      <c r="I45" s="67" t="s">
        <v>42</v>
      </c>
    </row>
  </sheetData>
  <mergeCells count="10">
    <mergeCell ref="A26:L27"/>
    <mergeCell ref="A5:L5"/>
    <mergeCell ref="J24:K24"/>
    <mergeCell ref="L23:L24"/>
    <mergeCell ref="A2:L2"/>
    <mergeCell ref="A3:L3"/>
    <mergeCell ref="A4:L4"/>
    <mergeCell ref="G6:K6"/>
    <mergeCell ref="F6:F8"/>
    <mergeCell ref="A6:E8"/>
  </mergeCells>
  <pageMargins left="0.7" right="0.7" top="0.75" bottom="0.75" header="0.3" footer="0.3"/>
  <pageSetup scale="74" orientation="landscape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G1" sqref="G1"/>
    </sheetView>
  </sheetViews>
  <sheetFormatPr baseColWidth="10" defaultRowHeight="12.75" x14ac:dyDescent="0.2"/>
  <cols>
    <col min="2" max="2" width="15.28515625" bestFit="1" customWidth="1"/>
    <col min="3" max="3" width="15.85546875" customWidth="1"/>
    <col min="4" max="4" width="16.85546875" customWidth="1"/>
    <col min="5" max="5" width="15.28515625" bestFit="1" customWidth="1"/>
    <col min="6" max="7" width="13.85546875" bestFit="1" customWidth="1"/>
  </cols>
  <sheetData>
    <row r="1" spans="1:8" ht="38.25" x14ac:dyDescent="0.2">
      <c r="A1" s="61" t="s">
        <v>46</v>
      </c>
      <c r="B1" s="62" t="s">
        <v>47</v>
      </c>
      <c r="C1" s="53" t="s">
        <v>48</v>
      </c>
      <c r="D1" s="53" t="s">
        <v>49</v>
      </c>
      <c r="E1" s="53" t="s">
        <v>5</v>
      </c>
      <c r="F1" s="53" t="s">
        <v>6</v>
      </c>
      <c r="G1" s="53" t="s">
        <v>7</v>
      </c>
      <c r="H1" s="62" t="s">
        <v>50</v>
      </c>
    </row>
    <row r="2" spans="1:8" x14ac:dyDescent="0.2">
      <c r="A2" s="53" t="s">
        <v>51</v>
      </c>
      <c r="B2" s="54">
        <f>[1]!BexGetData("DP_1","DJ1BD4K6CAJTPVG0MVJ2J6Z2Y","0")</f>
        <v>1</v>
      </c>
      <c r="C2" s="55" t="str">
        <f>[1]!BexGetData("DP_1","DJ1BD4K6CAKLEHRRYEYOLMDCQ","0")</f>
        <v/>
      </c>
      <c r="D2" s="55" t="str">
        <f>[1]!BexGetData("DP_1","DJ1BD4K6CALD343J9YEAO1RMI","0")</f>
        <v/>
      </c>
      <c r="E2" s="54">
        <f>[1]!BexGetData("DP_1","DJ1BD4K6CAM4RQFALHTWQH5WA","0")</f>
        <v>1</v>
      </c>
      <c r="F2" s="54">
        <f>[1]!BexGetData("DP_1","DJ1BD4K6CANO4Z2T8KP4VBYFU","0")</f>
        <v>0</v>
      </c>
      <c r="G2" s="54">
        <f>[1]!BexGetData("DP_1","DJ1BD4K6CAOFTLEKK44QXRCPM","0")</f>
        <v>0</v>
      </c>
      <c r="H2" s="55">
        <f>[1]!BexGetData("DP_1","DJ1BD4K6CAPZ6U2376ZZ2M596","0")</f>
        <v>0</v>
      </c>
    </row>
    <row r="3" spans="1:8" x14ac:dyDescent="0.2">
      <c r="A3" s="53" t="s">
        <v>52</v>
      </c>
      <c r="B3" s="54">
        <f>[1]!BexGetData("DP_1","DJ1BD4K6CAJTPVG0MVJ2J6Z2Y","1")</f>
        <v>94147108</v>
      </c>
      <c r="C3" s="55" t="str">
        <f>[1]!BexGetData("DP_1","DJ1BD4K6CAKLEHRRYEYOLMDCQ","1")</f>
        <v/>
      </c>
      <c r="D3" s="55" t="str">
        <f>[1]!BexGetData("DP_1","DJ1BD4K6CALD343J9YEAO1RMI","1")</f>
        <v/>
      </c>
      <c r="E3" s="54">
        <f>[1]!BexGetData("DP_1","DJ1BD4K6CAM4RQFALHTWQH5WA","1")</f>
        <v>94147108</v>
      </c>
      <c r="F3" s="54">
        <f>[1]!BexGetData("DP_1","DJ1BD4K6CANO4Z2T8KP4VBYFU","1")</f>
        <v>64460336.619999997</v>
      </c>
      <c r="G3" s="54">
        <f>[1]!BexGetData("DP_1","DJ1BD4K6CAOFTLEKK44QXRCPM","1")</f>
        <v>64460336.619999997</v>
      </c>
      <c r="H3" s="56">
        <f>[1]!BexGetData("DP_1","DJ1BD4K6CAPZ6U2376ZZ2M596","1")</f>
        <v>0.68467675736</v>
      </c>
    </row>
    <row r="4" spans="1:8" x14ac:dyDescent="0.2">
      <c r="A4" s="53" t="s">
        <v>53</v>
      </c>
      <c r="B4" s="54">
        <f>[1]!BexGetData("DP_1","DJ1BD4K6CAJTPVG0MVJ2J6Z2Y","3")</f>
        <v>2</v>
      </c>
      <c r="C4" s="55" t="str">
        <f>[1]!BexGetData("DP_1","DJ1BD4K6CAKLEHRRYEYOLMDCQ","3")</f>
        <v/>
      </c>
      <c r="D4" s="55" t="str">
        <f>[1]!BexGetData("DP_1","DJ1BD4K6CALD343J9YEAO1RMI","3")</f>
        <v/>
      </c>
      <c r="E4" s="54">
        <f>[1]!BexGetData("DP_1","DJ1BD4K6CAM4RQFALHTWQH5WA","3")</f>
        <v>2</v>
      </c>
      <c r="F4" s="54">
        <f>[1]!BexGetData("DP_1","DJ1BD4K6CANO4Z2T8KP4VBYFU","3")</f>
        <v>0</v>
      </c>
      <c r="G4" s="54">
        <f>[1]!BexGetData("DP_1","DJ1BD4K6CAOFTLEKK44QXRCPM","3")</f>
        <v>0</v>
      </c>
      <c r="H4" s="55">
        <f>[1]!BexGetData("DP_1","DJ1BD4K6CAPZ6U2376ZZ2M596","3")</f>
        <v>0</v>
      </c>
    </row>
    <row r="5" spans="1:8" x14ac:dyDescent="0.2">
      <c r="A5" s="53" t="s">
        <v>54</v>
      </c>
      <c r="B5" s="54">
        <f>[1]!BexGetData("DP_1","DJ1BD4K6CAJTPVG0MVJ2J6Z2Y","4")</f>
        <v>105706115</v>
      </c>
      <c r="C5" s="55" t="str">
        <f>[1]!BexGetData("DP_1","DJ1BD4K6CAKLEHRRYEYOLMDCQ","4")</f>
        <v/>
      </c>
      <c r="D5" s="55" t="str">
        <f>[1]!BexGetData("DP_1","DJ1BD4K6CALD343J9YEAO1RMI","4")</f>
        <v/>
      </c>
      <c r="E5" s="54">
        <f>[1]!BexGetData("DP_1","DJ1BD4K6CAM4RQFALHTWQH5WA","4")</f>
        <v>105706115</v>
      </c>
      <c r="F5" s="54">
        <f>[1]!BexGetData("DP_1","DJ1BD4K6CANO4Z2T8KP4VBYFU","4")</f>
        <v>62464530.979999997</v>
      </c>
      <c r="G5" s="54">
        <f>[1]!BexGetData("DP_1","DJ1BD4K6CAOFTLEKK44QXRCPM","4")</f>
        <v>62464530.979999997</v>
      </c>
      <c r="H5" s="56">
        <f>[1]!BexGetData("DP_1","DJ1BD4K6CAPZ6U2376ZZ2M596","4")</f>
        <v>0.59092637148000005</v>
      </c>
    </row>
    <row r="6" spans="1:8" x14ac:dyDescent="0.2">
      <c r="A6" s="53" t="s">
        <v>55</v>
      </c>
      <c r="B6" s="54">
        <f>[1]!BexGetData("DP_1","DJ1BD4K6CAJTPVG0MVJ2J6Z2Y","5")</f>
        <v>2220256</v>
      </c>
      <c r="C6" s="55" t="str">
        <f>[1]!BexGetData("DP_1","DJ1BD4K6CAKLEHRRYEYOLMDCQ","5")</f>
        <v/>
      </c>
      <c r="D6" s="55" t="str">
        <f>[1]!BexGetData("DP_1","DJ1BD4K6CALD343J9YEAO1RMI","5")</f>
        <v/>
      </c>
      <c r="E6" s="54">
        <f>[1]!BexGetData("DP_1","DJ1BD4K6CAM4RQFALHTWQH5WA","5")</f>
        <v>2220256</v>
      </c>
      <c r="F6" s="54">
        <f>[1]!BexGetData("DP_1","DJ1BD4K6CANO4Z2T8KP4VBYFU","5")</f>
        <v>1207125.7</v>
      </c>
      <c r="G6" s="54">
        <f>[1]!BexGetData("DP_1","DJ1BD4K6CAOFTLEKK44QXRCPM","5")</f>
        <v>1207125.7</v>
      </c>
      <c r="H6" s="56">
        <f>[1]!BexGetData("DP_1","DJ1BD4K6CAPZ6U2376ZZ2M596","5")</f>
        <v>0.54368761981000002</v>
      </c>
    </row>
    <row r="7" spans="1:8" x14ac:dyDescent="0.2">
      <c r="A7" s="53" t="s">
        <v>56</v>
      </c>
      <c r="B7" s="54">
        <f>[1]!BexGetData("DP_1","DJ1BD4K6CAJTPVG0MVJ2J6Z2Y","6")</f>
        <v>66569155</v>
      </c>
      <c r="C7" s="55" t="str">
        <f>[1]!BexGetData("DP_1","DJ1BD4K6CAKLEHRRYEYOLMDCQ","6")</f>
        <v/>
      </c>
      <c r="D7" s="55" t="str">
        <f>[1]!BexGetData("DP_1","DJ1BD4K6CALD343J9YEAO1RMI","6")</f>
        <v/>
      </c>
      <c r="E7" s="54">
        <f>[1]!BexGetData("DP_1","DJ1BD4K6CAM4RQFALHTWQH5WA","6")</f>
        <v>66569155</v>
      </c>
      <c r="F7" s="54">
        <f>[1]!BexGetData("DP_1","DJ1BD4K6CANO4Z2T8KP4VBYFU","6")</f>
        <v>19905604.23</v>
      </c>
      <c r="G7" s="54">
        <f>[1]!BexGetData("DP_1","DJ1BD4K6CAOFTLEKK44QXRCPM","6")</f>
        <v>19905604.23</v>
      </c>
      <c r="H7" s="56">
        <f>[1]!BexGetData("DP_1","DJ1BD4K6CAPZ6U2376ZZ2M596","6")</f>
        <v>0.29902143463000003</v>
      </c>
    </row>
    <row r="8" spans="1:8" x14ac:dyDescent="0.2">
      <c r="A8" s="53" t="s">
        <v>57</v>
      </c>
      <c r="B8" s="54">
        <f>[1]!BexGetData("DP_1","DJ1BD4K6CAJTPVG0MVJ2J6Z2Y","7")</f>
        <v>3</v>
      </c>
      <c r="C8" s="55" t="str">
        <f>[1]!BexGetData("DP_1","DJ1BD4K6CAKLEHRRYEYOLMDCQ","7")</f>
        <v/>
      </c>
      <c r="D8" s="55" t="str">
        <f>[1]!BexGetData("DP_1","DJ1BD4K6CALD343J9YEAO1RMI","7")</f>
        <v/>
      </c>
      <c r="E8" s="54">
        <f>[1]!BexGetData("DP_1","DJ1BD4K6CAM4RQFALHTWQH5WA","7")</f>
        <v>3</v>
      </c>
      <c r="F8" s="54">
        <f>[1]!BexGetData("DP_1","DJ1BD4K6CANO4Z2T8KP4VBYFU","7")</f>
        <v>0</v>
      </c>
      <c r="G8" s="54">
        <f>[1]!BexGetData("DP_1","DJ1BD4K6CAOFTLEKK44QXRCPM","7")</f>
        <v>0</v>
      </c>
      <c r="H8" s="55">
        <f>[1]!BexGetData("DP_1","DJ1BD4K6CAPZ6U2376ZZ2M596","7")</f>
        <v>0</v>
      </c>
    </row>
    <row r="9" spans="1:8" x14ac:dyDescent="0.2">
      <c r="A9" s="53" t="s">
        <v>58</v>
      </c>
      <c r="B9" s="54">
        <f>[1]!BexGetData("DP_1","DJ1BD4K6CAJTPVG0MVJ2J6Z2Y","8")</f>
        <v>818373131</v>
      </c>
      <c r="C9" s="55" t="str">
        <f>[1]!BexGetData("DP_1","DJ1BD4K6CAKLEHRRYEYOLMDCQ","8")</f>
        <v/>
      </c>
      <c r="D9" s="55" t="str">
        <f>[1]!BexGetData("DP_1","DJ1BD4K6CALD343J9YEAO1RMI","8")</f>
        <v/>
      </c>
      <c r="E9" s="54">
        <f>[1]!BexGetData("DP_1","DJ1BD4K6CAM4RQFALHTWQH5WA","8")</f>
        <v>818373131</v>
      </c>
      <c r="F9" s="54">
        <f>[1]!BexGetData("DP_1","DJ1BD4K6CANO4Z2T8KP4VBYFU","8")</f>
        <v>201339705.49000001</v>
      </c>
      <c r="G9" s="54">
        <f>[1]!BexGetData("DP_1","DJ1BD4K6CAOFTLEKK44QXRCPM","8")</f>
        <v>201339705.49000001</v>
      </c>
      <c r="H9" s="56">
        <f>[1]!BexGetData("DP_1","DJ1BD4K6CAPZ6U2376ZZ2M596","8")</f>
        <v>0.24602433519</v>
      </c>
    </row>
    <row r="10" spans="1:8" x14ac:dyDescent="0.2">
      <c r="A10" s="53" t="s">
        <v>59</v>
      </c>
      <c r="B10" s="54">
        <f>[1]!BexGetData("DP_1","DJ1BD4K6CAJTPVG0MVJ2J6Z2Y","9")</f>
        <v>81334180</v>
      </c>
      <c r="C10" s="55" t="str">
        <f>[1]!BexGetData("DP_1","DJ1BD4K6CAKLEHRRYEYOLMDCQ","9")</f>
        <v/>
      </c>
      <c r="D10" s="55" t="str">
        <f>[1]!BexGetData("DP_1","DJ1BD4K6CALD343J9YEAO1RMI","9")</f>
        <v/>
      </c>
      <c r="E10" s="54">
        <f>[1]!BexGetData("DP_1","DJ1BD4K6CAM4RQFALHTWQH5WA","9")</f>
        <v>81334180</v>
      </c>
      <c r="F10" s="54">
        <f>[1]!BexGetData("DP_1","DJ1BD4K6CANO4Z2T8KP4VBYFU","9")</f>
        <v>7238879.4699999997</v>
      </c>
      <c r="G10" s="54">
        <f>[1]!BexGetData("DP_1","DJ1BD4K6CAOFTLEKK44QXRCPM","9")</f>
        <v>7238879.4699999997</v>
      </c>
      <c r="H10" s="56">
        <f>[1]!BexGetData("DP_1","DJ1BD4K6CAPZ6U2376ZZ2M596","9")</f>
        <v>8.9001689940000003E-2</v>
      </c>
    </row>
    <row r="11" spans="1:8" x14ac:dyDescent="0.2">
      <c r="A11" s="57" t="s">
        <v>60</v>
      </c>
      <c r="B11" s="58">
        <f>[1]!BexGetData("DP_1","DJ1BD4K6CAJTPVG0MVJ2J6Z2Y","SUMME")</f>
        <v>1168349951</v>
      </c>
      <c r="C11" s="59" t="str">
        <f>[1]!BexGetData("DP_1","DJ1BD4K6CAKLEHRRYEYOLMDCQ","SUMME")</f>
        <v/>
      </c>
      <c r="D11" s="59" t="str">
        <f>[1]!BexGetData("DP_1","DJ1BD4K6CALD343J9YEAO1RMI","SUMME")</f>
        <v/>
      </c>
      <c r="E11" s="58">
        <f>[1]!BexGetData("DP_1","DJ1BD4K6CAM4RQFALHTWQH5WA","SUMME")</f>
        <v>1168349951</v>
      </c>
      <c r="F11" s="58">
        <f>[1]!BexGetData("DP_1","DJ1BD4K6CANO4Z2T8KP4VBYFU","SUMME")</f>
        <v>356616182.49000001</v>
      </c>
      <c r="G11" s="58">
        <f>[1]!BexGetData("DP_1","DJ1BD4K6CAOFTLEKK44QXRCPM","SUMME")</f>
        <v>356616182.49000001</v>
      </c>
      <c r="H11" s="60">
        <f>[1]!BexGetData("DP_1","DJ1BD4K6CAPZ6U2376ZZ2M596","SUMME")</f>
        <v>0.30523062220000002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>
    <row r="1" spans="1:1" x14ac:dyDescent="0.2">
      <c r="A1">
        <v>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topLeftCell="A4" workbookViewId="0">
      <selection activeCell="B20" sqref="B20"/>
    </sheetView>
  </sheetViews>
  <sheetFormatPr baseColWidth="10" defaultRowHeight="12.75" x14ac:dyDescent="0.2"/>
  <cols>
    <col min="1" max="1" width="36.85546875" customWidth="1"/>
    <col min="2" max="2" width="15.28515625" bestFit="1" customWidth="1"/>
    <col min="3" max="3" width="14.85546875" customWidth="1"/>
    <col min="4" max="4" width="16.5703125" customWidth="1"/>
    <col min="5" max="5" width="15.7109375" customWidth="1"/>
    <col min="6" max="6" width="13.7109375" customWidth="1"/>
    <col min="7" max="7" width="18.42578125" customWidth="1"/>
    <col min="8" max="8" width="16.85546875" customWidth="1"/>
  </cols>
  <sheetData>
    <row r="1" spans="1:8" ht="38.25" x14ac:dyDescent="0.2">
      <c r="A1" s="61" t="s">
        <v>61</v>
      </c>
      <c r="B1" s="62" t="s">
        <v>47</v>
      </c>
      <c r="C1" s="53" t="s">
        <v>48</v>
      </c>
      <c r="D1" s="53" t="s">
        <v>49</v>
      </c>
      <c r="E1" s="53" t="s">
        <v>5</v>
      </c>
      <c r="F1" s="53" t="s">
        <v>6</v>
      </c>
      <c r="G1" s="53" t="s">
        <v>7</v>
      </c>
      <c r="H1" s="62" t="s">
        <v>50</v>
      </c>
    </row>
    <row r="2" spans="1:8" x14ac:dyDescent="0.2">
      <c r="A2" s="53" t="s">
        <v>62</v>
      </c>
      <c r="B2" s="54">
        <f>[1]!BexGetData("DP_2","DJ1BC55DLL9YJD00V8YX1TTZU","01")</f>
        <v>1</v>
      </c>
      <c r="C2" s="55" t="str">
        <f>[1]!BexGetData("DP_2","DJ1BC55DLLAQ7ZBS6SEJ4989M","01")</f>
        <v/>
      </c>
      <c r="D2" s="55" t="str">
        <f>[1]!BexGetData("DP_2","DJ1BC55DLLBHWLNJIBU56OMJE","01")</f>
        <v/>
      </c>
      <c r="E2" s="54">
        <f>[1]!BexGetData("DP_2","DJ1BC55DLLC9L7ZATV9R940T6","01")</f>
        <v>1</v>
      </c>
      <c r="F2" s="54">
        <f>[1]!BexGetData("DP_2","DJ1BC55DLLDSYGMTGY4ZDYTCQ","01")</f>
        <v>0</v>
      </c>
      <c r="G2" s="54">
        <f>[1]!BexGetData("DP_2","DJ1BC55DLLEKN2YKSHKLGE7MI","01")</f>
        <v>0</v>
      </c>
      <c r="H2" s="55">
        <f>[1]!BexGetData("DP_2","DJ1BC55DLLG40BM3FKFTL9062","01")</f>
        <v>0</v>
      </c>
    </row>
    <row r="3" spans="1:8" x14ac:dyDescent="0.2">
      <c r="A3" s="53" t="s">
        <v>63</v>
      </c>
      <c r="B3" s="54">
        <f>[1]!BexGetData("DP_2","DJ1BC55DLL9YJD00V8YX1TTZU","11")</f>
        <v>637540</v>
      </c>
      <c r="C3" s="55" t="str">
        <f>[1]!BexGetData("DP_2","DJ1BC55DLLAQ7ZBS6SEJ4989M","11")</f>
        <v/>
      </c>
      <c r="D3" s="55" t="str">
        <f>[1]!BexGetData("DP_2","DJ1BC55DLLBHWLNJIBU56OMJE","11")</f>
        <v/>
      </c>
      <c r="E3" s="54">
        <f>[1]!BexGetData("DP_2","DJ1BC55DLLC9L7ZATV9R940T6","11")</f>
        <v>637540</v>
      </c>
      <c r="F3" s="54">
        <f>[1]!BexGetData("DP_2","DJ1BC55DLLDSYGMTGY4ZDYTCQ","11")</f>
        <v>55060.6</v>
      </c>
      <c r="G3" s="54">
        <f>[1]!BexGetData("DP_2","DJ1BC55DLLEKN2YKSHKLGE7MI","11")</f>
        <v>55060.6</v>
      </c>
      <c r="H3" s="56">
        <f>[1]!BexGetData("DP_2","DJ1BC55DLLG40BM3FKFTL9062","11")</f>
        <v>8.6364149700000004E-2</v>
      </c>
    </row>
    <row r="4" spans="1:8" x14ac:dyDescent="0.2">
      <c r="A4" s="53" t="s">
        <v>64</v>
      </c>
      <c r="B4" s="54">
        <f>[1]!BexGetData("DP_2","DJ1BC55DLL9YJD00V8YX1TTZU","12")</f>
        <v>89716165</v>
      </c>
      <c r="C4" s="55" t="str">
        <f>[1]!BexGetData("DP_2","DJ1BC55DLLAQ7ZBS6SEJ4989M","12")</f>
        <v/>
      </c>
      <c r="D4" s="55" t="str">
        <f>[1]!BexGetData("DP_2","DJ1BC55DLLBHWLNJIBU56OMJE","12")</f>
        <v/>
      </c>
      <c r="E4" s="54">
        <f>[1]!BexGetData("DP_2","DJ1BC55DLLC9L7ZATV9R940T6","12")</f>
        <v>89716165</v>
      </c>
      <c r="F4" s="54">
        <f>[1]!BexGetData("DP_2","DJ1BC55DLLDSYGMTGY4ZDYTCQ","12")</f>
        <v>60512404.100000001</v>
      </c>
      <c r="G4" s="54">
        <f>[1]!BexGetData("DP_2","DJ1BC55DLLEKN2YKSHKLGE7MI","12")</f>
        <v>60512404.100000001</v>
      </c>
      <c r="H4" s="56">
        <f>[1]!BexGetData("DP_2","DJ1BC55DLLG40BM3FKFTL9062","12")</f>
        <v>0.67448719079999997</v>
      </c>
    </row>
    <row r="5" spans="1:8" x14ac:dyDescent="0.2">
      <c r="A5" s="53" t="s">
        <v>65</v>
      </c>
      <c r="B5" s="54">
        <f>[1]!BexGetData("DP_2","DJ1BC55DLL9YJD00V8YX1TTZU","17")</f>
        <v>1</v>
      </c>
      <c r="C5" s="55" t="str">
        <f>[1]!BexGetData("DP_2","DJ1BC55DLLAQ7ZBS6SEJ4989M","17")</f>
        <v/>
      </c>
      <c r="D5" s="55" t="str">
        <f>[1]!BexGetData("DP_2","DJ1BC55DLLBHWLNJIBU56OMJE","17")</f>
        <v/>
      </c>
      <c r="E5" s="54">
        <f>[1]!BexGetData("DP_2","DJ1BC55DLLC9L7ZATV9R940T6","17")</f>
        <v>1</v>
      </c>
      <c r="F5" s="54">
        <f>[1]!BexGetData("DP_2","DJ1BC55DLLDSYGMTGY4ZDYTCQ","17")</f>
        <v>1629757.4</v>
      </c>
      <c r="G5" s="54">
        <f>[1]!BexGetData("DP_2","DJ1BC55DLLEKN2YKSHKLGE7MI","17")</f>
        <v>1629757.4</v>
      </c>
      <c r="H5" s="56">
        <f>[1]!BexGetData("DP_2","DJ1BC55DLLG40BM3FKFTL9062","17")</f>
        <v>1629757.4</v>
      </c>
    </row>
    <row r="6" spans="1:8" x14ac:dyDescent="0.2">
      <c r="A6" s="53" t="s">
        <v>66</v>
      </c>
      <c r="B6" s="54">
        <f>[1]!BexGetData("DP_2","DJ1BC55DLL9YJD00V8YX1TTZU","18")</f>
        <v>3793401</v>
      </c>
      <c r="C6" s="55" t="str">
        <f>[1]!BexGetData("DP_2","DJ1BC55DLLAQ7ZBS6SEJ4989M","18")</f>
        <v/>
      </c>
      <c r="D6" s="55" t="str">
        <f>[1]!BexGetData("DP_2","DJ1BC55DLLBHWLNJIBU56OMJE","18")</f>
        <v/>
      </c>
      <c r="E6" s="54">
        <f>[1]!BexGetData("DP_2","DJ1BC55DLLC9L7ZATV9R940T6","18")</f>
        <v>3793401</v>
      </c>
      <c r="F6" s="54">
        <f>[1]!BexGetData("DP_2","DJ1BC55DLLDSYGMTGY4ZDYTCQ","18")</f>
        <v>2263114.52</v>
      </c>
      <c r="G6" s="54">
        <f>[1]!BexGetData("DP_2","DJ1BC55DLLEKN2YKSHKLGE7MI","18")</f>
        <v>2263114.52</v>
      </c>
      <c r="H6" s="56">
        <f>[1]!BexGetData("DP_2","DJ1BC55DLLG40BM3FKFTL9062","18")</f>
        <v>0.59659248257999997</v>
      </c>
    </row>
    <row r="7" spans="1:8" x14ac:dyDescent="0.2">
      <c r="A7" s="53" t="s">
        <v>67</v>
      </c>
      <c r="B7" s="54">
        <f>[1]!BexGetData("DP_2","DJ1BC55DLL9YJD00V8YX1TTZU","19")</f>
        <v>1</v>
      </c>
      <c r="C7" s="55" t="str">
        <f>[1]!BexGetData("DP_2","DJ1BC55DLLAQ7ZBS6SEJ4989M","19")</f>
        <v/>
      </c>
      <c r="D7" s="55" t="str">
        <f>[1]!BexGetData("DP_2","DJ1BC55DLLBHWLNJIBU56OMJE","19")</f>
        <v/>
      </c>
      <c r="E7" s="54">
        <f>[1]!BexGetData("DP_2","DJ1BC55DLLC9L7ZATV9R940T6","19")</f>
        <v>1</v>
      </c>
      <c r="F7" s="54">
        <f>[1]!BexGetData("DP_2","DJ1BC55DLLDSYGMTGY4ZDYTCQ","19")</f>
        <v>0</v>
      </c>
      <c r="G7" s="54">
        <f>[1]!BexGetData("DP_2","DJ1BC55DLLEKN2YKSHKLGE7MI","19")</f>
        <v>0</v>
      </c>
      <c r="H7" s="55">
        <f>[1]!BexGetData("DP_2","DJ1BC55DLLG40BM3FKFTL9062","19")</f>
        <v>0</v>
      </c>
    </row>
    <row r="8" spans="1:8" x14ac:dyDescent="0.2">
      <c r="A8" s="53" t="s">
        <v>68</v>
      </c>
      <c r="B8" s="54">
        <f>[1]!BexGetData("DP_2","DJ1BC55DLL9YJD00V8YX1TTZU","31")</f>
        <v>1</v>
      </c>
      <c r="C8" s="55" t="str">
        <f>[1]!BexGetData("DP_2","DJ1BC55DLLAQ7ZBS6SEJ4989M","31")</f>
        <v/>
      </c>
      <c r="D8" s="55" t="str">
        <f>[1]!BexGetData("DP_2","DJ1BC55DLLBHWLNJIBU56OMJE","31")</f>
        <v/>
      </c>
      <c r="E8" s="54">
        <f>[1]!BexGetData("DP_2","DJ1BC55DLLC9L7ZATV9R940T6","31")</f>
        <v>1</v>
      </c>
      <c r="F8" s="54">
        <f>[1]!BexGetData("DP_2","DJ1BC55DLLDSYGMTGY4ZDYTCQ","31")</f>
        <v>0</v>
      </c>
      <c r="G8" s="54">
        <f>[1]!BexGetData("DP_2","DJ1BC55DLLEKN2YKSHKLGE7MI","31")</f>
        <v>0</v>
      </c>
      <c r="H8" s="55">
        <f>[1]!BexGetData("DP_2","DJ1BC55DLLG40BM3FKFTL9062","31")</f>
        <v>0</v>
      </c>
    </row>
    <row r="9" spans="1:8" x14ac:dyDescent="0.2">
      <c r="A9" s="53" t="s">
        <v>69</v>
      </c>
      <c r="B9" s="54">
        <f>[1]!BexGetData("DP_2","DJ1BC55DLL9YJD00V8YX1TTZU","39")</f>
        <v>1</v>
      </c>
      <c r="C9" s="55" t="str">
        <f>[1]!BexGetData("DP_2","DJ1BC55DLLAQ7ZBS6SEJ4989M","39")</f>
        <v/>
      </c>
      <c r="D9" s="55" t="str">
        <f>[1]!BexGetData("DP_2","DJ1BC55DLLBHWLNJIBU56OMJE","39")</f>
        <v/>
      </c>
      <c r="E9" s="54">
        <f>[1]!BexGetData("DP_2","DJ1BC55DLLC9L7ZATV9R940T6","39")</f>
        <v>1</v>
      </c>
      <c r="F9" s="54">
        <f>[1]!BexGetData("DP_2","DJ1BC55DLLDSYGMTGY4ZDYTCQ","39")</f>
        <v>0</v>
      </c>
      <c r="G9" s="54">
        <f>[1]!BexGetData("DP_2","DJ1BC55DLLEKN2YKSHKLGE7MI","39")</f>
        <v>0</v>
      </c>
      <c r="H9" s="55">
        <f>[1]!BexGetData("DP_2","DJ1BC55DLLG40BM3FKFTL9062","39")</f>
        <v>0</v>
      </c>
    </row>
    <row r="10" spans="1:8" x14ac:dyDescent="0.2">
      <c r="A10" s="53" t="s">
        <v>70</v>
      </c>
      <c r="B10" s="54">
        <f>[1]!BexGetData("DP_2","DJ1BC55DLL9YJD00V8YX1TTZU","41")</f>
        <v>12832449</v>
      </c>
      <c r="C10" s="55" t="str">
        <f>[1]!BexGetData("DP_2","DJ1BC55DLLAQ7ZBS6SEJ4989M","41")</f>
        <v/>
      </c>
      <c r="D10" s="55" t="str">
        <f>[1]!BexGetData("DP_2","DJ1BC55DLLBHWLNJIBU56OMJE","41")</f>
        <v/>
      </c>
      <c r="E10" s="54">
        <f>[1]!BexGetData("DP_2","DJ1BC55DLLC9L7ZATV9R940T6","41")</f>
        <v>12832449</v>
      </c>
      <c r="F10" s="54">
        <f>[1]!BexGetData("DP_2","DJ1BC55DLLDSYGMTGY4ZDYTCQ","41")</f>
        <v>10365068.57</v>
      </c>
      <c r="G10" s="54">
        <f>[1]!BexGetData("DP_2","DJ1BC55DLLEKN2YKSHKLGE7MI","41")</f>
        <v>10365068.57</v>
      </c>
      <c r="H10" s="56">
        <f>[1]!BexGetData("DP_2","DJ1BC55DLLG40BM3FKFTL9062","41")</f>
        <v>0.80772334026000003</v>
      </c>
    </row>
    <row r="11" spans="1:8" x14ac:dyDescent="0.2">
      <c r="A11" s="53" t="s">
        <v>71</v>
      </c>
      <c r="B11" s="54">
        <f>[1]!BexGetData("DP_2","DJ1BC55DLL9YJD00V8YX1TTZU","43")</f>
        <v>52668591</v>
      </c>
      <c r="C11" s="55" t="str">
        <f>[1]!BexGetData("DP_2","DJ1BC55DLLAQ7ZBS6SEJ4989M","43")</f>
        <v/>
      </c>
      <c r="D11" s="55" t="str">
        <f>[1]!BexGetData("DP_2","DJ1BC55DLLBHWLNJIBU56OMJE","43")</f>
        <v/>
      </c>
      <c r="E11" s="54">
        <f>[1]!BexGetData("DP_2","DJ1BC55DLLC9L7ZATV9R940T6","43")</f>
        <v>52668591</v>
      </c>
      <c r="F11" s="54">
        <f>[1]!BexGetData("DP_2","DJ1BC55DLLDSYGMTGY4ZDYTCQ","43")</f>
        <v>25073670.140000001</v>
      </c>
      <c r="G11" s="54">
        <f>[1]!BexGetData("DP_2","DJ1BC55DLLEKN2YKSHKLGE7MI","43")</f>
        <v>25073670.140000001</v>
      </c>
      <c r="H11" s="56">
        <f>[1]!BexGetData("DP_2","DJ1BC55DLLG40BM3FKFTL9062","43")</f>
        <v>0.47606494997999999</v>
      </c>
    </row>
    <row r="12" spans="1:8" x14ac:dyDescent="0.2">
      <c r="A12" s="53" t="s">
        <v>72</v>
      </c>
      <c r="B12" s="54">
        <f>[1]!BexGetData("DP_2","DJ1BC55DLL9YJD00V8YX1TTZU","44")</f>
        <v>40205073</v>
      </c>
      <c r="C12" s="55" t="str">
        <f>[1]!BexGetData("DP_2","DJ1BC55DLLAQ7ZBS6SEJ4989M","44")</f>
        <v/>
      </c>
      <c r="D12" s="55" t="str">
        <f>[1]!BexGetData("DP_2","DJ1BC55DLLBHWLNJIBU56OMJE","44")</f>
        <v/>
      </c>
      <c r="E12" s="54">
        <f>[1]!BexGetData("DP_2","DJ1BC55DLLC9L7ZATV9R940T6","44")</f>
        <v>40205073</v>
      </c>
      <c r="F12" s="54">
        <f>[1]!BexGetData("DP_2","DJ1BC55DLLDSYGMTGY4ZDYTCQ","44")</f>
        <v>26162201.489999998</v>
      </c>
      <c r="G12" s="54">
        <f>[1]!BexGetData("DP_2","DJ1BC55DLLEKN2YKSHKLGE7MI","44")</f>
        <v>26162201.489999998</v>
      </c>
      <c r="H12" s="56">
        <f>[1]!BexGetData("DP_2","DJ1BC55DLLG40BM3FKFTL9062","44")</f>
        <v>0.65071891525000003</v>
      </c>
    </row>
    <row r="13" spans="1:8" x14ac:dyDescent="0.2">
      <c r="A13" s="53" t="s">
        <v>73</v>
      </c>
      <c r="B13" s="54">
        <f>[1]!BexGetData("DP_2","DJ1BC55DLL9YJD00V8YX1TTZU","45")</f>
        <v>1</v>
      </c>
      <c r="C13" s="55" t="str">
        <f>[1]!BexGetData("DP_2","DJ1BC55DLLAQ7ZBS6SEJ4989M","45")</f>
        <v/>
      </c>
      <c r="D13" s="55" t="str">
        <f>[1]!BexGetData("DP_2","DJ1BC55DLLBHWLNJIBU56OMJE","45")</f>
        <v/>
      </c>
      <c r="E13" s="54">
        <f>[1]!BexGetData("DP_2","DJ1BC55DLLC9L7ZATV9R940T6","45")</f>
        <v>1</v>
      </c>
      <c r="F13" s="54">
        <f>[1]!BexGetData("DP_2","DJ1BC55DLLDSYGMTGY4ZDYTCQ","45")</f>
        <v>863590.78</v>
      </c>
      <c r="G13" s="54">
        <f>[1]!BexGetData("DP_2","DJ1BC55DLLEKN2YKSHKLGE7MI","45")</f>
        <v>863590.78</v>
      </c>
      <c r="H13" s="56">
        <f>[1]!BexGetData("DP_2","DJ1BC55DLLG40BM3FKFTL9062","45")</f>
        <v>863590.78</v>
      </c>
    </row>
    <row r="14" spans="1:8" x14ac:dyDescent="0.2">
      <c r="A14" s="53" t="s">
        <v>74</v>
      </c>
      <c r="B14" s="54">
        <f>[1]!BexGetData("DP_2","DJ1BC55DLL9YJD00V8YX1TTZU","49")</f>
        <v>1</v>
      </c>
      <c r="C14" s="55" t="str">
        <f>[1]!BexGetData("DP_2","DJ1BC55DLLAQ7ZBS6SEJ4989M","49")</f>
        <v/>
      </c>
      <c r="D14" s="55" t="str">
        <f>[1]!BexGetData("DP_2","DJ1BC55DLLBHWLNJIBU56OMJE","49")</f>
        <v/>
      </c>
      <c r="E14" s="54">
        <f>[1]!BexGetData("DP_2","DJ1BC55DLLC9L7ZATV9R940T6","49")</f>
        <v>1</v>
      </c>
      <c r="F14" s="54">
        <f>[1]!BexGetData("DP_2","DJ1BC55DLLDSYGMTGY4ZDYTCQ","49")</f>
        <v>0</v>
      </c>
      <c r="G14" s="54">
        <f>[1]!BexGetData("DP_2","DJ1BC55DLLEKN2YKSHKLGE7MI","49")</f>
        <v>0</v>
      </c>
      <c r="H14" s="55">
        <f>[1]!BexGetData("DP_2","DJ1BC55DLLG40BM3FKFTL9062","49")</f>
        <v>0</v>
      </c>
    </row>
    <row r="15" spans="1:8" x14ac:dyDescent="0.2">
      <c r="A15" s="53" t="s">
        <v>75</v>
      </c>
      <c r="B15" s="54">
        <f>[1]!BexGetData("DP_2","DJ1BC55DLL9YJD00V8YX1TTZU","51")</f>
        <v>2220253</v>
      </c>
      <c r="C15" s="55" t="str">
        <f>[1]!BexGetData("DP_2","DJ1BC55DLLAQ7ZBS6SEJ4989M","51")</f>
        <v/>
      </c>
      <c r="D15" s="55" t="str">
        <f>[1]!BexGetData("DP_2","DJ1BC55DLLBHWLNJIBU56OMJE","51")</f>
        <v/>
      </c>
      <c r="E15" s="54">
        <f>[1]!BexGetData("DP_2","DJ1BC55DLLC9L7ZATV9R940T6","51")</f>
        <v>2220253</v>
      </c>
      <c r="F15" s="54">
        <f>[1]!BexGetData("DP_2","DJ1BC55DLLDSYGMTGY4ZDYTCQ","51")</f>
        <v>1219219.3899999999</v>
      </c>
      <c r="G15" s="54">
        <f>[1]!BexGetData("DP_2","DJ1BC55DLLEKN2YKSHKLGE7MI","51")</f>
        <v>1219219.3899999999</v>
      </c>
      <c r="H15" s="56">
        <f>[1]!BexGetData("DP_2","DJ1BC55DLLG40BM3FKFTL9062","51")</f>
        <v>0.54913534178000001</v>
      </c>
    </row>
    <row r="16" spans="1:8" x14ac:dyDescent="0.2">
      <c r="A16" s="53" t="s">
        <v>76</v>
      </c>
      <c r="B16" s="54">
        <f>[1]!BexGetData("DP_2","DJ1BC55DLL9YJD00V8YX1TTZU","52")</f>
        <v>2</v>
      </c>
      <c r="C16" s="55" t="str">
        <f>[1]!BexGetData("DP_2","DJ1BC55DLLAQ7ZBS6SEJ4989M","52")</f>
        <v/>
      </c>
      <c r="D16" s="55" t="str">
        <f>[1]!BexGetData("DP_2","DJ1BC55DLLBHWLNJIBU56OMJE","52")</f>
        <v/>
      </c>
      <c r="E16" s="54">
        <f>[1]!BexGetData("DP_2","DJ1BC55DLLC9L7ZATV9R940T6","52")</f>
        <v>2</v>
      </c>
      <c r="F16" s="54">
        <f>[1]!BexGetData("DP_2","DJ1BC55DLLDSYGMTGY4ZDYTCQ","52")</f>
        <v>0</v>
      </c>
      <c r="G16" s="54">
        <f>[1]!BexGetData("DP_2","DJ1BC55DLLEKN2YKSHKLGE7MI","52")</f>
        <v>0</v>
      </c>
      <c r="H16" s="55">
        <f>[1]!BexGetData("DP_2","DJ1BC55DLLG40BM3FKFTL9062","52")</f>
        <v>0</v>
      </c>
    </row>
    <row r="17" spans="1:8" x14ac:dyDescent="0.2">
      <c r="A17" s="53" t="s">
        <v>77</v>
      </c>
      <c r="B17" s="54">
        <f>[1]!BexGetData("DP_2","DJ1BC55DLL9YJD00V8YX1TTZU","59")</f>
        <v>1</v>
      </c>
      <c r="C17" s="55" t="str">
        <f>[1]!BexGetData("DP_2","DJ1BC55DLLAQ7ZBS6SEJ4989M","59")</f>
        <v/>
      </c>
      <c r="D17" s="55" t="str">
        <f>[1]!BexGetData("DP_2","DJ1BC55DLLBHWLNJIBU56OMJE","59")</f>
        <v/>
      </c>
      <c r="E17" s="54">
        <f>[1]!BexGetData("DP_2","DJ1BC55DLLC9L7ZATV9R940T6","59")</f>
        <v>1</v>
      </c>
      <c r="F17" s="54">
        <f>[1]!BexGetData("DP_2","DJ1BC55DLLDSYGMTGY4ZDYTCQ","59")</f>
        <v>-12093.69</v>
      </c>
      <c r="G17" s="54">
        <f>[1]!BexGetData("DP_2","DJ1BC55DLLEKN2YKSHKLGE7MI","59")</f>
        <v>-12093.69</v>
      </c>
      <c r="H17" s="56">
        <f>[1]!BexGetData("DP_2","DJ1BC55DLLG40BM3FKFTL9062","59")</f>
        <v>-12093.69</v>
      </c>
    </row>
    <row r="18" spans="1:8" x14ac:dyDescent="0.2">
      <c r="A18" s="53" t="s">
        <v>78</v>
      </c>
      <c r="B18" s="54">
        <f>[1]!BexGetData("DP_2","DJ1BC55DLL9YJD00V8YX1TTZU","61")</f>
        <v>62341202</v>
      </c>
      <c r="C18" s="55" t="str">
        <f>[1]!BexGetData("DP_2","DJ1BC55DLLAQ7ZBS6SEJ4989M","61")</f>
        <v/>
      </c>
      <c r="D18" s="55" t="str">
        <f>[1]!BexGetData("DP_2","DJ1BC55DLLBHWLNJIBU56OMJE","61")</f>
        <v/>
      </c>
      <c r="E18" s="54">
        <f>[1]!BexGetData("DP_2","DJ1BC55DLLC9L7ZATV9R940T6","61")</f>
        <v>62341202</v>
      </c>
      <c r="F18" s="54">
        <f>[1]!BexGetData("DP_2","DJ1BC55DLLDSYGMTGY4ZDYTCQ","61")</f>
        <v>17108789.32</v>
      </c>
      <c r="G18" s="54">
        <f>[1]!BexGetData("DP_2","DJ1BC55DLLEKN2YKSHKLGE7MI","61")</f>
        <v>17108789.32</v>
      </c>
      <c r="H18" s="56">
        <f>[1]!BexGetData("DP_2","DJ1BC55DLLG40BM3FKFTL9062","61")</f>
        <v>0.27443791219000002</v>
      </c>
    </row>
    <row r="19" spans="1:8" x14ac:dyDescent="0.2">
      <c r="A19" s="53" t="s">
        <v>79</v>
      </c>
      <c r="B19" s="54">
        <f>[1]!BexGetData("DP_2","DJ1BC55DLL9YJD00V8YX1TTZU","62")</f>
        <v>4227952</v>
      </c>
      <c r="C19" s="55" t="str">
        <f>[1]!BexGetData("DP_2","DJ1BC55DLLAQ7ZBS6SEJ4989M","62")</f>
        <v/>
      </c>
      <c r="D19" s="55" t="str">
        <f>[1]!BexGetData("DP_2","DJ1BC55DLLBHWLNJIBU56OMJE","62")</f>
        <v/>
      </c>
      <c r="E19" s="54">
        <f>[1]!BexGetData("DP_2","DJ1BC55DLLC9L7ZATV9R940T6","62")</f>
        <v>4227952</v>
      </c>
      <c r="F19" s="54">
        <f>[1]!BexGetData("DP_2","DJ1BC55DLLDSYGMTGY4ZDYTCQ","62")</f>
        <v>2796814.91</v>
      </c>
      <c r="G19" s="54">
        <f>[1]!BexGetData("DP_2","DJ1BC55DLLEKN2YKSHKLGE7MI","62")</f>
        <v>2796814.91</v>
      </c>
      <c r="H19" s="56">
        <f>[1]!BexGetData("DP_2","DJ1BC55DLLG40BM3FKFTL9062","62")</f>
        <v>0.66150583307999999</v>
      </c>
    </row>
    <row r="20" spans="1:8" x14ac:dyDescent="0.2">
      <c r="A20" s="53" t="s">
        <v>80</v>
      </c>
      <c r="B20" s="54">
        <f>[1]!BexGetData("DP_2","DJ1BC55DLL9YJD00V8YX1TTZU","69")</f>
        <v>1</v>
      </c>
      <c r="C20" s="55" t="str">
        <f>[1]!BexGetData("DP_2","DJ1BC55DLLAQ7ZBS6SEJ4989M","69")</f>
        <v/>
      </c>
      <c r="D20" s="55" t="str">
        <f>[1]!BexGetData("DP_2","DJ1BC55DLLBHWLNJIBU56OMJE","69")</f>
        <v/>
      </c>
      <c r="E20" s="54">
        <f>[1]!BexGetData("DP_2","DJ1BC55DLLC9L7ZATV9R940T6","69")</f>
        <v>1</v>
      </c>
      <c r="F20" s="54">
        <f>[1]!BexGetData("DP_2","DJ1BC55DLLDSYGMTGY4ZDYTCQ","69")</f>
        <v>0</v>
      </c>
      <c r="G20" s="54">
        <f>[1]!BexGetData("DP_2","DJ1BC55DLLEKN2YKSHKLGE7MI","69")</f>
        <v>0</v>
      </c>
      <c r="H20" s="55">
        <f>[1]!BexGetData("DP_2","DJ1BC55DLLG40BM3FKFTL9062","69")</f>
        <v>0</v>
      </c>
    </row>
    <row r="21" spans="1:8" x14ac:dyDescent="0.2">
      <c r="A21" s="53" t="s">
        <v>81</v>
      </c>
      <c r="B21" s="54">
        <f>[1]!BexGetData("DP_2","DJ1BC55DLL9YJD00V8YX1TTZU","73")</f>
        <v>3</v>
      </c>
      <c r="C21" s="55" t="str">
        <f>[1]!BexGetData("DP_2","DJ1BC55DLLAQ7ZBS6SEJ4989M","73")</f>
        <v/>
      </c>
      <c r="D21" s="55" t="str">
        <f>[1]!BexGetData("DP_2","DJ1BC55DLLBHWLNJIBU56OMJE","73")</f>
        <v/>
      </c>
      <c r="E21" s="54">
        <f>[1]!BexGetData("DP_2","DJ1BC55DLLC9L7ZATV9R940T6","73")</f>
        <v>3</v>
      </c>
      <c r="F21" s="54">
        <f>[1]!BexGetData("DP_2","DJ1BC55DLLDSYGMTGY4ZDYTCQ","73")</f>
        <v>0</v>
      </c>
      <c r="G21" s="54">
        <f>[1]!BexGetData("DP_2","DJ1BC55DLLEKN2YKSHKLGE7MI","73")</f>
        <v>0</v>
      </c>
      <c r="H21" s="55">
        <f>[1]!BexGetData("DP_2","DJ1BC55DLLG40BM3FKFTL9062","73")</f>
        <v>0</v>
      </c>
    </row>
    <row r="22" spans="1:8" x14ac:dyDescent="0.2">
      <c r="A22" s="53" t="s">
        <v>82</v>
      </c>
      <c r="B22" s="54">
        <f>[1]!BexGetData("DP_2","DJ1BC55DLL9YJD00V8YX1TTZU","81")</f>
        <v>566912835</v>
      </c>
      <c r="C22" s="55" t="str">
        <f>[1]!BexGetData("DP_2","DJ1BC55DLLAQ7ZBS6SEJ4989M","81")</f>
        <v/>
      </c>
      <c r="D22" s="55" t="str">
        <f>[1]!BexGetData("DP_2","DJ1BC55DLLBHWLNJIBU56OMJE","81")</f>
        <v/>
      </c>
      <c r="E22" s="54">
        <f>[1]!BexGetData("DP_2","DJ1BC55DLLC9L7ZATV9R940T6","81")</f>
        <v>566912835</v>
      </c>
      <c r="F22" s="54">
        <f>[1]!BexGetData("DP_2","DJ1BC55DLLDSYGMTGY4ZDYTCQ","81")</f>
        <v>154934271</v>
      </c>
      <c r="G22" s="54">
        <f>[1]!BexGetData("DP_2","DJ1BC55DLLEKN2YKSHKLGE7MI","81")</f>
        <v>154934271</v>
      </c>
      <c r="H22" s="56">
        <f>[1]!BexGetData("DP_2","DJ1BC55DLLG40BM3FKFTL9062","81")</f>
        <v>0.27329469618000002</v>
      </c>
    </row>
    <row r="23" spans="1:8" x14ac:dyDescent="0.2">
      <c r="A23" s="53" t="s">
        <v>83</v>
      </c>
      <c r="B23" s="54">
        <f>[1]!BexGetData("DP_2","DJ1BC55DLL9YJD00V8YX1TTZU","82")</f>
        <v>251460296</v>
      </c>
      <c r="C23" s="55" t="str">
        <f>[1]!BexGetData("DP_2","DJ1BC55DLLAQ7ZBS6SEJ4989M","82")</f>
        <v/>
      </c>
      <c r="D23" s="55" t="str">
        <f>[1]!BexGetData("DP_2","DJ1BC55DLLBHWLNJIBU56OMJE","82")</f>
        <v/>
      </c>
      <c r="E23" s="54">
        <f>[1]!BexGetData("DP_2","DJ1BC55DLLC9L7ZATV9R940T6","82")</f>
        <v>251460296</v>
      </c>
      <c r="F23" s="54">
        <f>[1]!BexGetData("DP_2","DJ1BC55DLLDSYGMTGY4ZDYTCQ","82")</f>
        <v>46405434.490000002</v>
      </c>
      <c r="G23" s="54">
        <f>[1]!BexGetData("DP_2","DJ1BC55DLLEKN2YKSHKLGE7MI","82")</f>
        <v>46405434.490000002</v>
      </c>
      <c r="H23" s="56">
        <f>[1]!BexGetData("DP_2","DJ1BC55DLLG40BM3FKFTL9062","82")</f>
        <v>0.18454378376</v>
      </c>
    </row>
    <row r="24" spans="1:8" x14ac:dyDescent="0.2">
      <c r="A24" s="53" t="s">
        <v>84</v>
      </c>
      <c r="B24" s="54">
        <f>[1]!BexGetData("DP_2","DJ1BC55DLL9YJD00V8YX1TTZU","93")</f>
        <v>80083590</v>
      </c>
      <c r="C24" s="55" t="str">
        <f>[1]!BexGetData("DP_2","DJ1BC55DLLAQ7ZBS6SEJ4989M","93")</f>
        <v/>
      </c>
      <c r="D24" s="55" t="str">
        <f>[1]!BexGetData("DP_2","DJ1BC55DLLBHWLNJIBU56OMJE","93")</f>
        <v/>
      </c>
      <c r="E24" s="54">
        <f>[1]!BexGetData("DP_2","DJ1BC55DLLC9L7ZATV9R940T6","93")</f>
        <v>80083590</v>
      </c>
      <c r="F24" s="54">
        <f>[1]!BexGetData("DP_2","DJ1BC55DLLDSYGMTGY4ZDYTCQ","93")</f>
        <v>7238879.4699999997</v>
      </c>
      <c r="G24" s="54">
        <f>[1]!BexGetData("DP_2","DJ1BC55DLLEKN2YKSHKLGE7MI","93")</f>
        <v>7238879.4699999997</v>
      </c>
      <c r="H24" s="56">
        <f>[1]!BexGetData("DP_2","DJ1BC55DLLG40BM3FKFTL9062","93")</f>
        <v>9.0391545510000004E-2</v>
      </c>
    </row>
    <row r="25" spans="1:8" x14ac:dyDescent="0.2">
      <c r="A25" s="53" t="s">
        <v>85</v>
      </c>
      <c r="B25" s="54">
        <f>[1]!BexGetData("DP_2","DJ1BC55DLL9YJD00V8YX1TTZU","94")</f>
        <v>1250590</v>
      </c>
      <c r="C25" s="55" t="str">
        <f>[1]!BexGetData("DP_2","DJ1BC55DLLAQ7ZBS6SEJ4989M","94")</f>
        <v/>
      </c>
      <c r="D25" s="55" t="str">
        <f>[1]!BexGetData("DP_2","DJ1BC55DLLBHWLNJIBU56OMJE","94")</f>
        <v/>
      </c>
      <c r="E25" s="54">
        <f>[1]!BexGetData("DP_2","DJ1BC55DLLC9L7ZATV9R940T6","94")</f>
        <v>1250590</v>
      </c>
      <c r="F25" s="54">
        <f>[1]!BexGetData("DP_2","DJ1BC55DLLDSYGMTGY4ZDYTCQ","94")</f>
        <v>0</v>
      </c>
      <c r="G25" s="54">
        <f>[1]!BexGetData("DP_2","DJ1BC55DLLEKN2YKSHKLGE7MI","94")</f>
        <v>0</v>
      </c>
      <c r="H25" s="55">
        <f>[1]!BexGetData("DP_2","DJ1BC55DLLG40BM3FKFTL9062","94")</f>
        <v>0</v>
      </c>
    </row>
    <row r="26" spans="1:8" x14ac:dyDescent="0.2">
      <c r="A26" s="57" t="s">
        <v>60</v>
      </c>
      <c r="B26" s="58">
        <f>[1]!BexGetData("DP_2","DJ1BC55DLL9YJD00V8YX1TTZU","SUMME")</f>
        <v>1168349951</v>
      </c>
      <c r="C26" s="59" t="str">
        <f>[1]!BexGetData("DP_2","DJ1BC55DLLAQ7ZBS6SEJ4989M","SUMME")</f>
        <v/>
      </c>
      <c r="D26" s="59" t="str">
        <f>[1]!BexGetData("DP_2","DJ1BC55DLLBHWLNJIBU56OMJE","SUMME")</f>
        <v/>
      </c>
      <c r="E26" s="58">
        <f>[1]!BexGetData("DP_2","DJ1BC55DLLC9L7ZATV9R940T6","SUMME")</f>
        <v>1168349951</v>
      </c>
      <c r="F26" s="58">
        <f>[1]!BexGetData("DP_2","DJ1BC55DLLDSYGMTGY4ZDYTCQ","SUMME")</f>
        <v>356616182.49000001</v>
      </c>
      <c r="G26" s="58">
        <f>[1]!BexGetData("DP_2","DJ1BC55DLLEKN2YKSHKLGE7MI","SUMME")</f>
        <v>356616182.49000001</v>
      </c>
      <c r="H26" s="60">
        <f>[1]!BexGetData("DP_2","DJ1BC55DLLG40BM3FKFTL9062","SUMME")</f>
        <v>0.30523062220000002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H G 0 + / i u + f X x q 9 O f P D M f 2 t 8 f P z 1 9 f f L q 7 O U b / H F 8 J / 0 y e 5 d u p y + r O n 2 1 n t R V O s v T s + V F n T d V 8 / i u 3 / b x s 1 d f v n h z + u L p 7 6 8 d / P 5 n L 5 5 9 e f R g f 2 d n T B Q Z 7 + 3 s P n x 8 N 9 7 o 8 Z v f / + n x m + O X r 7 7 8 y b O n p 6 8 I t d e v f v / X v 3 f n w x f H X 5 w e P X 3 5 + x O 6 / C s N 4 C e + O n 3 9 h n A + + 4 L + e v V 7 / / 6 / 9 / P X v z / / c f b l k + + 8 + O J o 5 9 l X L 5 6 + / v 1 P 3 r x 6 f F c / 4 q / e / N 5 v 0 r t H j 1 9 / 9 c X x k + e n R 7 / 3 4 7 v m 1 8 d n r 3 / / 1 2 9 e f X X y 5 q t X p 2 h z / H u f v c b P l 1 + + P n t z t L O z 8 4 C o y r 8 / P v n 2 8 U 8 + / / 1 P B Z b 8 o Y D 5 D / z y 4 s u n p 7 + / 9 M y f f / X F V / z 5 y + e n P 3 m q L a h r 7 g H N X r 5 6 / e L N 0 Z 5 g K 3 8 8 J n T e / P 7 P f / I 5 d U 5 4 m j 8 e f / v V 7 / P 7 H 5 + 8 O f t J R v P b Z 6 f S h R I W v x L 5 T t 9 8 C Z z 5 o f m S D x 6 / / v 3 f / D 4 v j 3 4 v g s a / 0 N / U W 0 A s + e Q x q P n q 6 B h / 4 x f 6 + / T 5 m 6 / O n u 4 y 9 f S P P e 5 f Q H 3 7 8 V 3 9 D Z 8 Q D P 2 O 3 t b f P A D 2 L 4 H g 0 + T p 6 d l T D 3 H 9 4 P H J l 8 Q 6 L 1 4 d y a f m L 3 z 8 5 v j s x e v f / / f 6 f Z 7 h / c / P X r 9 5 C f a X X / D 3 8 Z s 3 r 8 6 E Q k K 0 3 / / 1 6 f P T E 7 C u 9 x k g n p n P Q G C e P 5 5 u S + R n z 4 8 / h 8 i 4 P w z N z T f + n z o J 5 i v v r 8 f 0 7 5 v f X 9 m K J M P 9 J d + 8 7 n x n / j b f E p G B k / 6 l B D 5 + f n r 8 j J B + / R J M 5 P 1 l v z n 5 N s / d y y 9 P A J l / P p Z Z O H r 6 n d 0 n T / d / r 0 9 P j r 9 9 9 u X O 5 z / x 5 c O D g y f f f f 3 w i 8 d 3 t Q V 6 + 3 z v K M W z Q / / f Z d z o k 8 d v v v 2 d N 4 r O 5 / v 4 5 Q 3 P J j P 2 F 8 e / t / y F H t 0 f j 7 8 4 e + F 9 b v 8 A 4 V + b C a B R n r 5 W 2 r 8 G T z D h 8 d v j 1 0 R n 7 u n 3 f v P 6 2 8 + e Q 4 r N r / j s i 6 f 2 M / 4 V n z 3 / n H 7 5 f f g z / p U U D c n Q y e n r 1 7 / / F z T T T B n D F v a T L 0 6 / e H L 6 q t u O s H h F V G f c n p 4 S + z 3 / / e m d g K n Q h B h L W N H 9 Q d r W V 1 V D e u v k 9 z 9 + d X r 8 z e m t e z 8 b e u v o K w g n / + b p r 5 2 f M / 1 l i P Y j / f X z W n + 9 P j 5 4 u f v 0 / p v j N w + / e 7 J 3 N q i / 7 v + / S X / 9 P v / / 0 V 8 / 9 e y L k 5 O n p y 9 / / 9 + f f z t 5 / g 3 q s U / / / 6 7 H Y s T 7 k T 7 7 e a 3 P f v L k p z 4 9 O X 3 2 U 7 s P v / P 8 9 7 4 / 7 I 8 9 / H + 7 P v t 9 I v r s 9 / 7 / i j 7 7 / P S b 0 2 I H P z + 0 G E j 2 I 9 3 1 8 1 p 3 f X f / x e s v 7 7 8 6 + / w n v 9 h 9 8 u x 0 S H f t 7 v x I d 7 G Y f d O 6 a + f Z 2 e u T l 6 f f Y A b s / g 9 P d / 1 c Z c I M y X 6 k u 3 5 e 6 6 4 3 b 5 7 / 3 l / + 5 O v v f r p 7 + m r / i 7 1 B v + v B / 5 t 0 1 + 8 d 0 V 2 / d 0 R 3 / X 8 g j u S U 9 D e n u H Z / e I p r 5 + d I c T G 9 f q S 1 f l 5 r r Z / 4 i Z / 8 / O l X Z z / x 7 P n 9 3 e + c / T 6 D W u v e j 7 Q W y 9 g 3 r r V O v v j i z e 9 / 9 u b 0 i 2 9 O d e 3 9 / 1 5 1 e U T 7 / 5 j + + p H + + m b 1 1 6 u z 3 2 v v 5 f O v H v 7 k g w e f / 9 6 v f 2 J Q f + 3 / f 1 F / / d 7 / H 9 B f L 7 / 6 / b 8 4 P X 5 N u u i b U 2 D 7 / 7 9 X Y D 7 V f q T B f l 5 r s D e 7 v z f 9 9 u 2 T n 3 h 2 8 u Q n T o 4 H N d i n / 2 / X Y P 8 f z X m 5 m T g 7 P v n i 9 b d / 6 v W L r 0 5 P P v 3 O R n 2 G X 3 0 1 h o E G f 7 N S w 6 f 8 8 + c i r G R s P 0 y f M Y i o A t t A t K + p z v S 3 n w s 1 h m k K / v 4 h K L W d Q a W 2 M 6 z U r F 3 5 Y S g 1 / y + n y P C z p 8 J 6 P D C g w v b S v f 8 X K T H 9 F Q p L f 4 W e w q / / L 9 V U v E z 2 6 u T V 2 Q d 5 W t D T P w y l h N 9 + r p P z H s W + p l r 6 k Z f 1 9 b y s 3 W 9 e I X 2 Q l / X V 8 + P f a + f F / r P n L 7 7 9 6 d l P f j W o o g 7 + X 6 S g / r + 6 s n i X / 6 V O g M 0 r / p x 6 O X W K 7 B Y u F 6 s b r + F 3 9 n Y f 7 j 9 8 c n L v 8 8 9 f / V 5 v y B e W B t K O B n / 0 P L 9 O Z 3 n 6 G y d n y 4 s 6 b 6 o m P W 3 a Y p H N s v T L V 9 o c 7 W J a 7 9 t n T 5 + e v g A Z 9 T c g z x N 1 9 J r m 0 f z + + O X x q 1 N x r J 6 + O n v + / P U b 4 v 2 j 5 z R e 9 9 f j b x + / f n r 6 j P j t z d M v T 7 5 i m O E n x D w v X x x / w S R / c v z 6 9 C m o / O b 5 l 5 9 / G X x i F a z 9 5 O T L L 1 6 e P Q 1 f U 0 1 9 t 0 P n b 4 7 s b 1 7 + 5 O c 7 X / z k d / a + 8 + l P 7 f 0 + 7 0 P 2 K M 1 d a l I o r d w o 9 H 3 2 Y b Q W w f z / D m 1 / r + e n 3 3 7 1 6 v c 5 / X 2 + f P 7 F 0 5 O f 6 N P 2 e L E q i 2 x a V M u 8 i V L z 3 i Z q / j z n 3 O d P 7 + 3 f + 8 7 D 3 + f 0 + M v d V 1 + c 9 a m 7 9 S q f r a d C 3 T t R 8 r o 0 1 I / I 2 y X v F / u v f u L Z 8 f N v v / n u T 3 z 7 / n e P + + T 9 o p o V 5 8 U 0 m 1 V R 2 t 7 / k S J w t P z u 5 y e v d n / v 3 Y d n r 7 / 7 e 3 2 6 1 6 f l 0 / w y X 1 4 Q K Y d M 2 a c / M m U 3 U v n F l / s / t f f m 4 P d 6 u f + T T 3 6 f Z 1 9 t o H K U x A 9 + x L C 2 4 c s H Z w 9 + 4 s l P v v i 9 n u 5 8 + h M / d d o n 5 a t 8 m q 1 n G x j 2 4 E c M e y O V v 3 x G 4 c P v 9 X v t 7 / / E 7 / 3 q 5 O U X G 6 g c J f H D H z G s Y 9 i f + v S r v X s P P v 2 p n 9 r 7 4 v 7 D S P R w f J k t p 7 l 4 s k r W a f G P / q 3 L G G V 3 d / 6 / T 9 m 7 / O + J R H X P j j m t d / z m l e S d + B c l 5 c 6 z r 1 4 8 f f 3 7 n 7 x 5 5 a i r m Q f J r j w 9 f U l h u X 4 i X 7 2 R P i 0 n d u n l C 7 t L C u 0 G G a K f j d y m h P x C D j P M 9 x k v V u 0 o W f X 7 n z 3 9 + i M e z o n 9 v 3 X E z 0 5 + / 9 d f P d n 9 + T f k v Z 8 3 Q 3 7 y F S W N X p 0 e f z M D 3 v l / / 4 D t H N / 7 Z o b 8 / 4 E 5 h n E g C / H 0 9 J s Z 8 f 8 H J v n Z F 6 9 O K R v 8 z Y z 3 / w M z L O O F 5 / D / t y G f q H b q D p k d E E p f f z P j / X + P A z I 0 3 v / / O i A b Z / j 4 5 O y b G e / / + 2 c Y 4 3 3 + 8 t W X n / 9 8 G v A J G e J n P 1 8 G z L 7 H i / 9 f u t Q b 5 5 i Y + p s Z 7 / / 7 p 1 j M 0 l c v f r 6 M 1 7 H 0 / + 9 C p p u H / P + 7 C G I j V z 8 7 + 3 n D 1 T J e + v 7 / X w M + e 3 3 y 8 j Q a P t A 3 t F r 6 6 p s Z 7 v 9 b + H n j c O m b / 5 + J 7 + B w X 3 z 1 x X e f H v 8 + P 0 9 G + 5 Q y 6 8 9 e f f n F z 6 P h v v m G 3 K v / 1 w + W O P n / d 4 x M W Z 0 B F f W T x 6 9 e v P l 5 M F i 2 t q + + o Q z 0 / 1 t s 7 c C 0 0 s d Y H v z 5 M F a 4 y U / / f x n s b h z t / + / i o I H R / v 8 z G T m k n p 5 9 Q 0 m q / w + M 9 O e F f T 3 5 6 v W b L 7 + A k / F N j H X n V m P 9 u R r r 8 c v f / 8 t n v 7 9 8 + U 2 M 9 v / V M y s 8 / O U 3 l K r 4 f 8 l Q T 7 7 4 4 s 3 v f / b m 9 I u B 8 b 7 8 / P Q b G v D / S z h 5 w 4 B h e 0 7 O Y G n 3 v 5 k h / 3 9 k j k 8 + / 4 Y 8 5 P / 3 T 7 E E B C e v / v + 1 9 H f j B H 9 T K 3 / / 7 5 / g / 5 / 6 j 7 f S W v / / i o Z u N e T / f y V a b 5 T j b 0 p v / b 9 / v G 6 K / / 8 V 9 W 4 a M o 3 3 m 8 v g / L 9 / v O J f f v n 6 m x n v / / t N s W P p + 9 / M k P 8 / M s V f P v m G v I / / 9 0 8 x j / f N 2 c + v 8 X 5 z Z u n / K w P + p n I A / x 8 Z 7 5 v / v 0 0 w K e I v T o 9 f f / X q N G a F X 3 3 x + 9 N n B P 3 n z Z g l s / X y 9 O f R L D / 9 / 9 / i 9 s b x P v / y 8 9 e / z / + / X K 2 N 4 / 2 c c g C f v / z i / 2 9 5 g I 1 j x k L h y 2 8 w h P j / w j z L m E + O 3 / z 8 G f J T U l 3 P X n 3 5 x T c z 4 p 8 b x r 7 L / 5 6 c P p f B 8 y / S b v f o 6 X d 2 n z z d / 7 0 + P T n + 8 t m b 5 6 e / 1 + + 1 v / 8 T v / e r k 5 c 0 Y N N E 2 + 7 x M K O P a b t 3 9 P j F V 1 / 8 / q 9 P j p + f A m 3 3 B 3 / + 8 t X p C U h g f 3 9 8 + s X L b x + / P n v N p H x + + p O n z / H b y V d f f M W / P D / + / P N X R 4 A v v z 1 + Q f H c K 5 B W f v E p u P u N k f D 3 O n u K F / B D i H g T 5 b 7 z 5 u V P f r 7 z x U 9 + Z + 8 7 n / 7 U 3 u / z / z X K 3 f s 5 I 9 z z p / f 2 7 3 3 n 4 e 9 z e v z l 7 q s v z v 6 / R r j 7 P 2 e E e / n g 7 M F P P P n J F 7 / X 0 5 1 P f + K n T v + / R r i H P 3 e E + 6 l P v 9 q 7 9 + D T n / q p v S / u P / z 0 a x H O I x x w s B R S I n 7 j 1 N r d / T k j 1 3 f 2 d h / u P 3 x y c o 9 w / L 3 e f D C 5 f t h 8 t v d z R r j f 6 / n p t 1 + 9 + n 1 O f 5 8 v n 3 / x 9 O Q n / r 9 G u P 2 f M 8 K 9 + H L / p / b e H P x e L / d / 8 s n v 8 + y r / 6 8 R 7 u D n j H B f f P f z k 1 e 7 v / f u w 7 P X 3 / 2 9 P t 3 7 / x r h H v z c E W 7 / 1 U 8 8 O 3 7 + 7 T f f / Y l v 3 / / u 8 f / X C P f p z y 7 h 7 v K / T 1 + d P W f M X r 5 6 + e b s 9 L U Q 9 O W r L 1 + e v p K / 8 b I + 8 M Q B 5 C e P n 3 / F F v J u t / G G l / d 2 P + T l v Q 9 5 + d 4 H v H z v Q 8 a 8 / 0 E v f w j B 9 n 2 C M c P J b + 8 H x C f c 1 w S y u + P T A J z + d W B 8 A C l 2 d w J S 7 H 4 9 B D 6 A h X Z 3 9 r 8 B B O 5 / C A K f f s j L D 3 z s n X Y 9 2 f / J L z 9 9 9 u z b n / 7 e X / 3 e O 0 8 / / X q j O v g Q x B 5 + O F l 3 Q z H 5 e j A + h D d 2 v w H e 2 P s A L b P 7 I W p 5 7 8 N l e 3 / n w 2 H c / w Z g P A x h v B 8 h 6 G W f i k e n T Z v N q v R 4 m Z V F W 0 y r d J a n Z 8 u L O m + q J l 1 V d f p q P a n p V 1 4 Q / D q o B l z r R P L s + O S L 1 9 / + q d c v v j o 9 + f Q 7 p 1 8 L d s B M X 5 O U A U 9 9 H R i 7 + H 9 8 j L / P s 5 c v X j z 7 i X 1 y V 5 6 c H f z E 1 4 M 9 Q L 8 P V m m A H d h M W h L 8 / b 8 4 2 f k a c g 1 Q g W 4 w o H 7 / n 8 C 3 v / / X B O m b k a P j p z / 5 5 f M v f 4 p C s 6 8 H z D c r H w w s M D M 7 e 3 d 3 7 t / d 2 9 n 9 m p P g 2 5 W j v d 2 7 O / s M L N 2 9 / 2 h / / x H 8 2 K 8 D N T A 4 P 6 t C v t t x t j 2 C p L u f P t q 7 / + h r 8 t R u I F Y f O G e B 9 X w v l Y m X b z S b d 2 1 M 8 p P H r w Q W / / K T L 4 6 x u P P 7 n 3 x 5 Q s u S / B d a U O w j B p R / e / y T L 4 9 f v a Y Q 5 y V 9 p L 8 + f n 3 2 + Y s j m g 7 + + f j L l 2 + O T k m D 4 O f j 5 1 9 + 9 + j L 4 9 + b V k f w G / 7 8 / U 9 / 7 z f u I / 6 L l o A + / z Z w x U 9 8 w j H d l 9 9 9 Q 9 9 9 s V 4 W 0 2 J V V O m X 2 b t s m q X f W f + j f 3 G d / 4 D f R g N t + P s / p 5 U j B A b e n w z v j Y D T X / n z H S w 1 u T 8 f f / v V 7 2 N a 8 W + 2 k f v r 8 U + i r 9 f V t M h n 2 Y z G z l 3 / p P k a 6 t 3 + 8 f j b p 8 9 f / v 7 H P 3 l 8 x i H g F 6 8 / / / 1 f c M R o F t B O v v w C Z H 7 q r Z + B F C d f v P Q I g 7 9 k 8 m L T d P b 7 P z t 7 f U J z e u / m q T r b O F V P 3 n h T x f Y h m K n d z j Q d s S r m 3 + x 0 H e k n 0 k o m w E 2 h o e b P 4 s S g x d e c C 0 f G 7 l Q Y W t w w E y 9 / / 2 e 0 H v P q 5 m l 4 D 4 k R D R 3 M g / 3 o J o n 5 o R L + 6 P S n 8 3 p K A l p 9 o E h g G o S M n W m w K i x O + 9 / r 9 P d 5 i i z G N y g D o L T E x s E E 7 J C 5 2 1 X b G U o E v 3 D v 3 m 5 f L O i V e / r K / 1 f l 4 + X r N y 8 + / / 2 f 0 q p + X 0 I C S n X F 5 C 7 / + + 3 j F 0 + R 4 2 M X S f 9 4 / P o N g T t 6 / I a y e r / / T 3 x 1 + u r 3 A c 7 e X 4 / P X r z 8 6 s 0 X p C C R 5 n R / S A L u + d l r H t D J V 6 9 + r 5 / C L 6 9 f A T 3 G Z n v n / j b c U P 3 o M U n 2 2 U 9 y m 6 9 e U i b x 9 e v f / w v 6 5 / j z U w v l 9 V d f c K 7 v 9 3 / 1 5 X d f g 3 P C D 9 z 3 J 1 8 + / + q L F 2 E T 8 9 n j r 4 j i v / / x y Z u z n z z l 9 w D Z / 0 w b 4 u M X v / / J t 4 k R f / 8 v X 9 g u u x / 5 b e j N 1 5 w i 7 X x E b V 6 / e f X V i X 2 J 2 4 Q f + W 3 4 p d 2 g j c B 5 / W 2 a u 6 d f U i 7 1 9 M U b 0 O f N M d O l 8 / G x k i v 8 m K g s r Q F z 9 / d X B t k Q O o U N 5 b 0 9 / d M D 9 P r s 6 e 9 / 9 u L p 6 e / N 5 O 5 + Z l p R M h k f P j v 7 v T H 6 / o c G v H v T N P M / M 6 0 i 0 I I P H 2 O w m I U X n 8 s 6 5 u l 3 7 V y f v S B / 6 + w p / / r 6 x Z d v K E X 8 5 v d h u T w m I v 0 + N B + v z h C x + X + i D 2 b S u 6 9 O i e 9 f k 2 o g D v 3 q O f 3 8 4 v j 3 / v 0 Z C / m F / / 5 9 z N + / D 7 8 h D c m v e / Y M / b z 6 C W Z z k Z 9 + T K N y x T 9 + / 5 8 8 O / 2 u b c x / / f 5 v 1 I S c v X h G c / v E j 7 D s R 4 8 / P 3 3 x 1 Y s z c i 4 3 h I 2 2 z W P K g z 8 n K f v i 7 E 3 6 r i k e L Y v y s 4 / a e p 1 / h H 5 Y f M 6 + Z G V l f 3 / 8 G p r j 7 P j J 8 9 O T L 1 + 8 O T 5 7 c U o a x P 7 6 + 4 v 6 i E B 7 8 3 v / / s R A p y d v 8 P 7 v z 5 7 v 6 0 i z u 1 H 4 d 1 + 9 f v X 7 v / 6 9 m Z W J n D 9 5 9 h S f R j 8 k G 0 N x 7 c v f H 0 s T + P W x n b i n Z 1 + I c f q 9 n 2 N 9 4 A v P s H 3 1 4 u n r 3 / / k j W f Z 8 F O V M m k S o A P W M L 8 S A 4 m I v v n q F f P Z 8 e + t 6 x 6 y R M E h n S 5 P E D P + 5 H N j / u U P B c x / M J e S 4 v T k y y 6 Z u F W U F 1 9 S 1 8 L F 1 O z l q 9 c v e C H Y / Q E B I b X 7 k 8 + P k M y x f z x 2 + o 0 5 / e x U u v j J 0 1 e v a T r x K 5 T w m y 9 N X o t e 1 g 8 e 8 5 L K 0 e + F K W E z / R o T G B B L P n n M q y 1 H x / g b v 9 D f u t r E 1 N M / 9 r h / A f V t E j I F + m 2 G o d / p o s 2 3 A w D 2 L 4 H g 0 + T p q Q m q G H H 9 A N z 4 l C z k k X x q / j J M + v r 3 / 7 1 + H x b H z 8 m 6 v A R z y y / 4 + / j N m 1 d n Q i E 1 C u S M E M 8 q q a y h e P H 0 z H w G A v P 8 8 X R b I p M V / B x 6 0 f 1 h a G 6 + 8 f / U S T B f e X / 5 q 2 I 7 3 9 S q G C 3 i H T 8 j p F + / B B N 5 f 9 l v T t h x f f 3 y y x P W s / i p K 4 e s W E 7 u 3 3 / 6 / P m D F 9 8 + 2 / m J 7 3 7 x 5 d 5 X 3 3 n x 6 Z l Z O O T e P t 8 7 S v H s 0 P 9 3 G T f 6 5 P G b b 3 / n j a L z + T 5 r B Z 5 N Z m x S m / K X 6 l D 9 4 / E X Z y + 8 z + 0 f I P x r M w E 0 y l P 5 g 2 J m 8 A Q T H r 8 9 f k 1 0 5 p 5 + 7 z e v v / 3 s O a T Y / I r P v n h q P + N f 8 d n z z + m X 3 4 c / 4 1 9 J 0 Z A M n b B n Q j P N l D F s Y T / 5 4 v S L J 6 T / O u 0 I i 1 d E d c b t K V n t s + c w 6 g F T o Q k x l r C i + 0 O 8 N K u q h v T W y e 9 / / O r 0 + J v T W / d + N v T W 0 V c Q T v 7 N 0 1 8 7 P 2 f 6 y x D t R / r r 5 7 X + O n u 2 9 + n z p 6 e f / s S L 1 9 / 5 9 K d O B / X X / f 8 3 6 a / f 5 / 8 / + o v 8 1 5 O T p 6 c v f / / f n 3 8 7 e f 4 N 6 r F P / / + u x 2 L E + 5 E + + 3 m t z 3 6 v n 9 j f / b 1 e n L z Z / f Z P v X n 6 + i c G 9 d n B / 9 v 1 2 e 8 T 0 W e / 9 / 9 X 9 N n n X h L u Q 7 X Y w c 8 P L Q a S / U h 3 / b z W X c + / / f r F d 0 + / P P n 2 / t 7 B 6 7 3 h W P L h j 3 Q X i 9 k 3 r b v M G t s 3 p 7 v u / / B 0 1 8 9 V J s y Q 7 E e 6 6 + e 1 7 v r O 7 / P s 2 c F 3 d x 8 + / 8 n f + + l P n f 0 + g 7 r r w f + b d N f v H d F d v 3 d E d / 1 / I I 7 k l P Q 3 p 7 h 2 f 3 i K 6 + f G 6 V J 6 / U h r / b z W W p / / 5 J e / 9 + / 9 1 a t 7 P 0 l v n D 7 7 a l B r 3 f u R 1 m I Z + 8 a 1 1 s k X X 7 z 5 / c / e n H 7 x z a m u v f / f q y 6 P a D / S X z + v 9 d e 3 X z z 9 v R 5 + s f f i y e 5 P 3 H v 9 8 o t B / b X / / 0 X 9 9 X v / s P X X 1 9 B f L 7 / 6 / b 8 4 P X 5 N u u i b U 2 D 7 / 7 9 X Y D 7 V f q T B f l 5 r s O 9 8 + h O v f + / 9 l z / x 6 c O v f p / n D z 8 d 1 G C f / r 9 d g / 1 / N O f l Z u L g 2 a f 7 J 2 c H n 9 7 7 8 r s / t f v 5 8 S Z 9 h l 9 9 N Y a B B n + z U s O n / P P n I q x k b D 9 M n z G I q A L b Q L S v q c 7 0 t 5 8 L N Y Z p C v 7 + I S i 1 n U G l t j O s 1 K x d + W E o N f 8 v p 8 j w s 6 f C e j w w o M L 2 0 r 3 / F y k x / R U K S 3 + F n s K v / y / V V L x M 9 u b k 1 d k H e V r Q 0 z 8 M p Y T f n G u 1 + 3 P i Z 3 k U + 5 p q 6 U d e 1 t f z s n Z 3 v 3 m N 9 E F u 1 h c P v 3 1 8 c P + n f v K 7 P 7 H / 5 a c n g z p q d + f / R R r q / 6 t L i 3 f 5 X + o E 2 L z i z 6 m X U 6 f J b u F z s b 7 x G j 7 8 9 K u f + P L h d 1 5 + 5 / i n T p / 9 B H G C N J B 2 N P i j 5 / l 1 O s v T 3 z g 5 W 1 7 U e V M 1 6 W n T F o t s l q V f v t L m a B d T e 9 8 + e / r 0 9 A X I q L 8 B e Z 6 o o 9 c 0 j + b 3 x y + P X 5 2 K Z / X 0 1 d n z 5 6 / f E P M f P a f x u r 8 e f / v 4 9 d P T Z 8 d f P X / z 9 M u T r x h m + A k x z 8 s X x 1 8 w y Z 8 c v z 5 9 C i q / e f 7 l 5 1 8 G n 1 g N a z 8 5 + f K L l 2 d P w 9 d U V d / t 0 P m b I / v v 8 5 2 n O z s / e f D 7 / N 6 7 b 9 7 8 1 F f v Q / Y o z V 1 u U i i t 3 C j 0 f f Z h t B b B / P 8 O b Y 9 / 4 s F P P X n 9 6 e v T 7 + w / P H j 4 R Z + 2 x 4 t V W W T T o l r m T Z S a 9 z Z R 8 + c 5 5 z 7 5 9 n e f v / j O 2 Z O v 7 n / 6 5 R f f O e 1 T d + t V P l t P h b p 3 o u R 1 e a g f k b d L 3 p O H z x / 8 1 P G b n 3 z 4 6 u H + z p t P + + T 9 o p o V 5 8 U 0 m 1 V R 2 t 7 / k S K w D Z / u P v z q y d 7 9 0 5 d P n 3 z n 2 d 7 v 0 6 f l 0 / w y X 1 4 Q K Y d M 2 a c / M m U 3 U / n 1 7 / P 5 F 2 8 + / 3 3 2 f + r p 7 / P m 5 C c 2 U D l K 4 g c / Y l j b 8 N n J k 5 f H J / u 7 O w / O 3 j z / 7 n G f l K / y a b a e b W D Y g x 8 x 7 I 1 U P v 2 9 X u z 9 P r / X 6 2 / / X s 8 / P 3 3 w x d k G K k d J / P B H D G s b f r 6 / 8 + S L e 8 9 + r 2 d v n j / c + T Q S P R x f Z s t p L p 6 s k n V a / K N / 6 z J G W c S I / 1 + n 7 F 3 + 9 0 S i u m f H n N c 7 f v N K E k / 8 i 5 J y 5 9 l X L 5 6 + / v 1 P 3 r x y 1 N X U g 6 R X n p 6 + p L B c P 5 G v 3 k i f l h O 7 9 P K F f S h F 9 L O R 3 J S Q X 8 h h h v k + 4 8 W y H W W r f v + z p 9 / M i P f + P z H i Z y e / / + u v n u z + / B v y 3 s + b I T / 5 i p J G r 0 6 P v 5 k B 7 / y / f 8 B 2 j u 9 9 M 0 P + / 8 A c w z i Q h X h 6 + s 2 M + P 8 D k / z s i 1 e n l A 3 + Z s b 7 / 4 E Z l v H C c / j / 2 5 B P V D t 1 h 8 w O C K W v v 5 n x / r / H A R k a 7 / 9 / H Z C N M 3 x 8 c v b N j P f / / T O M 8 T 5 / + e r L z 3 8 + D f i E D P G z n y 8 D Z t / j x f 8 v X e q N c 0 x M / c 2 M 9 / / 9 U y x m 6 a s X P 1 / G 6 1 j 6 / 3 c h 0 8 1 D / v 9 d B L G R q 5 + d / b z h a h k v f f / / r w G f v T 5 5 e R o N H + i b 3 + f 0 + N U 3 M 9 z / t / D z x u H S N / 8 / E 9 / B 4 b 7 4 6 o v v P j 3 + f X 6 e j P Y p Z d a f v f r y i 5 9 H w 3 3 z D b l X / 6 8 f L H H y / + 8 Y m b I 6 A y r q J 4 9 f v X j z 8 2 C w b G 1 f H X 8 z I / 1 / i 6 0 d m F b 6 G M u D P x / G C j f 5 6 f 8 v g 9 2 N o / 3 / X R w 0 M N r / f y Y j h 9 T T s 2 8 o S f X / g Z H + v L C v J 1 + 9 f v P l F 3 A y v o m x 7 v y / e q z H L 3 / / L 5 / 9 / v L l N z H a / 1 f P r P D w l 9 9 Q q u L / J U M 9 + e K L N 7 / / 2 Z v T L w b G + / L z 0 w 8 d 8 P + 7 O H n D g G F 7 T s 5 g a f d / X s 3 x y e f f k I f 8 / / 4 p l o D g 5 N X / v 5 b + b p z g b 2 r l 7 / / 9 E / z / U / / x V l r r / 1 / R 0 K 2 G / P + v R O u N c v x N 6 a 3 / 9 4 / X T f H / v 6 L e T U O m 8 X 5 z G Z z / 9 4 9 X / M s v X 3 8 z 4 / 1 / v y l 2 L H 3 / m x n y / 0 e m + M s n 3 5 D 3 8 f / + K e b x v j n 7 + T X e b 8 4 s / X 9 l w N 9 U D u D / I + N 9 8 / + 3 C S Z F / M X p 8 e u v X p 3 G r P C r L 3 5 / + o y g / 7 w Z s 2 S 2 X p 7 + P J r l p / / / W 9 z e O N 7 n X 3 7 + + v f 5 / 5 e r t X G 8 n 1 M O 4 P O X X / z / L Q + w c c x Y K H z 5 D Y Y Q / 1 + Y Z x n z y f G b n z 9 D f k q q 6 9 m r L 7 / 4 Z k b 8 c 8 P Y d / n f k 9 P n M n j + R d r t H j 3 9 z u 6 T k / v 3 n z 5 / / v D 3 + c 7 T n Z 2 f P P h 9 f u / d N 2 9 + 6 q v H d 0 0 T b b v H w 4 w + p u 3 e 0 e M X X 3 3 x + 7 8 + O X 5 + C r T d H / z 5 y 1 e n J y C B / f 3 x 6 R c v v 3 3 8 + u w 1 k / L 5 6 U + e P s d v J 1 9 9 8 R X / 8 v z 4 8 8 9 f H Q G + / P b 4 B c V z r 0 B a + c W n 4 N 4 3 R c H f 6 + w p X s A P o e F N h H t 2 8 u T l 8 c n + 7 s 6 D s z f P v 3 v 8 / z X C H f y c E e 7 z / Z 0 n X 9 x 7 9 n s 9 e / P 8 4 c 6 n e x 9 K O O B g K a R E / M a p t f u N S e p 7 k + v h p 1 / 9 x J c P v / P y O 8 c / d f r s J z 6 Y X D 9 s P t v 9 O S P c 0 9 e / z + d f v P n 8 9 9 n / q a e / z 5 u T n / j / G u E e / J w R 7 v T 3 e r H 3 + / x e r 7 / 9 e z 3 / / P T B F 2 f / X y P c w 5 8 z w j 3 5 9 n e f v / j O 2 Z O v 7 n / 6 5 R f f O f 0 h E u 4 b I d z + z x n h T h 4 + f / B T x 2 9 + 8 u G r h / s 7 b z 7 9 / x r h 7 v + c E e 7 4 J x 7 8 1 J P X n 7 4 + / c 7 + w 4 O H X / x / j X D 3 f s 4 I 9 3 T 3 4 V d P 9 u 6 f v n z 6 5 D v P 9 n 6 f / 6 8 R 7 t O f X c L d 5 X + f v j p 7 z p i 9 f P X y z d n p a y H o y 1 d f v j x 9 J X / j Z X 3 g I Q H I T x 4 / / 4 p 9 s r v d x h t e 3 t v 9 k J f 3 P u T l e x / w 8 r 0 P G f P + B 7 3 8 I Q T b 9 w n G D C e / v R 8 Q n 3 B f E 8 j u j k 8 D c P r X g f E B p N j d C U i x + / U Q + A A W 2 t 3 Z / w Y Q u P 8 h C H z 6 I S 8 / 8 L F 3 2 n X v 4 c v 7 P / G M N N / r p 9 / 5 y e O 9 r z e q g w 9 B 7 O G H k 3 U 3 F J O v B + N D e G P 3 G + C N v Q / Q M r s f o p b 3 P l y 2 9 3 c + H M b 9 b w D G w x D G + x G C X v a p e H T a t N m s S o + X W V m 0 x b R K Z 3 l 6 t r y o 8 6 Z q 0 l V V p 2 + K V Z X y a u D X Q T T g W S e Q B 8 8 + 3 T 8 5 O / j 0 3 p f f / a n d z 4 + / F u y A l b 4 m I Q O O + j o w d v H / 2 B i f v f j 2 V / u / 1 8 5 3 X 3 / 5 e 3 1 6 / 4 s n r 7 7 6 e r A H 6 P f B C g 2 w A 4 t J 6 4 G / / x c n O 1 9 D q g E q 0 A w G 1 O / / E / j 2 9 / + a 2 P l G 5 O j 4 6 U 9 + + f z L n z p + 8 e X X A + Y b l Q 8 G F h i Z n b 2 7 O / f v 7 u 3 s f v r 1 g P l W 5 W h v 9 + 7 O P g N L d + 8 / 2 t 9 / B L v x d a A G 5 u Z n U c R 3 O 4 6 2 R 4 5 0 9 9 N H e / c f f U 2 O 2 g 2 E 6 g N n L L C c 7 6 U u 8 f K N J v O u j U d + 8 v i V w O J f f v L F M d Z 1 f v + T L 0 9 o R Z L / Q g u K e 8 R 4 8 m + P f / L l 8 a v X F N 6 8 p I / 0 1 8 e v z z 5 / c U T T w T 8 f f / n y z d E p 5 Q v x 8 / H z L 7 9 7 9 O X x 7 0 2 h N X 7 D n 7 / / 6 e / 9 x n 3 E f 9 H q z + f f B q 7 4 i U 8 4 n v v y u 2 / o u y / W y 2 J a r I o q / T J 7 l 0 2 z 9 D v r f / Q v r v M f 8 N t o o A 1 / / + e 0 a I S g w P u T 4 b 0 R c P o r f 7 6 D V S b 3 5 + N v v / p 9 T C v + z T Z y f z 3 + S f T 1 u p o W + S y b 0 d i 5 6 5 8 0 X 0 O 5 2 z 8 e f / v 0 + c v f / / g n j 8 8 4 / P v i 9 e e / / w u O F s 3 a 2 c m X X 4 D M T 7 2 l M 5 D i 5 I u X H m H w l 0 x e b J r O f v 9 n Z 6 9 P a E 7 v 3 T x V Z x u n 6 s k b b 6 r Y O g Q z t d u Z p i N W x P y b n a 4 j / U R a y Q S 4 K T T U / F m c G L T 4 m n P h y N i d C k O L G 2 b i 5 e / / 7 P c 5 P X 5 1 8 z S 8 h 8 S I f g 7 m w X 5 0 k 8 T 8 U A l / d P r T e T 0 l A a 0 + U C Q w D U L G z j R Y F R a n / e 9 1 + v s 8 R Q b j G 5 Q B U F r i 4 m A C d s j Y 7 a r l D C W C X 7 h 3 b 7 c v F v T K P X 3 l / 6 v y 8 f L 1 m x e f / / 5 P a U G / L y E B p b p i c p f / / f b x i 6 f I 7 7 F P o 3 8 8 f v 2 G w B 0 9 f k M Z v d / / J 7 4 6 f f X 7 A G f v r 8 d n L 1 5 + 9 e Y L U p B Y x n F / S P L t + d l r H t D J V 6 9 + r 5 / C L 6 9 f A T 3 G Z n v n / j a c U P 3 o M U n 2 2 U 9 y m 6 9 e U h b x 9 e v f / w v 6 5 / j z U w v l 9 V d f c J 7 v 9 3 / 1 5 X d f g 3 P C D 9 z 3 J 1 8 + / + q L F 2 E T 8 9 n j r 4 j i v / / x y Z u z n z z l 9 w D Z / 0 w b 4 u M X v / / J t 4 k R f / 8 v X 9 g u u x / 5 b e j N 1 5 w e 7 X x E b V 6 / e f X V i X 2 J 2 4 Q f + W 3 4 p d 2 g j c B 5 / W 2 a u 6 d f U h 7 1 9 M U b 0 O f N M d O l 8 / G x k i v 8 m K g s r Q F z 9 / d X B t k Q O I U N 5 b 0 9 / d M D 9 P r s 6 e 9 / 9 u L p 6 e / N 5 O 5 + Z l p R I h k f P j v 7 v T H 6 / o c G v H v T N P M / M 6 0 i 0 I I P H 2 O w m I U X n 8 u q + e l 3 7 V y f v S B / 6 + w p / / r 6 x Z d v K D 3 8 5 v d h u T w m I v 0 + N B + v z h C v + X + i D 2 b S u 6 9 O i e 9 f k 2 o g D v 3 q O f 3 8 4 v j 3 / v 0 Z C / m F / / 5 9 z N + / D 7 8 h D c m v e / Y M / b z 6 C W Z z k Z 9 + R K N y x T 9 + / 5 8 8 O / 2 u b c x / / f 5 v 1 I S c v X h G c / v E j 6 / s R 4 8 / P 3 3 x 1 Y s z c i 4 3 B I 2 2 z W P K g T 8 n K f v i 7 E 3 6 r i k e L Y v y s 4 / a e p 1 / h H 5 Y f M 6 + f I H p t b 8 / f g 3 N c X b 8 5 P n p y Z c v 3 h y f v T g l D W J / / f 1 F f U S g v f m 9 f 3 9 i o N O T N 3 j / 9 2 f P 9 3 W k 2 d 0 o / L u v X r / 6 / V / / 3 s z K R M 6 f P H v K n 7 7 p f P D m 9 z 8 j D Q X f W 5 r j L + K B b J E f g X i n z 0 8 h E b 8 / + R H 8 2 e P A P a e 2 x g X / f f Q l / o y M 1 q l 5 4 W w 5 y 9 9 h j u W X x z + Z l e s e b P m Q 2 o Q Q Y x 2 8 O i X u f v X 7 H 7 9 + f f r F k + e / z + Z u n p y + O 5 7 N i u U o / c m 8 b o p q + d k D S h + N d 8 c 7 4 5 1 R e r I u 2 3 W d f 7 b M 1 2 2 d l a P 0 5 X p S F t P f K 7 9 + U 7 3 N l 5 8 9 3 P s 0 + 3 R v 5 2 A 6 O b 9 / M M k m X w f P k + e E 6 W Y k p 9 V i 3 G S r 8 a Q Y 5 + 0 4 o / j w + g d 5 P c 6 A + J h G c N b m i z f 5 u / a 0 z B f 5 s n 0 v L F i 2 z W x v R u P p S 8 4 R 3 B 7 2 6 e 9 N s n C L u a Y h / M T n r z / / i d 9 7 7 8 n L r 5 4 8 e f l 7 3 / u J e z / 5 3 Z / 8 9 o v P v / 1 7 v V e H r 7 9 9 e v p m c 1 / D 0 f W r 9 a S u 3 q u 7 p 6 f w p H 7 / 1 9 8 + f n n z C L 9 8 8 u n + i 9 / r w e / 1 E / d / r / 2 D r 3 6 f 7 3 z 1 1 b f P n n 7 + 7 a d P 3 6 v L V 1 D C m / v 6 3 Y 5 / t 9 1 H + O c W g L 2 x n L 1 + + f z 4 9 / n 9 o Z r P T k j v P 3 9 z + m o z X 7 J q u Q X O B v S z L 1 9 9 c f z m m 4 U J N f H 7 q 5 6 4 Q Y p + Y d k e / h 7 v F m V 6 q Z L + E U n 5 R 2 m + n F Y k R x e f f b R u z 7 d 3 P / 3 o 9 / i F F + 3 h b 5 y g + e u 8 L o h d f p B 7 0 p U S i G X z i L T s Z x / N 2 3 b 1 6 O 7 d q 6 u r 8 d W 9 c V V f k M 9 L v v L v / c X z 1 9 N 5 v s i 2 i y X l d J Z T U s P m r d n N b 3 0 k C K Q p U H h z v c r x 9 7 O i b P M a n 9 w 1 H 5 k m Z 0 + 5 A c / Y 7 2 8 D C m 4 q X 5 m G T A f z N o b E b Y J P Z d x 3 Y w P H 1 + / F U s d f v f n y 2 d l m e X z f + T 4 5 f g m T + d 4 w 7 w a J o M C U b b Z r + z + L d m 3 / v c j 5 I 7 v 2 P l j 8 v 8 S u / e R P v t 5 / f e / s 9 a e f v v n O 2 U + 8 O P j i 4 M H Z d 7 9 6 9 f v c f 6 8 O / 9 9 s 1 x 7 u / u T D n 3 h 2 / + n r b 7 8 5 + c 6 b F 0 9 f H Z / 8 3 s f P v v v t 0 / f q 8 j Z 2 7 Q n s 2 p M f 2 b X / X 9 m 1 k 4 p B i S m K W z b J a f z I n n 0 j 9 u z + z 6 I 9 e z + l 9 i N 7 9 j 5 Y / L / E n j 1 4 s P v 7 7 D 9 4 s v v g y f 7 B k 4 P d / X s / 8 e X D 3 + c 7 n z / / / 0 + c d v / J 0 + 9 + + 9 N P 9 8 5 e f f f L b z / 5 6 v T s q 9 2 n z z 4 / f f 5 + J L 2 N P T u F P T v 9 k T 3 7 / 5 U 9 + 8 m M U J m U + Q Z 7 Z n J x v 7 + 3 m H m T d S N V 9 i P j F j V u n 7 + i N P W u 6 e M b s m o G 6 H s Q 8 O e n O f u 8 L m b v 1 f 3 7 2 b H 3 m 4 I 3 x 6 8 + P 5 X 8 9 U A X u x / a x X u Y y t 1 v P / u 9 H h x T k v / L L 7 6 9 / 1 O n e z 9 1 7 4 t X 3 / m J T x + 8 n y G 5 h a l 8 t i a B z 9 P d 9 M W X 6 Z M v X 7 3 i N f n b 9 / B e 1 v H e t 3 + f 3 f 2 v v v z u / s O d r 0 7 O X v 3 e p 5 / + 5 J O T r 3 5 y 5 5 u P 9 j i L + e 3 f b f f 9 5 k d s 1 2 b Q v / d 7 Q X z 9 5 S t a A q F 1 k x u k 5 f 2 g f v v s l O b p 5 N u / z 8 8 m a D a 6 t P p L i 3 i n 3 4 w 5 f 3 H 8 k 2 e f H 9 + o 1 N 8 T 4 2 / S 9 o A B v n p + / E 2 i 9 / T V G a 3 o P f 3 y u y 9 k 8 f j F T 3 4 j m H 7 7 7 P N v P 6 f / v 5 G F 6 T d f v T q l R e g v n n x T 7 h z N + y k p + 5 P T 3 / / 3 O v 1 9 v l E O O 3 l + 9 v K L L 2 k J + Q a 9 9 N X z 5 6 / P f u r 9 V I O B f Y M B / V q w j 5 9 + 5 6 v X k I g z C l a P X 5 1 u 5 p L b 0 p n + f E N L s F / H 0 Y l y 2 5 e / P 6 2 j / / 5 P y V l + c / r 7 v / g K D H E r l / w 9 J / H 1 t 7 / 8 L j H z F + y R k 9 v y + 4 t p M 5 9 8 I 2 N 5 / d V L U j + v X / / + L 2 i p / T k t O 7 8 / 2 L v 6 6 + 1 9 w b 2 f D V / w / Y z 2 j 3 z B W 3 X / f r 7 g + 0 3 B / 7 t 8 w f s P f + I n d 1 / v H T z 9 i d / r 9 O x 4 / / f 5 8 u n u 2 X d f / N 5 P v 3 y v D m / v C + 7 9 M H z B 3 / s n 3 p x + f v J T T / d e n z 2 9 d / r g y c 7 n z 3 Z e / z 4 n v 9 e z 9 + r y P X z B v U / f C / K P f M E b f c H b a u E Y 7 B / 5 g j / y B X / k C 4 Z Q X / 7 I F x z s 4 2 f V F 7 z 7 h n + h z 1 / / / i a / S t L 5 5 p g 6 e n X 0 2 P 7 6 + 3 / 7 + M X T 5 6 c p p Y U f L Y v y s 4 / a e k 1 Z X + r s z e / 9 + 3 / 5 5 D s 0 e X i f / v / 8 q 9 P X k W Z 3 o / D f G C w Z t V e v f u / g 7 7 O n R 8 f P n x O J a X H 8 8 9 + f E K B f v n x J w 3 t K g 0 V H P F 3 8 C w 2 r 8 3 I E G E k z U f L b N E t n b 3 7 / L 4 5 P X n 3 p w W I k b w G E / j z B d J j R f H 1 0 v j h 9 / s a C e f 3 1 4 a j w / P 7 f / f L V 7 / X k y y 9 / r 6 8 x K E O Z 7 z 6 B e q a v X n x 9 d A w a v / 9 L 8 o 7 p j 6 d f A 5 8 3 3 z 6 F d / j e 7 7 1 + 8 / v Q + s B X L 7 H w / f t D B f r D 2 H m v Y b w h B + s 1 a f 8 P B P P j s H T u Z f 7 z v V 7 / K n z 9 q / d 6 / c W X v / 9 3 X x 3 7 I n N b S t p Z 7 A z / t u + z a q Q P n K B 8 A I d b Z M 5 8 Z j r 6 / P X Z v d c / + f l X P / U T L 3 7 y 9 / 6 J 1 1 / t 7 9 x / c e / 0 / t 5 P v B f w l 2 T F y J Z 9 2 D Q r E H 7 j 6 1 C L l D x 8 5 N d n L z 4 n B q a Q S i X y a 8 D 6 6 v U p S f C b s y / I t J N b 9 C X p z t s q q b u h P g Y k s m V s f s g 0 H 0 G Z P 7 7 b / f S x j B 3 x 3 K Y Z 8 V r p G 2 9 + n 5 e n R 9 + t 6 r e T q n p r G v C H j 7 F K K w J 8 R A z v / Y V m n 5 8 e / T 8 s J 4 g 2 g G s B A A = = < / A p p l i c a t i o n > 
</file>

<file path=customXml/itemProps1.xml><?xml version="1.0" encoding="utf-8"?>
<ds:datastoreItem xmlns:ds="http://schemas.openxmlformats.org/officeDocument/2006/customXml" ds:itemID="{6A84D504-8FE6-4506-B9BF-5D194AD50057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Analitico de Ingresos por Rubro</vt:lpstr>
      <vt:lpstr>Fuente 1 NO BORRAR</vt:lpstr>
      <vt:lpstr>Fuente 2 NO BORRAR</vt:lpstr>
      <vt:lpstr>'Analitico de Ingresos por Rubro'!Área_de_impresión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A) Por Rubro de Ingresos</dc:title>
  <dc:creator>oscar.lozano</dc:creator>
  <cp:lastModifiedBy>Administrador</cp:lastModifiedBy>
  <cp:lastPrinted>2016-05-02T21:33:43Z</cp:lastPrinted>
  <dcterms:created xsi:type="dcterms:W3CDTF">2014-12-17T17:30:23Z</dcterms:created>
  <dcterms:modified xsi:type="dcterms:W3CDTF">2016-05-02T22:01:01Z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Activesheet">
    <vt:lpwstr>Analitico de Ingresos por Rubro</vt:lpwstr>
  </property>
  <property fmtid="{D5CDD505-2E9C-101B-9397-08002B2CF9AE}" pid="3" name="BExAnalyzer_OldName">
    <vt:lpwstr>A) Oax - Por Rubro de Ingresos(GSI3SVGUZQNVXQSU405N3E52Q).xlsx</vt:lpwstr>
  </property>
</Properties>
</file>