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9440" windowHeight="7500"/>
  </bookViews>
  <sheets>
    <sheet name="Destino Gto Fed y Reint" sheetId="1" r:id="rId1"/>
    <sheet name="FUENTE NO BORRAR" sheetId="2" state="hidden" r:id="rId2"/>
    <sheet name="BExRepositorySheet" sheetId="4" state="veryHidden" r:id="rId3"/>
  </sheets>
  <externalReferences>
    <externalReference r:id="rId4"/>
  </externalReferences>
  <definedNames>
    <definedName name="_xlnm.Print_Titles" localSheetId="0">'Destino Gto Fed y Reint'!$2:$7</definedName>
  </definedNames>
  <calcPr calcId="145621"/>
</workbook>
</file>

<file path=xl/calcChain.xml><?xml version="1.0" encoding="utf-8"?>
<calcChain xmlns="http://schemas.openxmlformats.org/spreadsheetml/2006/main">
  <c r="E2428" i="1" l="1"/>
  <c r="D2428" i="1"/>
  <c r="C2428" i="1"/>
  <c r="B2428" i="1"/>
  <c r="A2428" i="1"/>
  <c r="E2427" i="1"/>
  <c r="D2427" i="1"/>
  <c r="C2427" i="1"/>
  <c r="B2427" i="1"/>
  <c r="A2427" i="1"/>
  <c r="E2426" i="1"/>
  <c r="D2426" i="1"/>
  <c r="C2426" i="1"/>
  <c r="B2426" i="1"/>
  <c r="A2426" i="1"/>
  <c r="E2425" i="1"/>
  <c r="D2425" i="1"/>
  <c r="C2425" i="1"/>
  <c r="B2425" i="1"/>
  <c r="A2425" i="1"/>
  <c r="E2424" i="1"/>
  <c r="D2424" i="1"/>
  <c r="C2424" i="1"/>
  <c r="B2424" i="1"/>
  <c r="A2424" i="1"/>
  <c r="E2423" i="1"/>
  <c r="D2423" i="1"/>
  <c r="C2423" i="1"/>
  <c r="B2423" i="1"/>
  <c r="A2423" i="1"/>
  <c r="E2422" i="1"/>
  <c r="D2422" i="1"/>
  <c r="C2422" i="1"/>
  <c r="B2422" i="1"/>
  <c r="A2422" i="1"/>
  <c r="E2421" i="1"/>
  <c r="D2421" i="1"/>
  <c r="C2421" i="1"/>
  <c r="B2421" i="1"/>
  <c r="A2421" i="1"/>
  <c r="E2420" i="1"/>
  <c r="D2420" i="1"/>
  <c r="C2420" i="1"/>
  <c r="B2420" i="1"/>
  <c r="A2420" i="1"/>
  <c r="E2419" i="1"/>
  <c r="D2419" i="1"/>
  <c r="C2419" i="1"/>
  <c r="B2419" i="1"/>
  <c r="A2419" i="1"/>
  <c r="E2418" i="1"/>
  <c r="D2418" i="1"/>
  <c r="C2418" i="1"/>
  <c r="B2418" i="1"/>
  <c r="A2418" i="1"/>
  <c r="E2417" i="1"/>
  <c r="D2417" i="1"/>
  <c r="C2417" i="1"/>
  <c r="B2417" i="1"/>
  <c r="A2417" i="1"/>
  <c r="E2416" i="1"/>
  <c r="D2416" i="1"/>
  <c r="C2416" i="1"/>
  <c r="B2416" i="1"/>
  <c r="A2416" i="1"/>
  <c r="E2415" i="1"/>
  <c r="D2415" i="1"/>
  <c r="C2415" i="1"/>
  <c r="B2415" i="1"/>
  <c r="A2415" i="1"/>
  <c r="E2414" i="1"/>
  <c r="D2414" i="1"/>
  <c r="C2414" i="1"/>
  <c r="B2414" i="1"/>
  <c r="A2414" i="1"/>
  <c r="E2413" i="1"/>
  <c r="D2413" i="1"/>
  <c r="C2413" i="1"/>
  <c r="B2413" i="1"/>
  <c r="A2413" i="1"/>
  <c r="E2412" i="1"/>
  <c r="D2412" i="1"/>
  <c r="C2412" i="1"/>
  <c r="B2412" i="1"/>
  <c r="A2412" i="1"/>
  <c r="E2411" i="1"/>
  <c r="D2411" i="1"/>
  <c r="C2411" i="1"/>
  <c r="B2411" i="1"/>
  <c r="A2411" i="1"/>
  <c r="E2410" i="1"/>
  <c r="D2410" i="1"/>
  <c r="C2410" i="1"/>
  <c r="B2410" i="1"/>
  <c r="A2410" i="1"/>
  <c r="E2409" i="1"/>
  <c r="D2409" i="1"/>
  <c r="C2409" i="1"/>
  <c r="B2409" i="1"/>
  <c r="A2409" i="1"/>
  <c r="E2408" i="1"/>
  <c r="D2408" i="1"/>
  <c r="C2408" i="1"/>
  <c r="B2408" i="1"/>
  <c r="A2408" i="1"/>
  <c r="E2407" i="1"/>
  <c r="D2407" i="1"/>
  <c r="C2407" i="1"/>
  <c r="B2407" i="1"/>
  <c r="A2407" i="1"/>
  <c r="E2406" i="1"/>
  <c r="D2406" i="1"/>
  <c r="C2406" i="1"/>
  <c r="B2406" i="1"/>
  <c r="A2406" i="1"/>
  <c r="E2405" i="1"/>
  <c r="D2405" i="1"/>
  <c r="C2405" i="1"/>
  <c r="B2405" i="1"/>
  <c r="A2405" i="1"/>
  <c r="E2404" i="1"/>
  <c r="D2404" i="1"/>
  <c r="C2404" i="1"/>
  <c r="B2404" i="1"/>
  <c r="A2404" i="1"/>
  <c r="E2403" i="1"/>
  <c r="D2403" i="1"/>
  <c r="C2403" i="1"/>
  <c r="B2403" i="1"/>
  <c r="A2403" i="1"/>
  <c r="E2402" i="1"/>
  <c r="D2402" i="1"/>
  <c r="C2402" i="1"/>
  <c r="B2402" i="1"/>
  <c r="A2402" i="1"/>
  <c r="E2401" i="1"/>
  <c r="D2401" i="1"/>
  <c r="C2401" i="1"/>
  <c r="B2401" i="1"/>
  <c r="A2401" i="1"/>
  <c r="E2400" i="1"/>
  <c r="D2400" i="1"/>
  <c r="C2400" i="1"/>
  <c r="B2400" i="1"/>
  <c r="A2400" i="1"/>
  <c r="E2399" i="1"/>
  <c r="D2399" i="1"/>
  <c r="C2399" i="1"/>
  <c r="B2399" i="1"/>
  <c r="A2399" i="1"/>
  <c r="E2398" i="1"/>
  <c r="D2398" i="1"/>
  <c r="C2398" i="1"/>
  <c r="B2398" i="1"/>
  <c r="A2398" i="1"/>
  <c r="E2397" i="1"/>
  <c r="D2397" i="1"/>
  <c r="C2397" i="1"/>
  <c r="B2397" i="1"/>
  <c r="A2397" i="1"/>
  <c r="E2396" i="1"/>
  <c r="D2396" i="1"/>
  <c r="C2396" i="1"/>
  <c r="B2396" i="1"/>
  <c r="A2396" i="1"/>
  <c r="E2395" i="1"/>
  <c r="D2395" i="1"/>
  <c r="C2395" i="1"/>
  <c r="B2395" i="1"/>
  <c r="A2395" i="1"/>
  <c r="E2394" i="1"/>
  <c r="D2394" i="1"/>
  <c r="C2394" i="1"/>
  <c r="B2394" i="1"/>
  <c r="A2394" i="1"/>
  <c r="E2393" i="1"/>
  <c r="D2393" i="1"/>
  <c r="C2393" i="1"/>
  <c r="B2393" i="1"/>
  <c r="A2393" i="1"/>
  <c r="E2392" i="1"/>
  <c r="D2392" i="1"/>
  <c r="C2392" i="1"/>
  <c r="B2392" i="1"/>
  <c r="A2392" i="1"/>
  <c r="E2391" i="1"/>
  <c r="D2391" i="1"/>
  <c r="C2391" i="1"/>
  <c r="B2391" i="1"/>
  <c r="A2391" i="1"/>
  <c r="E2390" i="1"/>
  <c r="D2390" i="1"/>
  <c r="C2390" i="1"/>
  <c r="B2390" i="1"/>
  <c r="A2390" i="1"/>
  <c r="E2389" i="1"/>
  <c r="D2389" i="1"/>
  <c r="C2389" i="1"/>
  <c r="B2389" i="1"/>
  <c r="A2389" i="1"/>
  <c r="E2388" i="1"/>
  <c r="D2388" i="1"/>
  <c r="C2388" i="1"/>
  <c r="B2388" i="1"/>
  <c r="A2388" i="1"/>
  <c r="E2387" i="1"/>
  <c r="D2387" i="1"/>
  <c r="C2387" i="1"/>
  <c r="B2387" i="1"/>
  <c r="A2387" i="1"/>
  <c r="E2386" i="1"/>
  <c r="D2386" i="1"/>
  <c r="C2386" i="1"/>
  <c r="B2386" i="1"/>
  <c r="A2386" i="1"/>
  <c r="E2385" i="1"/>
  <c r="D2385" i="1"/>
  <c r="C2385" i="1"/>
  <c r="B2385" i="1"/>
  <c r="A2385" i="1"/>
  <c r="E2384" i="1"/>
  <c r="D2384" i="1"/>
  <c r="C2384" i="1"/>
  <c r="B2384" i="1"/>
  <c r="A2384" i="1"/>
  <c r="E2383" i="1"/>
  <c r="D2383" i="1"/>
  <c r="C2383" i="1"/>
  <c r="B2383" i="1"/>
  <c r="A2383" i="1"/>
  <c r="E2382" i="1"/>
  <c r="D2382" i="1"/>
  <c r="C2382" i="1"/>
  <c r="B2382" i="1"/>
  <c r="A2382" i="1"/>
  <c r="E2381" i="1"/>
  <c r="D2381" i="1"/>
  <c r="C2381" i="1"/>
  <c r="B2381" i="1"/>
  <c r="A2381" i="1"/>
  <c r="E2380" i="1"/>
  <c r="D2380" i="1"/>
  <c r="C2380" i="1"/>
  <c r="B2380" i="1"/>
  <c r="A2380" i="1"/>
  <c r="E2379" i="1"/>
  <c r="D2379" i="1"/>
  <c r="C2379" i="1"/>
  <c r="B2379" i="1"/>
  <c r="A2379" i="1"/>
  <c r="E2378" i="1"/>
  <c r="D2378" i="1"/>
  <c r="C2378" i="1"/>
  <c r="B2378" i="1"/>
  <c r="A2378" i="1"/>
  <c r="E2377" i="1"/>
  <c r="D2377" i="1"/>
  <c r="C2377" i="1"/>
  <c r="B2377" i="1"/>
  <c r="A2377" i="1"/>
  <c r="E2376" i="1"/>
  <c r="D2376" i="1"/>
  <c r="C2376" i="1"/>
  <c r="B2376" i="1"/>
  <c r="A2376" i="1"/>
  <c r="E2375" i="1"/>
  <c r="D2375" i="1"/>
  <c r="C2375" i="1"/>
  <c r="B2375" i="1"/>
  <c r="A2375" i="1"/>
  <c r="E2374" i="1"/>
  <c r="D2374" i="1"/>
  <c r="C2374" i="1"/>
  <c r="B2374" i="1"/>
  <c r="A2374" i="1"/>
  <c r="E2373" i="1"/>
  <c r="D2373" i="1"/>
  <c r="C2373" i="1"/>
  <c r="B2373" i="1"/>
  <c r="A2373" i="1"/>
  <c r="E2372" i="1"/>
  <c r="D2372" i="1"/>
  <c r="C2372" i="1"/>
  <c r="B2372" i="1"/>
  <c r="A2372" i="1"/>
  <c r="E2371" i="1"/>
  <c r="D2371" i="1"/>
  <c r="C2371" i="1"/>
  <c r="B2371" i="1"/>
  <c r="A2371" i="1"/>
  <c r="E2370" i="1"/>
  <c r="D2370" i="1"/>
  <c r="C2370" i="1"/>
  <c r="B2370" i="1"/>
  <c r="A2370" i="1"/>
  <c r="E2369" i="1"/>
  <c r="D2369" i="1"/>
  <c r="C2369" i="1"/>
  <c r="B2369" i="1"/>
  <c r="A2369" i="1"/>
  <c r="E2368" i="1"/>
  <c r="D2368" i="1"/>
  <c r="C2368" i="1"/>
  <c r="B2368" i="1"/>
  <c r="A2368" i="1"/>
  <c r="E2367" i="1"/>
  <c r="D2367" i="1"/>
  <c r="C2367" i="1"/>
  <c r="B2367" i="1"/>
  <c r="A2367" i="1"/>
  <c r="E2366" i="1"/>
  <c r="D2366" i="1"/>
  <c r="C2366" i="1"/>
  <c r="B2366" i="1"/>
  <c r="A2366" i="1"/>
  <c r="E2365" i="1"/>
  <c r="D2365" i="1"/>
  <c r="C2365" i="1"/>
  <c r="B2365" i="1"/>
  <c r="A2365" i="1"/>
  <c r="E2364" i="1"/>
  <c r="D2364" i="1"/>
  <c r="C2364" i="1"/>
  <c r="B2364" i="1"/>
  <c r="A2364" i="1"/>
  <c r="E2363" i="1"/>
  <c r="D2363" i="1"/>
  <c r="C2363" i="1"/>
  <c r="B2363" i="1"/>
  <c r="A2363" i="1"/>
  <c r="E2362" i="1"/>
  <c r="D2362" i="1"/>
  <c r="C2362" i="1"/>
  <c r="B2362" i="1"/>
  <c r="A2362" i="1"/>
  <c r="E2361" i="1"/>
  <c r="D2361" i="1"/>
  <c r="C2361" i="1"/>
  <c r="B2361" i="1"/>
  <c r="A2361" i="1"/>
  <c r="E2360" i="1"/>
  <c r="D2360" i="1"/>
  <c r="C2360" i="1"/>
  <c r="B2360" i="1"/>
  <c r="A2360" i="1"/>
  <c r="E2359" i="1"/>
  <c r="D2359" i="1"/>
  <c r="C2359" i="1"/>
  <c r="B2359" i="1"/>
  <c r="A2359" i="1"/>
  <c r="E2358" i="1"/>
  <c r="D2358" i="1"/>
  <c r="C2358" i="1"/>
  <c r="B2358" i="1"/>
  <c r="A2358" i="1"/>
  <c r="E2357" i="1"/>
  <c r="D2357" i="1"/>
  <c r="C2357" i="1"/>
  <c r="B2357" i="1"/>
  <c r="A2357" i="1"/>
  <c r="E2356" i="1"/>
  <c r="D2356" i="1"/>
  <c r="C2356" i="1"/>
  <c r="B2356" i="1"/>
  <c r="A2356" i="1"/>
  <c r="E2355" i="1"/>
  <c r="D2355" i="1"/>
  <c r="C2355" i="1"/>
  <c r="B2355" i="1"/>
  <c r="A2355" i="1"/>
  <c r="E2354" i="1"/>
  <c r="D2354" i="1"/>
  <c r="C2354" i="1"/>
  <c r="B2354" i="1"/>
  <c r="A2354" i="1"/>
  <c r="E2353" i="1"/>
  <c r="D2353" i="1"/>
  <c r="C2353" i="1"/>
  <c r="B2353" i="1"/>
  <c r="A2353" i="1"/>
  <c r="E2352" i="1"/>
  <c r="D2352" i="1"/>
  <c r="C2352" i="1"/>
  <c r="B2352" i="1"/>
  <c r="A2352" i="1"/>
  <c r="E2351" i="1"/>
  <c r="D2351" i="1"/>
  <c r="C2351" i="1"/>
  <c r="B2351" i="1"/>
  <c r="A2351" i="1"/>
  <c r="E2350" i="1"/>
  <c r="D2350" i="1"/>
  <c r="C2350" i="1"/>
  <c r="B2350" i="1"/>
  <c r="A2350" i="1"/>
  <c r="E2349" i="1"/>
  <c r="D2349" i="1"/>
  <c r="C2349" i="1"/>
  <c r="B2349" i="1"/>
  <c r="A2349" i="1"/>
  <c r="E2348" i="1"/>
  <c r="D2348" i="1"/>
  <c r="C2348" i="1"/>
  <c r="B2348" i="1"/>
  <c r="A2348" i="1"/>
  <c r="E2347" i="1"/>
  <c r="D2347" i="1"/>
  <c r="C2347" i="1"/>
  <c r="B2347" i="1"/>
  <c r="A2347" i="1"/>
  <c r="E2346" i="1"/>
  <c r="D2346" i="1"/>
  <c r="C2346" i="1"/>
  <c r="B2346" i="1"/>
  <c r="A2346" i="1"/>
  <c r="E2345" i="1"/>
  <c r="D2345" i="1"/>
  <c r="C2345" i="1"/>
  <c r="B2345" i="1"/>
  <c r="A2345" i="1"/>
  <c r="E2344" i="1"/>
  <c r="D2344" i="1"/>
  <c r="C2344" i="1"/>
  <c r="B2344" i="1"/>
  <c r="A2344" i="1"/>
  <c r="E2343" i="1"/>
  <c r="D2343" i="1"/>
  <c r="C2343" i="1"/>
  <c r="B2343" i="1"/>
  <c r="A2343" i="1"/>
  <c r="E2342" i="1"/>
  <c r="D2342" i="1"/>
  <c r="C2342" i="1"/>
  <c r="B2342" i="1"/>
  <c r="A2342" i="1"/>
  <c r="E2341" i="1"/>
  <c r="D2341" i="1"/>
  <c r="C2341" i="1"/>
  <c r="B2341" i="1"/>
  <c r="A2341" i="1"/>
  <c r="E2340" i="1"/>
  <c r="D2340" i="1"/>
  <c r="C2340" i="1"/>
  <c r="B2340" i="1"/>
  <c r="A2340" i="1"/>
  <c r="E2339" i="1"/>
  <c r="D2339" i="1"/>
  <c r="C2339" i="1"/>
  <c r="B2339" i="1"/>
  <c r="A2339" i="1"/>
  <c r="E2338" i="1"/>
  <c r="D2338" i="1"/>
  <c r="C2338" i="1"/>
  <c r="B2338" i="1"/>
  <c r="A2338" i="1"/>
  <c r="E2337" i="1"/>
  <c r="D2337" i="1"/>
  <c r="C2337" i="1"/>
  <c r="B2337" i="1"/>
  <c r="A2337" i="1"/>
  <c r="E2336" i="1"/>
  <c r="D2336" i="1"/>
  <c r="C2336" i="1"/>
  <c r="B2336" i="1"/>
  <c r="A2336" i="1"/>
  <c r="E2335" i="1"/>
  <c r="D2335" i="1"/>
  <c r="C2335" i="1"/>
  <c r="B2335" i="1"/>
  <c r="A2335" i="1"/>
  <c r="E2334" i="1"/>
  <c r="D2334" i="1"/>
  <c r="C2334" i="1"/>
  <c r="B2334" i="1"/>
  <c r="A2334" i="1"/>
  <c r="E2333" i="1"/>
  <c r="D2333" i="1"/>
  <c r="C2333" i="1"/>
  <c r="B2333" i="1"/>
  <c r="A2333" i="1"/>
  <c r="E2332" i="1"/>
  <c r="D2332" i="1"/>
  <c r="C2332" i="1"/>
  <c r="B2332" i="1"/>
  <c r="A2332" i="1"/>
  <c r="E2331" i="1"/>
  <c r="D2331" i="1"/>
  <c r="C2331" i="1"/>
  <c r="B2331" i="1"/>
  <c r="A2331" i="1"/>
  <c r="E2330" i="1"/>
  <c r="D2330" i="1"/>
  <c r="C2330" i="1"/>
  <c r="B2330" i="1"/>
  <c r="A2330" i="1"/>
  <c r="E2329" i="1"/>
  <c r="D2329" i="1"/>
  <c r="C2329" i="1"/>
  <c r="B2329" i="1"/>
  <c r="A2329" i="1"/>
  <c r="E2328" i="1"/>
  <c r="D2328" i="1"/>
  <c r="C2328" i="1"/>
  <c r="B2328" i="1"/>
  <c r="A2328" i="1"/>
  <c r="E2327" i="1"/>
  <c r="D2327" i="1"/>
  <c r="C2327" i="1"/>
  <c r="B2327" i="1"/>
  <c r="A2327" i="1"/>
  <c r="E2326" i="1"/>
  <c r="D2326" i="1"/>
  <c r="C2326" i="1"/>
  <c r="B2326" i="1"/>
  <c r="A2326" i="1"/>
  <c r="E2325" i="1"/>
  <c r="D2325" i="1"/>
  <c r="C2325" i="1"/>
  <c r="B2325" i="1"/>
  <c r="A2325" i="1"/>
  <c r="E2324" i="1"/>
  <c r="D2324" i="1"/>
  <c r="C2324" i="1"/>
  <c r="B2324" i="1"/>
  <c r="A2324" i="1"/>
  <c r="E2323" i="1"/>
  <c r="D2323" i="1"/>
  <c r="C2323" i="1"/>
  <c r="B2323" i="1"/>
  <c r="A2323" i="1"/>
  <c r="E2322" i="1"/>
  <c r="D2322" i="1"/>
  <c r="C2322" i="1"/>
  <c r="B2322" i="1"/>
  <c r="A2322" i="1"/>
  <c r="E2321" i="1"/>
  <c r="D2321" i="1"/>
  <c r="C2321" i="1"/>
  <c r="B2321" i="1"/>
  <c r="A2321" i="1"/>
  <c r="E2320" i="1"/>
  <c r="D2320" i="1"/>
  <c r="C2320" i="1"/>
  <c r="B2320" i="1"/>
  <c r="A2320" i="1"/>
  <c r="E2319" i="1"/>
  <c r="D2319" i="1"/>
  <c r="C2319" i="1"/>
  <c r="B2319" i="1"/>
  <c r="A2319" i="1"/>
  <c r="E2318" i="1"/>
  <c r="D2318" i="1"/>
  <c r="C2318" i="1"/>
  <c r="B2318" i="1"/>
  <c r="A2318" i="1"/>
  <c r="E2317" i="1"/>
  <c r="D2317" i="1"/>
  <c r="C2317" i="1"/>
  <c r="B2317" i="1"/>
  <c r="A2317" i="1"/>
  <c r="E2316" i="1"/>
  <c r="D2316" i="1"/>
  <c r="C2316" i="1"/>
  <c r="B2316" i="1"/>
  <c r="A2316" i="1"/>
  <c r="E2315" i="1"/>
  <c r="D2315" i="1"/>
  <c r="C2315" i="1"/>
  <c r="B2315" i="1"/>
  <c r="A2315" i="1"/>
  <c r="E2314" i="1"/>
  <c r="D2314" i="1"/>
  <c r="C2314" i="1"/>
  <c r="B2314" i="1"/>
  <c r="A2314" i="1"/>
  <c r="E2313" i="1"/>
  <c r="D2313" i="1"/>
  <c r="C2313" i="1"/>
  <c r="B2313" i="1"/>
  <c r="A2313" i="1"/>
  <c r="E2312" i="1"/>
  <c r="D2312" i="1"/>
  <c r="C2312" i="1"/>
  <c r="B2312" i="1"/>
  <c r="A2312" i="1"/>
  <c r="E2311" i="1"/>
  <c r="D2311" i="1"/>
  <c r="C2311" i="1"/>
  <c r="B2311" i="1"/>
  <c r="A2311" i="1"/>
  <c r="E2310" i="1"/>
  <c r="D2310" i="1"/>
  <c r="C2310" i="1"/>
  <c r="B2310" i="1"/>
  <c r="A2310" i="1"/>
  <c r="E2309" i="1"/>
  <c r="D2309" i="1"/>
  <c r="C2309" i="1"/>
  <c r="B2309" i="1"/>
  <c r="A2309" i="1"/>
  <c r="E2308" i="1"/>
  <c r="D2308" i="1"/>
  <c r="C2308" i="1"/>
  <c r="B2308" i="1"/>
  <c r="A2308" i="1"/>
  <c r="E2307" i="1"/>
  <c r="D2307" i="1"/>
  <c r="C2307" i="1"/>
  <c r="B2307" i="1"/>
  <c r="A2307" i="1"/>
  <c r="E2306" i="1"/>
  <c r="D2306" i="1"/>
  <c r="C2306" i="1"/>
  <c r="B2306" i="1"/>
  <c r="A2306" i="1"/>
  <c r="E2305" i="1"/>
  <c r="D2305" i="1"/>
  <c r="C2305" i="1"/>
  <c r="B2305" i="1"/>
  <c r="A2305" i="1"/>
  <c r="E2304" i="1"/>
  <c r="D2304" i="1"/>
  <c r="C2304" i="1"/>
  <c r="B2304" i="1"/>
  <c r="A2304" i="1"/>
  <c r="E2303" i="1"/>
  <c r="D2303" i="1"/>
  <c r="C2303" i="1"/>
  <c r="B2303" i="1"/>
  <c r="A2303" i="1"/>
  <c r="E2302" i="1"/>
  <c r="D2302" i="1"/>
  <c r="C2302" i="1"/>
  <c r="B2302" i="1"/>
  <c r="A2302" i="1"/>
  <c r="E2301" i="1"/>
  <c r="D2301" i="1"/>
  <c r="C2301" i="1"/>
  <c r="B2301" i="1"/>
  <c r="A2301" i="1"/>
  <c r="E2300" i="1"/>
  <c r="D2300" i="1"/>
  <c r="C2300" i="1"/>
  <c r="B2300" i="1"/>
  <c r="A2300" i="1"/>
  <c r="E2299" i="1"/>
  <c r="D2299" i="1"/>
  <c r="C2299" i="1"/>
  <c r="B2299" i="1"/>
  <c r="A2299" i="1"/>
  <c r="E2298" i="1"/>
  <c r="D2298" i="1"/>
  <c r="C2298" i="1"/>
  <c r="B2298" i="1"/>
  <c r="A2298" i="1"/>
  <c r="E2297" i="1"/>
  <c r="D2297" i="1"/>
  <c r="C2297" i="1"/>
  <c r="B2297" i="1"/>
  <c r="A2297" i="1"/>
  <c r="E2296" i="1"/>
  <c r="D2296" i="1"/>
  <c r="C2296" i="1"/>
  <c r="B2296" i="1"/>
  <c r="A2296" i="1"/>
  <c r="E2295" i="1"/>
  <c r="D2295" i="1"/>
  <c r="C2295" i="1"/>
  <c r="B2295" i="1"/>
  <c r="A2295" i="1"/>
  <c r="E2294" i="1"/>
  <c r="D2294" i="1"/>
  <c r="C2294" i="1"/>
  <c r="B2294" i="1"/>
  <c r="A2294" i="1"/>
  <c r="E2293" i="1"/>
  <c r="D2293" i="1"/>
  <c r="C2293" i="1"/>
  <c r="B2293" i="1"/>
  <c r="A2293" i="1"/>
  <c r="E2292" i="1"/>
  <c r="D2292" i="1"/>
  <c r="C2292" i="1"/>
  <c r="B2292" i="1"/>
  <c r="A2292" i="1"/>
  <c r="E2291" i="1"/>
  <c r="D2291" i="1"/>
  <c r="C2291" i="1"/>
  <c r="B2291" i="1"/>
  <c r="A2291" i="1"/>
  <c r="E2290" i="1"/>
  <c r="D2290" i="1"/>
  <c r="C2290" i="1"/>
  <c r="B2290" i="1"/>
  <c r="A2290" i="1"/>
  <c r="E2289" i="1"/>
  <c r="D2289" i="1"/>
  <c r="C2289" i="1"/>
  <c r="B2289" i="1"/>
  <c r="A2289" i="1"/>
  <c r="E2288" i="1"/>
  <c r="D2288" i="1"/>
  <c r="C2288" i="1"/>
  <c r="B2288" i="1"/>
  <c r="A2288" i="1"/>
  <c r="E2287" i="1"/>
  <c r="D2287" i="1"/>
  <c r="C2287" i="1"/>
  <c r="B2287" i="1"/>
  <c r="A2287" i="1"/>
  <c r="E2286" i="1"/>
  <c r="D2286" i="1"/>
  <c r="C2286" i="1"/>
  <c r="B2286" i="1"/>
  <c r="A2286" i="1"/>
  <c r="E2285" i="1"/>
  <c r="D2285" i="1"/>
  <c r="C2285" i="1"/>
  <c r="B2285" i="1"/>
  <c r="A2285" i="1"/>
  <c r="E2284" i="1"/>
  <c r="D2284" i="1"/>
  <c r="C2284" i="1"/>
  <c r="B2284" i="1"/>
  <c r="A2284" i="1"/>
  <c r="E2283" i="1"/>
  <c r="D2283" i="1"/>
  <c r="C2283" i="1"/>
  <c r="B2283" i="1"/>
  <c r="A2283" i="1"/>
  <c r="E2282" i="1"/>
  <c r="D2282" i="1"/>
  <c r="C2282" i="1"/>
  <c r="B2282" i="1"/>
  <c r="A2282" i="1"/>
  <c r="E2281" i="1"/>
  <c r="D2281" i="1"/>
  <c r="C2281" i="1"/>
  <c r="B2281" i="1"/>
  <c r="A2281" i="1"/>
  <c r="E2280" i="1"/>
  <c r="D2280" i="1"/>
  <c r="C2280" i="1"/>
  <c r="B2280" i="1"/>
  <c r="A2280" i="1"/>
  <c r="E2279" i="1"/>
  <c r="D2279" i="1"/>
  <c r="C2279" i="1"/>
  <c r="B2279" i="1"/>
  <c r="A2279" i="1"/>
  <c r="E2278" i="1"/>
  <c r="D2278" i="1"/>
  <c r="C2278" i="1"/>
  <c r="B2278" i="1"/>
  <c r="A2278" i="1"/>
  <c r="E2277" i="1"/>
  <c r="D2277" i="1"/>
  <c r="C2277" i="1"/>
  <c r="B2277" i="1"/>
  <c r="A2277" i="1"/>
  <c r="E2276" i="1"/>
  <c r="D2276" i="1"/>
  <c r="C2276" i="1"/>
  <c r="B2276" i="1"/>
  <c r="A2276" i="1"/>
  <c r="E2275" i="1"/>
  <c r="D2275" i="1"/>
  <c r="C2275" i="1"/>
  <c r="B2275" i="1"/>
  <c r="A2275" i="1"/>
  <c r="E2274" i="1"/>
  <c r="D2274" i="1"/>
  <c r="C2274" i="1"/>
  <c r="B2274" i="1"/>
  <c r="A2274" i="1"/>
  <c r="E2273" i="1"/>
  <c r="D2273" i="1"/>
  <c r="C2273" i="1"/>
  <c r="B2273" i="1"/>
  <c r="A2273" i="1"/>
  <c r="E2272" i="1"/>
  <c r="D2272" i="1"/>
  <c r="C2272" i="1"/>
  <c r="B2272" i="1"/>
  <c r="A2272" i="1"/>
  <c r="E2271" i="1"/>
  <c r="D2271" i="1"/>
  <c r="C2271" i="1"/>
  <c r="B2271" i="1"/>
  <c r="A2271" i="1"/>
  <c r="E2270" i="1"/>
  <c r="D2270" i="1"/>
  <c r="C2270" i="1"/>
  <c r="B2270" i="1"/>
  <c r="A2270" i="1"/>
  <c r="E2269" i="1"/>
  <c r="D2269" i="1"/>
  <c r="C2269" i="1"/>
  <c r="B2269" i="1"/>
  <c r="A2269" i="1"/>
  <c r="E2268" i="1"/>
  <c r="D2268" i="1"/>
  <c r="C2268" i="1"/>
  <c r="B2268" i="1"/>
  <c r="A2268" i="1"/>
  <c r="E2267" i="1"/>
  <c r="D2267" i="1"/>
  <c r="C2267" i="1"/>
  <c r="B2267" i="1"/>
  <c r="A2267" i="1"/>
  <c r="E2266" i="1"/>
  <c r="D2266" i="1"/>
  <c r="C2266" i="1"/>
  <c r="B2266" i="1"/>
  <c r="A2266" i="1"/>
  <c r="E2265" i="1"/>
  <c r="D2265" i="1"/>
  <c r="C2265" i="1"/>
  <c r="B2265" i="1"/>
  <c r="A2265" i="1"/>
  <c r="E2264" i="1"/>
  <c r="D2264" i="1"/>
  <c r="C2264" i="1"/>
  <c r="B2264" i="1"/>
  <c r="A2264" i="1"/>
  <c r="E2263" i="1"/>
  <c r="D2263" i="1"/>
  <c r="C2263" i="1"/>
  <c r="B2263" i="1"/>
  <c r="A2263" i="1"/>
  <c r="E2262" i="1"/>
  <c r="D2262" i="1"/>
  <c r="C2262" i="1"/>
  <c r="B2262" i="1"/>
  <c r="A2262" i="1"/>
  <c r="E2261" i="1"/>
  <c r="D2261" i="1"/>
  <c r="C2261" i="1"/>
  <c r="B2261" i="1"/>
  <c r="A2261" i="1"/>
  <c r="E2260" i="1"/>
  <c r="D2260" i="1"/>
  <c r="C2260" i="1"/>
  <c r="B2260" i="1"/>
  <c r="A2260" i="1"/>
  <c r="E2259" i="1"/>
  <c r="D2259" i="1"/>
  <c r="C2259" i="1"/>
  <c r="B2259" i="1"/>
  <c r="A2259" i="1"/>
  <c r="E2258" i="1"/>
  <c r="D2258" i="1"/>
  <c r="C2258" i="1"/>
  <c r="B2258" i="1"/>
  <c r="A2258" i="1"/>
  <c r="E2257" i="1"/>
  <c r="D2257" i="1"/>
  <c r="C2257" i="1"/>
  <c r="B2257" i="1"/>
  <c r="A2257" i="1"/>
  <c r="E2256" i="1"/>
  <c r="D2256" i="1"/>
  <c r="C2256" i="1"/>
  <c r="B2256" i="1"/>
  <c r="A2256" i="1"/>
  <c r="E2255" i="1"/>
  <c r="D2255" i="1"/>
  <c r="C2255" i="1"/>
  <c r="B2255" i="1"/>
  <c r="A2255" i="1"/>
  <c r="E2254" i="1"/>
  <c r="D2254" i="1"/>
  <c r="C2254" i="1"/>
  <c r="B2254" i="1"/>
  <c r="A2254" i="1"/>
  <c r="E2253" i="1"/>
  <c r="D2253" i="1"/>
  <c r="C2253" i="1"/>
  <c r="B2253" i="1"/>
  <c r="A2253" i="1"/>
  <c r="E2252" i="1"/>
  <c r="D2252" i="1"/>
  <c r="C2252" i="1"/>
  <c r="B2252" i="1"/>
  <c r="A2252" i="1"/>
  <c r="E2251" i="1"/>
  <c r="D2251" i="1"/>
  <c r="C2251" i="1"/>
  <c r="B2251" i="1"/>
  <c r="A2251" i="1"/>
  <c r="E2250" i="1"/>
  <c r="D2250" i="1"/>
  <c r="C2250" i="1"/>
  <c r="B2250" i="1"/>
  <c r="A2250" i="1"/>
  <c r="E2249" i="1"/>
  <c r="D2249" i="1"/>
  <c r="C2249" i="1"/>
  <c r="B2249" i="1"/>
  <c r="A2249" i="1"/>
  <c r="E2248" i="1"/>
  <c r="D2248" i="1"/>
  <c r="C2248" i="1"/>
  <c r="B2248" i="1"/>
  <c r="A2248" i="1"/>
  <c r="E2247" i="1"/>
  <c r="D2247" i="1"/>
  <c r="C2247" i="1"/>
  <c r="B2247" i="1"/>
  <c r="A2247" i="1"/>
  <c r="E2246" i="1"/>
  <c r="D2246" i="1"/>
  <c r="C2246" i="1"/>
  <c r="B2246" i="1"/>
  <c r="A2246" i="1"/>
  <c r="E2245" i="1"/>
  <c r="D2245" i="1"/>
  <c r="C2245" i="1"/>
  <c r="B2245" i="1"/>
  <c r="A2245" i="1"/>
  <c r="E2244" i="1"/>
  <c r="D2244" i="1"/>
  <c r="C2244" i="1"/>
  <c r="B2244" i="1"/>
  <c r="A2244" i="1"/>
  <c r="E2243" i="1"/>
  <c r="D2243" i="1"/>
  <c r="C2243" i="1"/>
  <c r="B2243" i="1"/>
  <c r="A2243" i="1"/>
  <c r="E2242" i="1"/>
  <c r="D2242" i="1"/>
  <c r="C2242" i="1"/>
  <c r="B2242" i="1"/>
  <c r="A2242" i="1"/>
  <c r="E2241" i="1"/>
  <c r="D2241" i="1"/>
  <c r="C2241" i="1"/>
  <c r="B2241" i="1"/>
  <c r="A2241" i="1"/>
  <c r="E2240" i="1"/>
  <c r="D2240" i="1"/>
  <c r="C2240" i="1"/>
  <c r="B2240" i="1"/>
  <c r="A2240" i="1"/>
  <c r="E2239" i="1"/>
  <c r="D2239" i="1"/>
  <c r="C2239" i="1"/>
  <c r="B2239" i="1"/>
  <c r="A2239" i="1"/>
  <c r="E2238" i="1"/>
  <c r="D2238" i="1"/>
  <c r="C2238" i="1"/>
  <c r="B2238" i="1"/>
  <c r="A2238" i="1"/>
  <c r="E2237" i="1"/>
  <c r="D2237" i="1"/>
  <c r="C2237" i="1"/>
  <c r="B2237" i="1"/>
  <c r="A2237" i="1"/>
  <c r="E2236" i="1"/>
  <c r="D2236" i="1"/>
  <c r="C2236" i="1"/>
  <c r="B2236" i="1"/>
  <c r="A2236" i="1"/>
  <c r="E2235" i="1"/>
  <c r="D2235" i="1"/>
  <c r="C2235" i="1"/>
  <c r="B2235" i="1"/>
  <c r="A2235" i="1"/>
  <c r="E2234" i="1"/>
  <c r="D2234" i="1"/>
  <c r="C2234" i="1"/>
  <c r="B2234" i="1"/>
  <c r="A2234" i="1"/>
  <c r="E2233" i="1"/>
  <c r="D2233" i="1"/>
  <c r="C2233" i="1"/>
  <c r="B2233" i="1"/>
  <c r="A2233" i="1"/>
  <c r="E2232" i="1"/>
  <c r="D2232" i="1"/>
  <c r="C2232" i="1"/>
  <c r="B2232" i="1"/>
  <c r="A2232" i="1"/>
  <c r="E2231" i="1"/>
  <c r="D2231" i="1"/>
  <c r="C2231" i="1"/>
  <c r="B2231" i="1"/>
  <c r="A2231" i="1"/>
  <c r="E2230" i="1"/>
  <c r="D2230" i="1"/>
  <c r="C2230" i="1"/>
  <c r="B2230" i="1"/>
  <c r="A2230" i="1"/>
  <c r="E2229" i="1"/>
  <c r="D2229" i="1"/>
  <c r="C2229" i="1"/>
  <c r="B2229" i="1"/>
  <c r="A2229" i="1"/>
  <c r="E2228" i="1"/>
  <c r="D2228" i="1"/>
  <c r="C2228" i="1"/>
  <c r="B2228" i="1"/>
  <c r="A2228" i="1"/>
  <c r="E2227" i="1"/>
  <c r="D2227" i="1"/>
  <c r="C2227" i="1"/>
  <c r="B2227" i="1"/>
  <c r="A2227" i="1"/>
  <c r="E2226" i="1"/>
  <c r="D2226" i="1"/>
  <c r="C2226" i="1"/>
  <c r="B2226" i="1"/>
  <c r="A2226" i="1"/>
  <c r="E2225" i="1"/>
  <c r="D2225" i="1"/>
  <c r="C2225" i="1"/>
  <c r="B2225" i="1"/>
  <c r="A2225" i="1"/>
  <c r="E2224" i="1"/>
  <c r="D2224" i="1"/>
  <c r="C2224" i="1"/>
  <c r="B2224" i="1"/>
  <c r="A2224" i="1"/>
  <c r="E2223" i="1"/>
  <c r="D2223" i="1"/>
  <c r="C2223" i="1"/>
  <c r="B2223" i="1"/>
  <c r="A2223" i="1"/>
  <c r="E2222" i="1"/>
  <c r="D2222" i="1"/>
  <c r="C2222" i="1"/>
  <c r="B2222" i="1"/>
  <c r="A2222" i="1"/>
  <c r="E2221" i="1"/>
  <c r="D2221" i="1"/>
  <c r="C2221" i="1"/>
  <c r="B2221" i="1"/>
  <c r="A2221" i="1"/>
  <c r="E2220" i="1"/>
  <c r="D2220" i="1"/>
  <c r="C2220" i="1"/>
  <c r="B2220" i="1"/>
  <c r="A2220" i="1"/>
  <c r="E2219" i="1"/>
  <c r="D2219" i="1"/>
  <c r="C2219" i="1"/>
  <c r="B2219" i="1"/>
  <c r="A2219" i="1"/>
  <c r="E2218" i="1"/>
  <c r="D2218" i="1"/>
  <c r="C2218" i="1"/>
  <c r="B2218" i="1"/>
  <c r="A2218" i="1"/>
  <c r="E2217" i="1"/>
  <c r="D2217" i="1"/>
  <c r="C2217" i="1"/>
  <c r="B2217" i="1"/>
  <c r="A2217" i="1"/>
  <c r="E2216" i="1"/>
  <c r="D2216" i="1"/>
  <c r="C2216" i="1"/>
  <c r="B2216" i="1"/>
  <c r="A2216" i="1"/>
  <c r="E2215" i="1"/>
  <c r="D2215" i="1"/>
  <c r="C2215" i="1"/>
  <c r="B2215" i="1"/>
  <c r="A2215" i="1"/>
  <c r="E2214" i="1"/>
  <c r="D2214" i="1"/>
  <c r="C2214" i="1"/>
  <c r="B2214" i="1"/>
  <c r="A2214" i="1"/>
  <c r="E2213" i="1"/>
  <c r="D2213" i="1"/>
  <c r="C2213" i="1"/>
  <c r="B2213" i="1"/>
  <c r="A2213" i="1"/>
  <c r="E2212" i="1"/>
  <c r="D2212" i="1"/>
  <c r="C2212" i="1"/>
  <c r="B2212" i="1"/>
  <c r="A2212" i="1"/>
  <c r="E2211" i="1"/>
  <c r="D2211" i="1"/>
  <c r="C2211" i="1"/>
  <c r="B2211" i="1"/>
  <c r="A2211" i="1"/>
  <c r="E2210" i="1"/>
  <c r="D2210" i="1"/>
  <c r="C2210" i="1"/>
  <c r="B2210" i="1"/>
  <c r="A2210" i="1"/>
  <c r="E2209" i="1"/>
  <c r="D2209" i="1"/>
  <c r="C2209" i="1"/>
  <c r="B2209" i="1"/>
  <c r="A2209" i="1"/>
  <c r="E2208" i="1"/>
  <c r="D2208" i="1"/>
  <c r="C2208" i="1"/>
  <c r="B2208" i="1"/>
  <c r="A2208" i="1"/>
  <c r="E2207" i="1"/>
  <c r="D2207" i="1"/>
  <c r="C2207" i="1"/>
  <c r="B2207" i="1"/>
  <c r="A2207" i="1"/>
  <c r="E2206" i="1"/>
  <c r="D2206" i="1"/>
  <c r="C2206" i="1"/>
  <c r="B2206" i="1"/>
  <c r="A2206" i="1"/>
  <c r="E2205" i="1"/>
  <c r="D2205" i="1"/>
  <c r="C2205" i="1"/>
  <c r="B2205" i="1"/>
  <c r="A2205" i="1"/>
  <c r="E2204" i="1"/>
  <c r="D2204" i="1"/>
  <c r="C2204" i="1"/>
  <c r="B2204" i="1"/>
  <c r="A2204" i="1"/>
  <c r="E2203" i="1"/>
  <c r="D2203" i="1"/>
  <c r="C2203" i="1"/>
  <c r="B2203" i="1"/>
  <c r="A2203" i="1"/>
  <c r="E2202" i="1"/>
  <c r="D2202" i="1"/>
  <c r="C2202" i="1"/>
  <c r="B2202" i="1"/>
  <c r="A2202" i="1"/>
  <c r="E2201" i="1"/>
  <c r="D2201" i="1"/>
  <c r="C2201" i="1"/>
  <c r="B2201" i="1"/>
  <c r="A2201" i="1"/>
  <c r="E2200" i="1"/>
  <c r="D2200" i="1"/>
  <c r="C2200" i="1"/>
  <c r="B2200" i="1"/>
  <c r="A2200" i="1"/>
  <c r="E2199" i="1"/>
  <c r="D2199" i="1"/>
  <c r="C2199" i="1"/>
  <c r="B2199" i="1"/>
  <c r="A2199" i="1"/>
  <c r="E2198" i="1"/>
  <c r="D2198" i="1"/>
  <c r="C2198" i="1"/>
  <c r="B2198" i="1"/>
  <c r="A2198" i="1"/>
  <c r="E2197" i="1"/>
  <c r="D2197" i="1"/>
  <c r="C2197" i="1"/>
  <c r="B2197" i="1"/>
  <c r="A2197" i="1"/>
  <c r="E2196" i="1"/>
  <c r="D2196" i="1"/>
  <c r="C2196" i="1"/>
  <c r="B2196" i="1"/>
  <c r="A2196" i="1"/>
  <c r="E2195" i="1"/>
  <c r="D2195" i="1"/>
  <c r="C2195" i="1"/>
  <c r="B2195" i="1"/>
  <c r="A2195" i="1"/>
  <c r="E2194" i="1"/>
  <c r="D2194" i="1"/>
  <c r="C2194" i="1"/>
  <c r="B2194" i="1"/>
  <c r="A2194" i="1"/>
  <c r="E2193" i="1"/>
  <c r="D2193" i="1"/>
  <c r="C2193" i="1"/>
  <c r="B2193" i="1"/>
  <c r="A2193" i="1"/>
  <c r="E2192" i="1"/>
  <c r="D2192" i="1"/>
  <c r="C2192" i="1"/>
  <c r="B2192" i="1"/>
  <c r="A2192" i="1"/>
  <c r="E2191" i="1"/>
  <c r="D2191" i="1"/>
  <c r="C2191" i="1"/>
  <c r="B2191" i="1"/>
  <c r="A2191" i="1"/>
  <c r="E2190" i="1"/>
  <c r="D2190" i="1"/>
  <c r="C2190" i="1"/>
  <c r="B2190" i="1"/>
  <c r="A2190" i="1"/>
  <c r="E2189" i="1"/>
  <c r="D2189" i="1"/>
  <c r="C2189" i="1"/>
  <c r="B2189" i="1"/>
  <c r="A2189" i="1"/>
  <c r="E2188" i="1"/>
  <c r="D2188" i="1"/>
  <c r="C2188" i="1"/>
  <c r="B2188" i="1"/>
  <c r="A2188" i="1"/>
  <c r="E2187" i="1"/>
  <c r="D2187" i="1"/>
  <c r="C2187" i="1"/>
  <c r="B2187" i="1"/>
  <c r="A2187" i="1"/>
  <c r="E2186" i="1"/>
  <c r="D2186" i="1"/>
  <c r="C2186" i="1"/>
  <c r="B2186" i="1"/>
  <c r="A2186" i="1"/>
  <c r="E2185" i="1"/>
  <c r="D2185" i="1"/>
  <c r="C2185" i="1"/>
  <c r="B2185" i="1"/>
  <c r="A2185" i="1"/>
  <c r="E2184" i="1"/>
  <c r="D2184" i="1"/>
  <c r="C2184" i="1"/>
  <c r="B2184" i="1"/>
  <c r="A2184" i="1"/>
  <c r="E2183" i="1"/>
  <c r="D2183" i="1"/>
  <c r="C2183" i="1"/>
  <c r="B2183" i="1"/>
  <c r="A2183" i="1"/>
  <c r="E2182" i="1"/>
  <c r="D2182" i="1"/>
  <c r="C2182" i="1"/>
  <c r="B2182" i="1"/>
  <c r="A2182" i="1"/>
  <c r="E2181" i="1"/>
  <c r="D2181" i="1"/>
  <c r="C2181" i="1"/>
  <c r="B2181" i="1"/>
  <c r="A2181" i="1"/>
  <c r="E2180" i="1"/>
  <c r="D2180" i="1"/>
  <c r="C2180" i="1"/>
  <c r="B2180" i="1"/>
  <c r="A2180" i="1"/>
  <c r="E2179" i="1"/>
  <c r="D2179" i="1"/>
  <c r="C2179" i="1"/>
  <c r="B2179" i="1"/>
  <c r="A2179" i="1"/>
  <c r="E2178" i="1"/>
  <c r="D2178" i="1"/>
  <c r="C2178" i="1"/>
  <c r="B2178" i="1"/>
  <c r="A2178" i="1"/>
  <c r="E2177" i="1"/>
  <c r="D2177" i="1"/>
  <c r="C2177" i="1"/>
  <c r="B2177" i="1"/>
  <c r="A2177" i="1"/>
  <c r="E2176" i="1"/>
  <c r="D2176" i="1"/>
  <c r="C2176" i="1"/>
  <c r="B2176" i="1"/>
  <c r="A2176" i="1"/>
  <c r="E2175" i="1"/>
  <c r="D2175" i="1"/>
  <c r="C2175" i="1"/>
  <c r="B2175" i="1"/>
  <c r="A2175" i="1"/>
  <c r="E2174" i="1"/>
  <c r="D2174" i="1"/>
  <c r="C2174" i="1"/>
  <c r="B2174" i="1"/>
  <c r="A2174" i="1"/>
  <c r="E2173" i="1"/>
  <c r="D2173" i="1"/>
  <c r="C2173" i="1"/>
  <c r="B2173" i="1"/>
  <c r="A2173" i="1"/>
  <c r="E2172" i="1"/>
  <c r="D2172" i="1"/>
  <c r="C2172" i="1"/>
  <c r="B2172" i="1"/>
  <c r="A2172" i="1"/>
  <c r="E2171" i="1"/>
  <c r="D2171" i="1"/>
  <c r="C2171" i="1"/>
  <c r="B2171" i="1"/>
  <c r="A2171" i="1"/>
  <c r="E2170" i="1"/>
  <c r="D2170" i="1"/>
  <c r="C2170" i="1"/>
  <c r="B2170" i="1"/>
  <c r="A2170" i="1"/>
  <c r="E2169" i="1"/>
  <c r="D2169" i="1"/>
  <c r="C2169" i="1"/>
  <c r="B2169" i="1"/>
  <c r="A2169" i="1"/>
  <c r="E2168" i="1"/>
  <c r="D2168" i="1"/>
  <c r="C2168" i="1"/>
  <c r="B2168" i="1"/>
  <c r="A2168" i="1"/>
  <c r="E2167" i="1"/>
  <c r="D2167" i="1"/>
  <c r="C2167" i="1"/>
  <c r="B2167" i="1"/>
  <c r="A2167" i="1"/>
  <c r="E2166" i="1"/>
  <c r="D2166" i="1"/>
  <c r="C2166" i="1"/>
  <c r="B2166" i="1"/>
  <c r="A2166" i="1"/>
  <c r="E2165" i="1"/>
  <c r="D2165" i="1"/>
  <c r="C2165" i="1"/>
  <c r="B2165" i="1"/>
  <c r="A2165" i="1"/>
  <c r="E2164" i="1"/>
  <c r="D2164" i="1"/>
  <c r="C2164" i="1"/>
  <c r="B2164" i="1"/>
  <c r="A2164" i="1"/>
  <c r="E2163" i="1"/>
  <c r="D2163" i="1"/>
  <c r="C2163" i="1"/>
  <c r="B2163" i="1"/>
  <c r="A2163" i="1"/>
  <c r="E2162" i="1"/>
  <c r="D2162" i="1"/>
  <c r="C2162" i="1"/>
  <c r="B2162" i="1"/>
  <c r="A2162" i="1"/>
  <c r="E2161" i="1"/>
  <c r="D2161" i="1"/>
  <c r="C2161" i="1"/>
  <c r="B2161" i="1"/>
  <c r="A2161" i="1"/>
  <c r="E2160" i="1"/>
  <c r="D2160" i="1"/>
  <c r="C2160" i="1"/>
  <c r="B2160" i="1"/>
  <c r="A2160" i="1"/>
  <c r="E2159" i="1"/>
  <c r="D2159" i="1"/>
  <c r="C2159" i="1"/>
  <c r="B2159" i="1"/>
  <c r="A2159" i="1"/>
  <c r="E2158" i="1"/>
  <c r="D2158" i="1"/>
  <c r="C2158" i="1"/>
  <c r="B2158" i="1"/>
  <c r="A2158" i="1"/>
  <c r="E2157" i="1"/>
  <c r="D2157" i="1"/>
  <c r="C2157" i="1"/>
  <c r="B2157" i="1"/>
  <c r="A2157" i="1"/>
  <c r="E2156" i="1"/>
  <c r="D2156" i="1"/>
  <c r="C2156" i="1"/>
  <c r="B2156" i="1"/>
  <c r="A2156" i="1"/>
  <c r="E2155" i="1"/>
  <c r="D2155" i="1"/>
  <c r="C2155" i="1"/>
  <c r="B2155" i="1"/>
  <c r="A2155" i="1"/>
  <c r="E2154" i="1"/>
  <c r="D2154" i="1"/>
  <c r="C2154" i="1"/>
  <c r="B2154" i="1"/>
  <c r="A2154" i="1"/>
  <c r="E2153" i="1"/>
  <c r="D2153" i="1"/>
  <c r="C2153" i="1"/>
  <c r="B2153" i="1"/>
  <c r="A2153" i="1"/>
  <c r="E2152" i="1"/>
  <c r="D2152" i="1"/>
  <c r="C2152" i="1"/>
  <c r="B2152" i="1"/>
  <c r="A2152" i="1"/>
  <c r="E2151" i="1"/>
  <c r="D2151" i="1"/>
  <c r="C2151" i="1"/>
  <c r="B2151" i="1"/>
  <c r="A2151" i="1"/>
  <c r="E2150" i="1"/>
  <c r="D2150" i="1"/>
  <c r="C2150" i="1"/>
  <c r="B2150" i="1"/>
  <c r="A2150" i="1"/>
  <c r="E2149" i="1"/>
  <c r="D2149" i="1"/>
  <c r="C2149" i="1"/>
  <c r="B2149" i="1"/>
  <c r="A2149" i="1"/>
  <c r="E2148" i="1"/>
  <c r="D2148" i="1"/>
  <c r="C2148" i="1"/>
  <c r="B2148" i="1"/>
  <c r="A2148" i="1"/>
  <c r="E2147" i="1"/>
  <c r="D2147" i="1"/>
  <c r="C2147" i="1"/>
  <c r="B2147" i="1"/>
  <c r="A2147" i="1"/>
  <c r="E2146" i="1"/>
  <c r="D2146" i="1"/>
  <c r="C2146" i="1"/>
  <c r="B2146" i="1"/>
  <c r="A2146" i="1"/>
  <c r="E2145" i="1"/>
  <c r="D2145" i="1"/>
  <c r="C2145" i="1"/>
  <c r="B2145" i="1"/>
  <c r="A2145" i="1"/>
  <c r="E2144" i="1"/>
  <c r="D2144" i="1"/>
  <c r="C2144" i="1"/>
  <c r="B2144" i="1"/>
  <c r="A2144" i="1"/>
  <c r="E2143" i="1"/>
  <c r="D2143" i="1"/>
  <c r="C2143" i="1"/>
  <c r="B2143" i="1"/>
  <c r="A2143" i="1"/>
  <c r="E2142" i="1"/>
  <c r="D2142" i="1"/>
  <c r="C2142" i="1"/>
  <c r="B2142" i="1"/>
  <c r="A2142" i="1"/>
  <c r="E2141" i="1"/>
  <c r="D2141" i="1"/>
  <c r="C2141" i="1"/>
  <c r="B2141" i="1"/>
  <c r="A2141" i="1"/>
  <c r="E2140" i="1"/>
  <c r="D2140" i="1"/>
  <c r="C2140" i="1"/>
  <c r="B2140" i="1"/>
  <c r="A2140" i="1"/>
  <c r="E2139" i="1"/>
  <c r="D2139" i="1"/>
  <c r="C2139" i="1"/>
  <c r="B2139" i="1"/>
  <c r="A2139" i="1"/>
  <c r="E2138" i="1"/>
  <c r="D2138" i="1"/>
  <c r="C2138" i="1"/>
  <c r="B2138" i="1"/>
  <c r="A2138" i="1"/>
  <c r="E2137" i="1"/>
  <c r="D2137" i="1"/>
  <c r="C2137" i="1"/>
  <c r="B2137" i="1"/>
  <c r="A2137" i="1"/>
  <c r="E2136" i="1"/>
  <c r="D2136" i="1"/>
  <c r="C2136" i="1"/>
  <c r="B2136" i="1"/>
  <c r="A2136" i="1"/>
  <c r="E2135" i="1"/>
  <c r="D2135" i="1"/>
  <c r="C2135" i="1"/>
  <c r="B2135" i="1"/>
  <c r="A2135" i="1"/>
  <c r="E2134" i="1"/>
  <c r="D2134" i="1"/>
  <c r="C2134" i="1"/>
  <c r="B2134" i="1"/>
  <c r="A2134" i="1"/>
  <c r="E2133" i="1"/>
  <c r="D2133" i="1"/>
  <c r="C2133" i="1"/>
  <c r="B2133" i="1"/>
  <c r="A2133" i="1"/>
  <c r="E2132" i="1"/>
  <c r="D2132" i="1"/>
  <c r="C2132" i="1"/>
  <c r="B2132" i="1"/>
  <c r="A2132" i="1"/>
  <c r="E2131" i="1"/>
  <c r="D2131" i="1"/>
  <c r="C2131" i="1"/>
  <c r="B2131" i="1"/>
  <c r="A2131" i="1"/>
  <c r="E2130" i="1"/>
  <c r="D2130" i="1"/>
  <c r="C2130" i="1"/>
  <c r="B2130" i="1"/>
  <c r="A2130" i="1"/>
  <c r="E2129" i="1"/>
  <c r="D2129" i="1"/>
  <c r="C2129" i="1"/>
  <c r="B2129" i="1"/>
  <c r="A2129" i="1"/>
  <c r="E2128" i="1"/>
  <c r="D2128" i="1"/>
  <c r="C2128" i="1"/>
  <c r="B2128" i="1"/>
  <c r="A2128" i="1"/>
  <c r="E2127" i="1"/>
  <c r="D2127" i="1"/>
  <c r="C2127" i="1"/>
  <c r="B2127" i="1"/>
  <c r="A2127" i="1"/>
  <c r="E2126" i="1"/>
  <c r="D2126" i="1"/>
  <c r="C2126" i="1"/>
  <c r="B2126" i="1"/>
  <c r="A2126" i="1"/>
  <c r="E2125" i="1"/>
  <c r="D2125" i="1"/>
  <c r="C2125" i="1"/>
  <c r="B2125" i="1"/>
  <c r="A2125" i="1"/>
  <c r="E2124" i="1"/>
  <c r="D2124" i="1"/>
  <c r="C2124" i="1"/>
  <c r="B2124" i="1"/>
  <c r="A2124" i="1"/>
  <c r="E2123" i="1"/>
  <c r="D2123" i="1"/>
  <c r="C2123" i="1"/>
  <c r="B2123" i="1"/>
  <c r="A2123" i="1"/>
  <c r="E2122" i="1"/>
  <c r="D2122" i="1"/>
  <c r="C2122" i="1"/>
  <c r="B2122" i="1"/>
  <c r="A2122" i="1"/>
  <c r="E2121" i="1"/>
  <c r="D2121" i="1"/>
  <c r="C2121" i="1"/>
  <c r="B2121" i="1"/>
  <c r="A2121" i="1"/>
  <c r="E2120" i="1"/>
  <c r="D2120" i="1"/>
  <c r="C2120" i="1"/>
  <c r="B2120" i="1"/>
  <c r="A2120" i="1"/>
  <c r="E2119" i="1"/>
  <c r="D2119" i="1"/>
  <c r="C2119" i="1"/>
  <c r="B2119" i="1"/>
  <c r="A2119" i="1"/>
  <c r="E2118" i="1"/>
  <c r="D2118" i="1"/>
  <c r="C2118" i="1"/>
  <c r="B2118" i="1"/>
  <c r="A2118" i="1"/>
  <c r="E2117" i="1"/>
  <c r="D2117" i="1"/>
  <c r="C2117" i="1"/>
  <c r="B2117" i="1"/>
  <c r="A2117" i="1"/>
  <c r="E2116" i="1"/>
  <c r="D2116" i="1"/>
  <c r="C2116" i="1"/>
  <c r="B2116" i="1"/>
  <c r="A2116" i="1"/>
  <c r="E2115" i="1"/>
  <c r="D2115" i="1"/>
  <c r="C2115" i="1"/>
  <c r="B2115" i="1"/>
  <c r="A2115" i="1"/>
  <c r="E2114" i="1"/>
  <c r="D2114" i="1"/>
  <c r="C2114" i="1"/>
  <c r="B2114" i="1"/>
  <c r="A2114" i="1"/>
  <c r="E2113" i="1"/>
  <c r="D2113" i="1"/>
  <c r="C2113" i="1"/>
  <c r="B2113" i="1"/>
  <c r="A2113" i="1"/>
  <c r="E2112" i="1"/>
  <c r="D2112" i="1"/>
  <c r="C2112" i="1"/>
  <c r="B2112" i="1"/>
  <c r="A2112" i="1"/>
  <c r="E2111" i="1"/>
  <c r="D2111" i="1"/>
  <c r="C2111" i="1"/>
  <c r="B2111" i="1"/>
  <c r="A2111" i="1"/>
  <c r="E2110" i="1"/>
  <c r="D2110" i="1"/>
  <c r="C2110" i="1"/>
  <c r="B2110" i="1"/>
  <c r="A2110" i="1"/>
  <c r="E2109" i="1"/>
  <c r="D2109" i="1"/>
  <c r="C2109" i="1"/>
  <c r="B2109" i="1"/>
  <c r="A2109" i="1"/>
  <c r="E2108" i="1"/>
  <c r="D2108" i="1"/>
  <c r="C2108" i="1"/>
  <c r="B2108" i="1"/>
  <c r="A2108" i="1"/>
  <c r="E2107" i="1"/>
  <c r="D2107" i="1"/>
  <c r="C2107" i="1"/>
  <c r="B2107" i="1"/>
  <c r="A2107" i="1"/>
  <c r="E2106" i="1"/>
  <c r="D2106" i="1"/>
  <c r="C2106" i="1"/>
  <c r="B2106" i="1"/>
  <c r="A2106" i="1"/>
  <c r="E2105" i="1"/>
  <c r="D2105" i="1"/>
  <c r="C2105" i="1"/>
  <c r="B2105" i="1"/>
  <c r="A2105" i="1"/>
  <c r="E2104" i="1"/>
  <c r="D2104" i="1"/>
  <c r="C2104" i="1"/>
  <c r="B2104" i="1"/>
  <c r="A2104" i="1"/>
  <c r="E2103" i="1"/>
  <c r="D2103" i="1"/>
  <c r="C2103" i="1"/>
  <c r="B2103" i="1"/>
  <c r="A2103" i="1"/>
  <c r="E2102" i="1"/>
  <c r="D2102" i="1"/>
  <c r="C2102" i="1"/>
  <c r="B2102" i="1"/>
  <c r="A2102" i="1"/>
  <c r="E2101" i="1"/>
  <c r="D2101" i="1"/>
  <c r="C2101" i="1"/>
  <c r="B2101" i="1"/>
  <c r="A2101" i="1"/>
  <c r="E2100" i="1"/>
  <c r="D2100" i="1"/>
  <c r="C2100" i="1"/>
  <c r="B2100" i="1"/>
  <c r="A2100" i="1"/>
  <c r="E2099" i="1"/>
  <c r="D2099" i="1"/>
  <c r="C2099" i="1"/>
  <c r="B2099" i="1"/>
  <c r="A2099" i="1"/>
  <c r="E2098" i="1"/>
  <c r="D2098" i="1"/>
  <c r="C2098" i="1"/>
  <c r="B2098" i="1"/>
  <c r="A2098" i="1"/>
  <c r="E2097" i="1"/>
  <c r="D2097" i="1"/>
  <c r="C2097" i="1"/>
  <c r="B2097" i="1"/>
  <c r="A2097" i="1"/>
  <c r="E2096" i="1"/>
  <c r="D2096" i="1"/>
  <c r="C2096" i="1"/>
  <c r="B2096" i="1"/>
  <c r="A2096" i="1"/>
  <c r="E2095" i="1"/>
  <c r="D2095" i="1"/>
  <c r="C2095" i="1"/>
  <c r="B2095" i="1"/>
  <c r="A2095" i="1"/>
  <c r="E2094" i="1"/>
  <c r="D2094" i="1"/>
  <c r="C2094" i="1"/>
  <c r="B2094" i="1"/>
  <c r="A2094" i="1"/>
  <c r="E2093" i="1"/>
  <c r="D2093" i="1"/>
  <c r="C2093" i="1"/>
  <c r="B2093" i="1"/>
  <c r="A2093" i="1"/>
  <c r="E2092" i="1"/>
  <c r="D2092" i="1"/>
  <c r="C2092" i="1"/>
  <c r="B2092" i="1"/>
  <c r="A2092" i="1"/>
  <c r="E2091" i="1"/>
  <c r="D2091" i="1"/>
  <c r="C2091" i="1"/>
  <c r="B2091" i="1"/>
  <c r="A2091" i="1"/>
  <c r="E2090" i="1"/>
  <c r="D2090" i="1"/>
  <c r="C2090" i="1"/>
  <c r="B2090" i="1"/>
  <c r="A2090" i="1"/>
  <c r="E2089" i="1"/>
  <c r="D2089" i="1"/>
  <c r="C2089" i="1"/>
  <c r="B2089" i="1"/>
  <c r="A2089" i="1"/>
  <c r="E2088" i="1"/>
  <c r="D2088" i="1"/>
  <c r="C2088" i="1"/>
  <c r="B2088" i="1"/>
  <c r="A2088" i="1"/>
  <c r="E2087" i="1"/>
  <c r="D2087" i="1"/>
  <c r="C2087" i="1"/>
  <c r="B2087" i="1"/>
  <c r="A2087" i="1"/>
  <c r="E2086" i="1"/>
  <c r="D2086" i="1"/>
  <c r="C2086" i="1"/>
  <c r="B2086" i="1"/>
  <c r="A2086" i="1"/>
  <c r="E2085" i="1"/>
  <c r="D2085" i="1"/>
  <c r="C2085" i="1"/>
  <c r="B2085" i="1"/>
  <c r="A2085" i="1"/>
  <c r="E2084" i="1"/>
  <c r="D2084" i="1"/>
  <c r="C2084" i="1"/>
  <c r="B2084" i="1"/>
  <c r="A2084" i="1"/>
  <c r="E2083" i="1"/>
  <c r="D2083" i="1"/>
  <c r="C2083" i="1"/>
  <c r="B2083" i="1"/>
  <c r="A2083" i="1"/>
  <c r="E2082" i="1"/>
  <c r="D2082" i="1"/>
  <c r="C2082" i="1"/>
  <c r="B2082" i="1"/>
  <c r="A2082" i="1"/>
  <c r="E2081" i="1"/>
  <c r="D2081" i="1"/>
  <c r="C2081" i="1"/>
  <c r="B2081" i="1"/>
  <c r="A2081" i="1"/>
  <c r="E2080" i="1"/>
  <c r="D2080" i="1"/>
  <c r="C2080" i="1"/>
  <c r="B2080" i="1"/>
  <c r="A2080" i="1"/>
  <c r="E2079" i="1"/>
  <c r="D2079" i="1"/>
  <c r="C2079" i="1"/>
  <c r="B2079" i="1"/>
  <c r="A2079" i="1"/>
  <c r="E2078" i="1"/>
  <c r="D2078" i="1"/>
  <c r="C2078" i="1"/>
  <c r="B2078" i="1"/>
  <c r="A2078" i="1"/>
  <c r="E2077" i="1"/>
  <c r="D2077" i="1"/>
  <c r="C2077" i="1"/>
  <c r="B2077" i="1"/>
  <c r="A2077" i="1"/>
  <c r="E2076" i="1"/>
  <c r="D2076" i="1"/>
  <c r="C2076" i="1"/>
  <c r="B2076" i="1"/>
  <c r="A2076" i="1"/>
  <c r="E2075" i="1"/>
  <c r="D2075" i="1"/>
  <c r="C2075" i="1"/>
  <c r="B2075" i="1"/>
  <c r="A2075" i="1"/>
  <c r="E2074" i="1"/>
  <c r="D2074" i="1"/>
  <c r="C2074" i="1"/>
  <c r="B2074" i="1"/>
  <c r="A2074" i="1"/>
  <c r="E2073" i="1"/>
  <c r="D2073" i="1"/>
  <c r="C2073" i="1"/>
  <c r="B2073" i="1"/>
  <c r="A2073" i="1"/>
  <c r="E2072" i="1"/>
  <c r="D2072" i="1"/>
  <c r="C2072" i="1"/>
  <c r="B2072" i="1"/>
  <c r="A2072" i="1"/>
  <c r="E2071" i="1"/>
  <c r="D2071" i="1"/>
  <c r="C2071" i="1"/>
  <c r="B2071" i="1"/>
  <c r="A2071" i="1"/>
  <c r="E2070" i="1"/>
  <c r="D2070" i="1"/>
  <c r="C2070" i="1"/>
  <c r="B2070" i="1"/>
  <c r="A2070" i="1"/>
  <c r="E2069" i="1"/>
  <c r="D2069" i="1"/>
  <c r="C2069" i="1"/>
  <c r="B2069" i="1"/>
  <c r="A2069" i="1"/>
  <c r="E2068" i="1"/>
  <c r="D2068" i="1"/>
  <c r="C2068" i="1"/>
  <c r="B2068" i="1"/>
  <c r="A2068" i="1"/>
  <c r="E2067" i="1"/>
  <c r="D2067" i="1"/>
  <c r="C2067" i="1"/>
  <c r="B2067" i="1"/>
  <c r="A2067" i="1"/>
  <c r="E2066" i="1"/>
  <c r="D2066" i="1"/>
  <c r="C2066" i="1"/>
  <c r="B2066" i="1"/>
  <c r="A2066" i="1"/>
  <c r="E2065" i="1"/>
  <c r="D2065" i="1"/>
  <c r="C2065" i="1"/>
  <c r="B2065" i="1"/>
  <c r="A2065" i="1"/>
  <c r="E2064" i="1"/>
  <c r="D2064" i="1"/>
  <c r="C2064" i="1"/>
  <c r="B2064" i="1"/>
  <c r="A2064" i="1"/>
  <c r="E2063" i="1"/>
  <c r="D2063" i="1"/>
  <c r="C2063" i="1"/>
  <c r="B2063" i="1"/>
  <c r="A2063" i="1"/>
  <c r="E2062" i="1"/>
  <c r="D2062" i="1"/>
  <c r="C2062" i="1"/>
  <c r="B2062" i="1"/>
  <c r="A2062" i="1"/>
  <c r="E2061" i="1"/>
  <c r="D2061" i="1"/>
  <c r="C2061" i="1"/>
  <c r="B2061" i="1"/>
  <c r="A2061" i="1"/>
  <c r="E2060" i="1"/>
  <c r="D2060" i="1"/>
  <c r="C2060" i="1"/>
  <c r="B2060" i="1"/>
  <c r="A2060" i="1"/>
  <c r="E2059" i="1"/>
  <c r="D2059" i="1"/>
  <c r="C2059" i="1"/>
  <c r="B2059" i="1"/>
  <c r="A2059" i="1"/>
  <c r="E2058" i="1"/>
  <c r="D2058" i="1"/>
  <c r="C2058" i="1"/>
  <c r="B2058" i="1"/>
  <c r="A2058" i="1"/>
  <c r="E2057" i="1"/>
  <c r="D2057" i="1"/>
  <c r="C2057" i="1"/>
  <c r="B2057" i="1"/>
  <c r="A2057" i="1"/>
  <c r="E2056" i="1"/>
  <c r="D2056" i="1"/>
  <c r="C2056" i="1"/>
  <c r="B2056" i="1"/>
  <c r="A2056" i="1"/>
  <c r="E2055" i="1"/>
  <c r="D2055" i="1"/>
  <c r="C2055" i="1"/>
  <c r="B2055" i="1"/>
  <c r="A2055" i="1"/>
  <c r="E2054" i="1"/>
  <c r="D2054" i="1"/>
  <c r="C2054" i="1"/>
  <c r="B2054" i="1"/>
  <c r="A2054" i="1"/>
  <c r="E2053" i="1"/>
  <c r="D2053" i="1"/>
  <c r="C2053" i="1"/>
  <c r="B2053" i="1"/>
  <c r="A2053" i="1"/>
  <c r="E2052" i="1"/>
  <c r="D2052" i="1"/>
  <c r="C2052" i="1"/>
  <c r="B2052" i="1"/>
  <c r="A2052" i="1"/>
  <c r="E2051" i="1"/>
  <c r="D2051" i="1"/>
  <c r="C2051" i="1"/>
  <c r="B2051" i="1"/>
  <c r="A2051" i="1"/>
  <c r="E2050" i="1"/>
  <c r="D2050" i="1"/>
  <c r="C2050" i="1"/>
  <c r="B2050" i="1"/>
  <c r="A2050" i="1"/>
  <c r="E2049" i="1"/>
  <c r="D2049" i="1"/>
  <c r="C2049" i="1"/>
  <c r="B2049" i="1"/>
  <c r="A2049" i="1"/>
  <c r="E2048" i="1"/>
  <c r="D2048" i="1"/>
  <c r="C2048" i="1"/>
  <c r="B2048" i="1"/>
  <c r="A2048" i="1"/>
  <c r="E2047" i="1"/>
  <c r="D2047" i="1"/>
  <c r="C2047" i="1"/>
  <c r="B2047" i="1"/>
  <c r="A2047" i="1"/>
  <c r="E2046" i="1"/>
  <c r="D2046" i="1"/>
  <c r="C2046" i="1"/>
  <c r="B2046" i="1"/>
  <c r="A2046" i="1"/>
  <c r="E2045" i="1"/>
  <c r="D2045" i="1"/>
  <c r="C2045" i="1"/>
  <c r="B2045" i="1"/>
  <c r="A2045" i="1"/>
  <c r="E2044" i="1"/>
  <c r="D2044" i="1"/>
  <c r="C2044" i="1"/>
  <c r="B2044" i="1"/>
  <c r="A2044" i="1"/>
  <c r="E2043" i="1"/>
  <c r="D2043" i="1"/>
  <c r="C2043" i="1"/>
  <c r="B2043" i="1"/>
  <c r="A2043" i="1"/>
  <c r="E2042" i="1"/>
  <c r="D2042" i="1"/>
  <c r="C2042" i="1"/>
  <c r="B2042" i="1"/>
  <c r="A2042" i="1"/>
  <c r="E2041" i="1"/>
  <c r="D2041" i="1"/>
  <c r="C2041" i="1"/>
  <c r="B2041" i="1"/>
  <c r="A2041" i="1"/>
  <c r="E2040" i="1"/>
  <c r="D2040" i="1"/>
  <c r="C2040" i="1"/>
  <c r="B2040" i="1"/>
  <c r="A2040" i="1"/>
  <c r="E2039" i="1"/>
  <c r="D2039" i="1"/>
  <c r="C2039" i="1"/>
  <c r="B2039" i="1"/>
  <c r="A2039" i="1"/>
  <c r="E2038" i="1"/>
  <c r="D2038" i="1"/>
  <c r="C2038" i="1"/>
  <c r="B2038" i="1"/>
  <c r="A2038" i="1"/>
  <c r="E2037" i="1"/>
  <c r="D2037" i="1"/>
  <c r="C2037" i="1"/>
  <c r="B2037" i="1"/>
  <c r="A2037" i="1"/>
  <c r="E2036" i="1"/>
  <c r="D2036" i="1"/>
  <c r="C2036" i="1"/>
  <c r="B2036" i="1"/>
  <c r="A2036" i="1"/>
  <c r="E2035" i="1"/>
  <c r="D2035" i="1"/>
  <c r="C2035" i="1"/>
  <c r="B2035" i="1"/>
  <c r="A2035" i="1"/>
  <c r="E2034" i="1"/>
  <c r="D2034" i="1"/>
  <c r="C2034" i="1"/>
  <c r="B2034" i="1"/>
  <c r="A2034" i="1"/>
  <c r="E2033" i="1"/>
  <c r="D2033" i="1"/>
  <c r="C2033" i="1"/>
  <c r="B2033" i="1"/>
  <c r="A2033" i="1"/>
  <c r="E2032" i="1"/>
  <c r="D2032" i="1"/>
  <c r="C2032" i="1"/>
  <c r="B2032" i="1"/>
  <c r="A2032" i="1"/>
  <c r="E2031" i="1"/>
  <c r="D2031" i="1"/>
  <c r="C2031" i="1"/>
  <c r="B2031" i="1"/>
  <c r="A2031" i="1"/>
  <c r="E2030" i="1"/>
  <c r="D2030" i="1"/>
  <c r="C2030" i="1"/>
  <c r="B2030" i="1"/>
  <c r="A2030" i="1"/>
  <c r="E2029" i="1"/>
  <c r="D2029" i="1"/>
  <c r="C2029" i="1"/>
  <c r="B2029" i="1"/>
  <c r="A2029" i="1"/>
  <c r="E2028" i="1"/>
  <c r="D2028" i="1"/>
  <c r="C2028" i="1"/>
  <c r="B2028" i="1"/>
  <c r="A2028" i="1"/>
  <c r="E2027" i="1"/>
  <c r="D2027" i="1"/>
  <c r="C2027" i="1"/>
  <c r="B2027" i="1"/>
  <c r="A2027" i="1"/>
  <c r="E2026" i="1"/>
  <c r="D2026" i="1"/>
  <c r="C2026" i="1"/>
  <c r="B2026" i="1"/>
  <c r="A2026" i="1"/>
  <c r="E2025" i="1"/>
  <c r="D2025" i="1"/>
  <c r="C2025" i="1"/>
  <c r="B2025" i="1"/>
  <c r="A2025" i="1"/>
  <c r="E2024" i="1"/>
  <c r="D2024" i="1"/>
  <c r="C2024" i="1"/>
  <c r="B2024" i="1"/>
  <c r="A2024" i="1"/>
  <c r="E2023" i="1"/>
  <c r="D2023" i="1"/>
  <c r="C2023" i="1"/>
  <c r="B2023" i="1"/>
  <c r="A2023" i="1"/>
  <c r="E2022" i="1"/>
  <c r="D2022" i="1"/>
  <c r="C2022" i="1"/>
  <c r="B2022" i="1"/>
  <c r="A2022" i="1"/>
  <c r="E2021" i="1"/>
  <c r="D2021" i="1"/>
  <c r="C2021" i="1"/>
  <c r="B2021" i="1"/>
  <c r="A2021" i="1"/>
  <c r="E2020" i="1"/>
  <c r="D2020" i="1"/>
  <c r="C2020" i="1"/>
  <c r="B2020" i="1"/>
  <c r="A2020" i="1"/>
  <c r="E2019" i="1"/>
  <c r="D2019" i="1"/>
  <c r="C2019" i="1"/>
  <c r="B2019" i="1"/>
  <c r="A2019" i="1"/>
  <c r="E2018" i="1"/>
  <c r="D2018" i="1"/>
  <c r="C2018" i="1"/>
  <c r="B2018" i="1"/>
  <c r="A2018" i="1"/>
  <c r="E2017" i="1"/>
  <c r="D2017" i="1"/>
  <c r="C2017" i="1"/>
  <c r="B2017" i="1"/>
  <c r="A2017" i="1"/>
  <c r="E2016" i="1"/>
  <c r="D2016" i="1"/>
  <c r="C2016" i="1"/>
  <c r="B2016" i="1"/>
  <c r="A2016" i="1"/>
  <c r="E2015" i="1"/>
  <c r="D2015" i="1"/>
  <c r="C2015" i="1"/>
  <c r="B2015" i="1"/>
  <c r="A2015" i="1"/>
  <c r="E2014" i="1"/>
  <c r="D2014" i="1"/>
  <c r="C2014" i="1"/>
  <c r="B2014" i="1"/>
  <c r="A2014" i="1"/>
  <c r="E2013" i="1"/>
  <c r="D2013" i="1"/>
  <c r="C2013" i="1"/>
  <c r="B2013" i="1"/>
  <c r="A2013" i="1"/>
  <c r="E2012" i="1"/>
  <c r="D2012" i="1"/>
  <c r="C2012" i="1"/>
  <c r="B2012" i="1"/>
  <c r="A2012" i="1"/>
  <c r="E2011" i="1"/>
  <c r="D2011" i="1"/>
  <c r="C2011" i="1"/>
  <c r="B2011" i="1"/>
  <c r="A2011" i="1"/>
  <c r="E2010" i="1"/>
  <c r="D2010" i="1"/>
  <c r="C2010" i="1"/>
  <c r="B2010" i="1"/>
  <c r="A2010" i="1"/>
  <c r="E2009" i="1"/>
  <c r="D2009" i="1"/>
  <c r="C2009" i="1"/>
  <c r="B2009" i="1"/>
  <c r="A2009" i="1"/>
  <c r="E2008" i="1"/>
  <c r="D2008" i="1"/>
  <c r="C2008" i="1"/>
  <c r="B2008" i="1"/>
  <c r="A2008" i="1"/>
  <c r="E2007" i="1"/>
  <c r="D2007" i="1"/>
  <c r="C2007" i="1"/>
  <c r="B2007" i="1"/>
  <c r="A2007" i="1"/>
  <c r="E2006" i="1"/>
  <c r="D2006" i="1"/>
  <c r="C2006" i="1"/>
  <c r="B2006" i="1"/>
  <c r="A2006" i="1"/>
  <c r="E2005" i="1"/>
  <c r="D2005" i="1"/>
  <c r="C2005" i="1"/>
  <c r="B2005" i="1"/>
  <c r="A2005" i="1"/>
  <c r="E2004" i="1"/>
  <c r="D2004" i="1"/>
  <c r="C2004" i="1"/>
  <c r="B2004" i="1"/>
  <c r="A2004" i="1"/>
  <c r="E2003" i="1"/>
  <c r="D2003" i="1"/>
  <c r="C2003" i="1"/>
  <c r="B2003" i="1"/>
  <c r="A2003" i="1"/>
  <c r="E2002" i="1"/>
  <c r="D2002" i="1"/>
  <c r="C2002" i="1"/>
  <c r="B2002" i="1"/>
  <c r="A2002" i="1"/>
  <c r="E2001" i="1"/>
  <c r="D2001" i="1"/>
  <c r="C2001" i="1"/>
  <c r="B2001" i="1"/>
  <c r="A2001" i="1"/>
  <c r="E2000" i="1"/>
  <c r="D2000" i="1"/>
  <c r="C2000" i="1"/>
  <c r="B2000" i="1"/>
  <c r="A2000" i="1"/>
  <c r="E1999" i="1"/>
  <c r="D1999" i="1"/>
  <c r="C1999" i="1"/>
  <c r="B1999" i="1"/>
  <c r="A1999" i="1"/>
  <c r="E1998" i="1"/>
  <c r="D1998" i="1"/>
  <c r="C1998" i="1"/>
  <c r="B1998" i="1"/>
  <c r="A1998" i="1"/>
  <c r="E1997" i="1"/>
  <c r="D1997" i="1"/>
  <c r="C1997" i="1"/>
  <c r="B1997" i="1"/>
  <c r="A1997" i="1"/>
  <c r="E1996" i="1"/>
  <c r="D1996" i="1"/>
  <c r="C1996" i="1"/>
  <c r="B1996" i="1"/>
  <c r="A1996" i="1"/>
  <c r="E1995" i="1"/>
  <c r="D1995" i="1"/>
  <c r="C1995" i="1"/>
  <c r="B1995" i="1"/>
  <c r="A1995" i="1"/>
  <c r="E1994" i="1"/>
  <c r="D1994" i="1"/>
  <c r="C1994" i="1"/>
  <c r="B1994" i="1"/>
  <c r="A1994" i="1"/>
  <c r="E1993" i="1"/>
  <c r="D1993" i="1"/>
  <c r="C1993" i="1"/>
  <c r="B1993" i="1"/>
  <c r="A1993" i="1"/>
  <c r="E1992" i="1"/>
  <c r="D1992" i="1"/>
  <c r="C1992" i="1"/>
  <c r="B1992" i="1"/>
  <c r="A1992" i="1"/>
  <c r="E1991" i="1"/>
  <c r="D1991" i="1"/>
  <c r="C1991" i="1"/>
  <c r="B1991" i="1"/>
  <c r="A1991" i="1"/>
  <c r="E1990" i="1"/>
  <c r="D1990" i="1"/>
  <c r="C1990" i="1"/>
  <c r="B1990" i="1"/>
  <c r="A1990" i="1"/>
  <c r="E1989" i="1"/>
  <c r="D1989" i="1"/>
  <c r="C1989" i="1"/>
  <c r="B1989" i="1"/>
  <c r="A1989" i="1"/>
  <c r="E1988" i="1"/>
  <c r="D1988" i="1"/>
  <c r="C1988" i="1"/>
  <c r="B1988" i="1"/>
  <c r="A1988" i="1"/>
  <c r="E1987" i="1"/>
  <c r="D1987" i="1"/>
  <c r="C1987" i="1"/>
  <c r="B1987" i="1"/>
  <c r="A1987" i="1"/>
  <c r="E1986" i="1"/>
  <c r="D1986" i="1"/>
  <c r="C1986" i="1"/>
  <c r="B1986" i="1"/>
  <c r="A1986" i="1"/>
  <c r="E1985" i="1"/>
  <c r="D1985" i="1"/>
  <c r="C1985" i="1"/>
  <c r="B1985" i="1"/>
  <c r="A1985" i="1"/>
  <c r="E1984" i="1"/>
  <c r="D1984" i="1"/>
  <c r="C1984" i="1"/>
  <c r="B1984" i="1"/>
  <c r="A1984" i="1"/>
  <c r="E1983" i="1"/>
  <c r="D1983" i="1"/>
  <c r="C1983" i="1"/>
  <c r="B1983" i="1"/>
  <c r="A1983" i="1"/>
  <c r="E1982" i="1"/>
  <c r="D1982" i="1"/>
  <c r="C1982" i="1"/>
  <c r="B1982" i="1"/>
  <c r="A1982" i="1"/>
  <c r="E1981" i="1"/>
  <c r="D1981" i="1"/>
  <c r="C1981" i="1"/>
  <c r="B1981" i="1"/>
  <c r="A1981" i="1"/>
  <c r="E1980" i="1"/>
  <c r="D1980" i="1"/>
  <c r="C1980" i="1"/>
  <c r="B1980" i="1"/>
  <c r="A1980" i="1"/>
  <c r="E1979" i="1"/>
  <c r="D1979" i="1"/>
  <c r="C1979" i="1"/>
  <c r="B1979" i="1"/>
  <c r="A1979" i="1"/>
  <c r="E1978" i="1"/>
  <c r="D1978" i="1"/>
  <c r="C1978" i="1"/>
  <c r="B1978" i="1"/>
  <c r="A1978" i="1"/>
  <c r="E1977" i="1"/>
  <c r="D1977" i="1"/>
  <c r="C1977" i="1"/>
  <c r="B1977" i="1"/>
  <c r="A1977" i="1"/>
  <c r="E1976" i="1"/>
  <c r="D1976" i="1"/>
  <c r="C1976" i="1"/>
  <c r="B1976" i="1"/>
  <c r="A1976" i="1"/>
  <c r="E1975" i="1"/>
  <c r="D1975" i="1"/>
  <c r="C1975" i="1"/>
  <c r="B1975" i="1"/>
  <c r="A1975" i="1"/>
  <c r="E1974" i="1"/>
  <c r="D1974" i="1"/>
  <c r="C1974" i="1"/>
  <c r="B1974" i="1"/>
  <c r="A1974" i="1"/>
  <c r="E1973" i="1"/>
  <c r="D1973" i="1"/>
  <c r="C1973" i="1"/>
  <c r="B1973" i="1"/>
  <c r="A1973" i="1"/>
  <c r="E1972" i="1"/>
  <c r="D1972" i="1"/>
  <c r="C1972" i="1"/>
  <c r="B1972" i="1"/>
  <c r="A1972" i="1"/>
  <c r="E1971" i="1"/>
  <c r="D1971" i="1"/>
  <c r="C1971" i="1"/>
  <c r="B1971" i="1"/>
  <c r="A1971" i="1"/>
  <c r="E1970" i="1"/>
  <c r="D1970" i="1"/>
  <c r="C1970" i="1"/>
  <c r="B1970" i="1"/>
  <c r="A1970" i="1"/>
  <c r="E1969" i="1"/>
  <c r="D1969" i="1"/>
  <c r="C1969" i="1"/>
  <c r="B1969" i="1"/>
  <c r="A1969" i="1"/>
  <c r="E1968" i="1"/>
  <c r="D1968" i="1"/>
  <c r="C1968" i="1"/>
  <c r="B1968" i="1"/>
  <c r="A1968" i="1"/>
  <c r="E1967" i="1"/>
  <c r="D1967" i="1"/>
  <c r="C1967" i="1"/>
  <c r="B1967" i="1"/>
  <c r="A1967" i="1"/>
  <c r="E1966" i="1"/>
  <c r="D1966" i="1"/>
  <c r="C1966" i="1"/>
  <c r="B1966" i="1"/>
  <c r="A1966" i="1"/>
  <c r="E1965" i="1"/>
  <c r="D1965" i="1"/>
  <c r="C1965" i="1"/>
  <c r="B1965" i="1"/>
  <c r="A1965" i="1"/>
  <c r="E1964" i="1"/>
  <c r="D1964" i="1"/>
  <c r="C1964" i="1"/>
  <c r="B1964" i="1"/>
  <c r="A1964" i="1"/>
  <c r="E1963" i="1"/>
  <c r="D1963" i="1"/>
  <c r="C1963" i="1"/>
  <c r="B1963" i="1"/>
  <c r="A1963" i="1"/>
  <c r="E1962" i="1"/>
  <c r="D1962" i="1"/>
  <c r="C1962" i="1"/>
  <c r="B1962" i="1"/>
  <c r="A1962" i="1"/>
  <c r="E1961" i="1"/>
  <c r="D1961" i="1"/>
  <c r="C1961" i="1"/>
  <c r="B1961" i="1"/>
  <c r="A1961" i="1"/>
  <c r="E1960" i="1"/>
  <c r="D1960" i="1"/>
  <c r="C1960" i="1"/>
  <c r="B1960" i="1"/>
  <c r="A1960" i="1"/>
  <c r="E1959" i="1"/>
  <c r="D1959" i="1"/>
  <c r="C1959" i="1"/>
  <c r="B1959" i="1"/>
  <c r="A1959" i="1"/>
  <c r="E1958" i="1"/>
  <c r="D1958" i="1"/>
  <c r="C1958" i="1"/>
  <c r="B1958" i="1"/>
  <c r="A1958" i="1"/>
  <c r="E1957" i="1"/>
  <c r="D1957" i="1"/>
  <c r="C1957" i="1"/>
  <c r="B1957" i="1"/>
  <c r="A1957" i="1"/>
  <c r="E1956" i="1"/>
  <c r="D1956" i="1"/>
  <c r="C1956" i="1"/>
  <c r="B1956" i="1"/>
  <c r="A1956" i="1"/>
  <c r="E1955" i="1"/>
  <c r="D1955" i="1"/>
  <c r="C1955" i="1"/>
  <c r="B1955" i="1"/>
  <c r="A1955" i="1"/>
  <c r="E1954" i="1"/>
  <c r="D1954" i="1"/>
  <c r="C1954" i="1"/>
  <c r="B1954" i="1"/>
  <c r="A1954" i="1"/>
  <c r="E1953" i="1"/>
  <c r="D1953" i="1"/>
  <c r="C1953" i="1"/>
  <c r="B1953" i="1"/>
  <c r="A1953" i="1"/>
  <c r="E1952" i="1"/>
  <c r="D1952" i="1"/>
  <c r="C1952" i="1"/>
  <c r="B1952" i="1"/>
  <c r="A1952" i="1"/>
  <c r="E1951" i="1"/>
  <c r="D1951" i="1"/>
  <c r="C1951" i="1"/>
  <c r="B1951" i="1"/>
  <c r="A1951" i="1"/>
  <c r="E1950" i="1"/>
  <c r="D1950" i="1"/>
  <c r="C1950" i="1"/>
  <c r="B1950" i="1"/>
  <c r="A1950" i="1"/>
  <c r="E1949" i="1"/>
  <c r="D1949" i="1"/>
  <c r="C1949" i="1"/>
  <c r="B1949" i="1"/>
  <c r="A1949" i="1"/>
  <c r="E1948" i="1"/>
  <c r="D1948" i="1"/>
  <c r="C1948" i="1"/>
  <c r="B1948" i="1"/>
  <c r="A1948" i="1"/>
  <c r="E1947" i="1"/>
  <c r="D1947" i="1"/>
  <c r="C1947" i="1"/>
  <c r="B1947" i="1"/>
  <c r="A1947" i="1"/>
  <c r="E1946" i="1"/>
  <c r="D1946" i="1"/>
  <c r="C1946" i="1"/>
  <c r="B1946" i="1"/>
  <c r="A1946" i="1"/>
  <c r="E1945" i="1"/>
  <c r="D1945" i="1"/>
  <c r="C1945" i="1"/>
  <c r="B1945" i="1"/>
  <c r="A1945" i="1"/>
  <c r="E1944" i="1"/>
  <c r="D1944" i="1"/>
  <c r="C1944" i="1"/>
  <c r="B1944" i="1"/>
  <c r="A1944" i="1"/>
  <c r="E1943" i="1"/>
  <c r="D1943" i="1"/>
  <c r="C1943" i="1"/>
  <c r="B1943" i="1"/>
  <c r="A1943" i="1"/>
  <c r="E1942" i="1"/>
  <c r="D1942" i="1"/>
  <c r="C1942" i="1"/>
  <c r="B1942" i="1"/>
  <c r="A1942" i="1"/>
  <c r="E1941" i="1"/>
  <c r="D1941" i="1"/>
  <c r="C1941" i="1"/>
  <c r="B1941" i="1"/>
  <c r="A1941" i="1"/>
  <c r="E1940" i="1"/>
  <c r="D1940" i="1"/>
  <c r="C1940" i="1"/>
  <c r="B1940" i="1"/>
  <c r="A1940" i="1"/>
  <c r="E1939" i="1"/>
  <c r="D1939" i="1"/>
  <c r="C1939" i="1"/>
  <c r="B1939" i="1"/>
  <c r="A1939" i="1"/>
  <c r="E1938" i="1"/>
  <c r="D1938" i="1"/>
  <c r="C1938" i="1"/>
  <c r="B1938" i="1"/>
  <c r="A1938" i="1"/>
  <c r="E1937" i="1"/>
  <c r="D1937" i="1"/>
  <c r="C1937" i="1"/>
  <c r="B1937" i="1"/>
  <c r="A1937" i="1"/>
  <c r="E1936" i="1"/>
  <c r="D1936" i="1"/>
  <c r="C1936" i="1"/>
  <c r="B1936" i="1"/>
  <c r="A1936" i="1"/>
  <c r="E1935" i="1"/>
  <c r="D1935" i="1"/>
  <c r="C1935" i="1"/>
  <c r="B1935" i="1"/>
  <c r="A1935" i="1"/>
  <c r="E1934" i="1"/>
  <c r="D1934" i="1"/>
  <c r="C1934" i="1"/>
  <c r="B1934" i="1"/>
  <c r="A1934" i="1"/>
  <c r="E1933" i="1"/>
  <c r="D1933" i="1"/>
  <c r="C1933" i="1"/>
  <c r="B1933" i="1"/>
  <c r="A1933" i="1"/>
  <c r="E1932" i="1"/>
  <c r="D1932" i="1"/>
  <c r="C1932" i="1"/>
  <c r="B1932" i="1"/>
  <c r="A1932" i="1"/>
  <c r="E1931" i="1"/>
  <c r="D1931" i="1"/>
  <c r="C1931" i="1"/>
  <c r="B1931" i="1"/>
  <c r="A1931" i="1"/>
  <c r="E1930" i="1"/>
  <c r="D1930" i="1"/>
  <c r="C1930" i="1"/>
  <c r="B1930" i="1"/>
  <c r="A1930" i="1"/>
  <c r="E1929" i="1"/>
  <c r="D1929" i="1"/>
  <c r="C1929" i="1"/>
  <c r="B1929" i="1"/>
  <c r="A1929" i="1"/>
  <c r="E1928" i="1"/>
  <c r="D1928" i="1"/>
  <c r="C1928" i="1"/>
  <c r="B1928" i="1"/>
  <c r="A1928" i="1"/>
  <c r="E1927" i="1"/>
  <c r="D1927" i="1"/>
  <c r="C1927" i="1"/>
  <c r="B1927" i="1"/>
  <c r="A1927" i="1"/>
  <c r="E1926" i="1"/>
  <c r="D1926" i="1"/>
  <c r="C1926" i="1"/>
  <c r="B1926" i="1"/>
  <c r="A1926" i="1"/>
  <c r="E1925" i="1"/>
  <c r="D1925" i="1"/>
  <c r="C1925" i="1"/>
  <c r="B1925" i="1"/>
  <c r="A1925" i="1"/>
  <c r="E1924" i="1"/>
  <c r="D1924" i="1"/>
  <c r="C1924" i="1"/>
  <c r="B1924" i="1"/>
  <c r="A1924" i="1"/>
  <c r="E1923" i="1"/>
  <c r="D1923" i="1"/>
  <c r="C1923" i="1"/>
  <c r="B1923" i="1"/>
  <c r="A1923" i="1"/>
  <c r="E1922" i="1"/>
  <c r="D1922" i="1"/>
  <c r="C1922" i="1"/>
  <c r="B1922" i="1"/>
  <c r="A1922" i="1"/>
  <c r="E1921" i="1"/>
  <c r="D1921" i="1"/>
  <c r="C1921" i="1"/>
  <c r="B1921" i="1"/>
  <c r="A1921" i="1"/>
  <c r="E1920" i="1"/>
  <c r="D1920" i="1"/>
  <c r="C1920" i="1"/>
  <c r="B1920" i="1"/>
  <c r="A1920" i="1"/>
  <c r="E1919" i="1"/>
  <c r="D1919" i="1"/>
  <c r="C1919" i="1"/>
  <c r="B1919" i="1"/>
  <c r="A1919" i="1"/>
  <c r="E1918" i="1"/>
  <c r="D1918" i="1"/>
  <c r="C1918" i="1"/>
  <c r="B1918" i="1"/>
  <c r="A1918" i="1"/>
  <c r="E1917" i="1"/>
  <c r="D1917" i="1"/>
  <c r="C1917" i="1"/>
  <c r="B1917" i="1"/>
  <c r="A1917" i="1"/>
  <c r="E1916" i="1"/>
  <c r="D1916" i="1"/>
  <c r="C1916" i="1"/>
  <c r="B1916" i="1"/>
  <c r="A1916" i="1"/>
  <c r="E1915" i="1"/>
  <c r="D1915" i="1"/>
  <c r="C1915" i="1"/>
  <c r="B1915" i="1"/>
  <c r="A1915" i="1"/>
  <c r="E1914" i="1"/>
  <c r="D1914" i="1"/>
  <c r="C1914" i="1"/>
  <c r="B1914" i="1"/>
  <c r="A1914" i="1"/>
  <c r="E1913" i="1"/>
  <c r="D1913" i="1"/>
  <c r="C1913" i="1"/>
  <c r="B1913" i="1"/>
  <c r="A1913" i="1"/>
  <c r="E1912" i="1"/>
  <c r="D1912" i="1"/>
  <c r="C1912" i="1"/>
  <c r="B1912" i="1"/>
  <c r="A1912" i="1"/>
  <c r="E1911" i="1"/>
  <c r="D1911" i="1"/>
  <c r="C1911" i="1"/>
  <c r="B1911" i="1"/>
  <c r="A1911" i="1"/>
  <c r="E1910" i="1"/>
  <c r="D1910" i="1"/>
  <c r="C1910" i="1"/>
  <c r="B1910" i="1"/>
  <c r="A1910" i="1"/>
  <c r="E1909" i="1"/>
  <c r="D1909" i="1"/>
  <c r="C1909" i="1"/>
  <c r="B1909" i="1"/>
  <c r="A1909" i="1"/>
  <c r="E1908" i="1"/>
  <c r="D1908" i="1"/>
  <c r="C1908" i="1"/>
  <c r="B1908" i="1"/>
  <c r="A1908" i="1"/>
  <c r="E1907" i="1"/>
  <c r="D1907" i="1"/>
  <c r="C1907" i="1"/>
  <c r="B1907" i="1"/>
  <c r="A1907" i="1"/>
  <c r="E1906" i="1"/>
  <c r="D1906" i="1"/>
  <c r="C1906" i="1"/>
  <c r="B1906" i="1"/>
  <c r="A1906" i="1"/>
  <c r="E1905" i="1"/>
  <c r="D1905" i="1"/>
  <c r="C1905" i="1"/>
  <c r="B1905" i="1"/>
  <c r="A1905" i="1"/>
  <c r="E1904" i="1"/>
  <c r="D1904" i="1"/>
  <c r="C1904" i="1"/>
  <c r="B1904" i="1"/>
  <c r="A1904" i="1"/>
  <c r="E1903" i="1"/>
  <c r="D1903" i="1"/>
  <c r="C1903" i="1"/>
  <c r="B1903" i="1"/>
  <c r="A1903" i="1"/>
  <c r="E1902" i="1"/>
  <c r="D1902" i="1"/>
  <c r="C1902" i="1"/>
  <c r="B1902" i="1"/>
  <c r="A1902" i="1"/>
  <c r="E1901" i="1"/>
  <c r="D1901" i="1"/>
  <c r="C1901" i="1"/>
  <c r="B1901" i="1"/>
  <c r="A1901" i="1"/>
  <c r="E1900" i="1"/>
  <c r="D1900" i="1"/>
  <c r="C1900" i="1"/>
  <c r="B1900" i="1"/>
  <c r="A1900" i="1"/>
  <c r="E1899" i="1"/>
  <c r="D1899" i="1"/>
  <c r="C1899" i="1"/>
  <c r="B1899" i="1"/>
  <c r="A1899" i="1"/>
  <c r="E1898" i="1"/>
  <c r="D1898" i="1"/>
  <c r="C1898" i="1"/>
  <c r="B1898" i="1"/>
  <c r="A1898" i="1"/>
  <c r="E1897" i="1"/>
  <c r="D1897" i="1"/>
  <c r="C1897" i="1"/>
  <c r="B1897" i="1"/>
  <c r="A1897" i="1"/>
  <c r="E1896" i="1"/>
  <c r="D1896" i="1"/>
  <c r="C1896" i="1"/>
  <c r="B1896" i="1"/>
  <c r="A1896" i="1"/>
  <c r="E1895" i="1"/>
  <c r="D1895" i="1"/>
  <c r="C1895" i="1"/>
  <c r="B1895" i="1"/>
  <c r="A1895" i="1"/>
  <c r="E1894" i="1"/>
  <c r="D1894" i="1"/>
  <c r="C1894" i="1"/>
  <c r="B1894" i="1"/>
  <c r="A1894" i="1"/>
  <c r="E1893" i="1"/>
  <c r="D1893" i="1"/>
  <c r="C1893" i="1"/>
  <c r="B1893" i="1"/>
  <c r="A1893" i="1"/>
  <c r="E1892" i="1"/>
  <c r="D1892" i="1"/>
  <c r="C1892" i="1"/>
  <c r="B1892" i="1"/>
  <c r="A1892" i="1"/>
  <c r="E1891" i="1"/>
  <c r="D1891" i="1"/>
  <c r="C1891" i="1"/>
  <c r="B1891" i="1"/>
  <c r="A1891" i="1"/>
  <c r="E1890" i="1"/>
  <c r="D1890" i="1"/>
  <c r="C1890" i="1"/>
  <c r="B1890" i="1"/>
  <c r="A1890" i="1"/>
  <c r="E1889" i="1"/>
  <c r="D1889" i="1"/>
  <c r="C1889" i="1"/>
  <c r="B1889" i="1"/>
  <c r="A1889" i="1"/>
  <c r="E1888" i="1"/>
  <c r="D1888" i="1"/>
  <c r="C1888" i="1"/>
  <c r="B1888" i="1"/>
  <c r="A1888" i="1"/>
  <c r="E1887" i="1"/>
  <c r="D1887" i="1"/>
  <c r="C1887" i="1"/>
  <c r="B1887" i="1"/>
  <c r="A1887" i="1"/>
  <c r="E1886" i="1"/>
  <c r="D1886" i="1"/>
  <c r="C1886" i="1"/>
  <c r="B1886" i="1"/>
  <c r="A1886" i="1"/>
  <c r="E1885" i="1"/>
  <c r="D1885" i="1"/>
  <c r="C1885" i="1"/>
  <c r="B1885" i="1"/>
  <c r="A1885" i="1"/>
  <c r="E1884" i="1"/>
  <c r="D1884" i="1"/>
  <c r="C1884" i="1"/>
  <c r="B1884" i="1"/>
  <c r="A1884" i="1"/>
  <c r="E1883" i="1"/>
  <c r="D1883" i="1"/>
  <c r="C1883" i="1"/>
  <c r="B1883" i="1"/>
  <c r="A1883" i="1"/>
  <c r="E1882" i="1"/>
  <c r="D1882" i="1"/>
  <c r="C1882" i="1"/>
  <c r="B1882" i="1"/>
  <c r="A1882" i="1"/>
  <c r="E1881" i="1"/>
  <c r="D1881" i="1"/>
  <c r="C1881" i="1"/>
  <c r="B1881" i="1"/>
  <c r="A1881" i="1"/>
  <c r="E1880" i="1"/>
  <c r="D1880" i="1"/>
  <c r="C1880" i="1"/>
  <c r="B1880" i="1"/>
  <c r="A1880" i="1"/>
  <c r="E1879" i="1"/>
  <c r="D1879" i="1"/>
  <c r="C1879" i="1"/>
  <c r="B1879" i="1"/>
  <c r="A1879" i="1"/>
  <c r="E1878" i="1"/>
  <c r="D1878" i="1"/>
  <c r="C1878" i="1"/>
  <c r="B1878" i="1"/>
  <c r="A1878" i="1"/>
  <c r="E1877" i="1"/>
  <c r="D1877" i="1"/>
  <c r="C1877" i="1"/>
  <c r="B1877" i="1"/>
  <c r="A1877" i="1"/>
  <c r="E1876" i="1"/>
  <c r="D1876" i="1"/>
  <c r="C1876" i="1"/>
  <c r="B1876" i="1"/>
  <c r="A1876" i="1"/>
  <c r="E1875" i="1"/>
  <c r="D1875" i="1"/>
  <c r="C1875" i="1"/>
  <c r="B1875" i="1"/>
  <c r="A1875" i="1"/>
  <c r="E1874" i="1"/>
  <c r="D1874" i="1"/>
  <c r="C1874" i="1"/>
  <c r="B1874" i="1"/>
  <c r="A1874" i="1"/>
  <c r="E1873" i="1"/>
  <c r="D1873" i="1"/>
  <c r="C1873" i="1"/>
  <c r="B1873" i="1"/>
  <c r="A1873" i="1"/>
  <c r="E1872" i="1"/>
  <c r="D1872" i="1"/>
  <c r="C1872" i="1"/>
  <c r="B1872" i="1"/>
  <c r="A1872" i="1"/>
  <c r="E1871" i="1"/>
  <c r="D1871" i="1"/>
  <c r="C1871" i="1"/>
  <c r="B1871" i="1"/>
  <c r="A1871" i="1"/>
  <c r="E1870" i="1"/>
  <c r="D1870" i="1"/>
  <c r="C1870" i="1"/>
  <c r="B1870" i="1"/>
  <c r="A1870" i="1"/>
  <c r="E1869" i="1"/>
  <c r="D1869" i="1"/>
  <c r="C1869" i="1"/>
  <c r="B1869" i="1"/>
  <c r="A1869" i="1"/>
  <c r="E1868" i="1"/>
  <c r="D1868" i="1"/>
  <c r="C1868" i="1"/>
  <c r="B1868" i="1"/>
  <c r="A1868" i="1"/>
  <c r="E1867" i="1"/>
  <c r="D1867" i="1"/>
  <c r="C1867" i="1"/>
  <c r="B1867" i="1"/>
  <c r="A1867" i="1"/>
  <c r="E1866" i="1"/>
  <c r="D1866" i="1"/>
  <c r="C1866" i="1"/>
  <c r="B1866" i="1"/>
  <c r="A1866" i="1"/>
  <c r="E1865" i="1"/>
  <c r="D1865" i="1"/>
  <c r="C1865" i="1"/>
  <c r="B1865" i="1"/>
  <c r="A1865" i="1"/>
  <c r="E1864" i="1"/>
  <c r="D1864" i="1"/>
  <c r="C1864" i="1"/>
  <c r="B1864" i="1"/>
  <c r="A1864" i="1"/>
  <c r="E1863" i="1"/>
  <c r="D1863" i="1"/>
  <c r="C1863" i="1"/>
  <c r="B1863" i="1"/>
  <c r="A1863" i="1"/>
  <c r="E1862" i="1"/>
  <c r="D1862" i="1"/>
  <c r="C1862" i="1"/>
  <c r="B1862" i="1"/>
  <c r="A1862" i="1"/>
  <c r="E1861" i="1"/>
  <c r="D1861" i="1"/>
  <c r="C1861" i="1"/>
  <c r="B1861" i="1"/>
  <c r="A1861" i="1"/>
  <c r="E1860" i="1"/>
  <c r="D1860" i="1"/>
  <c r="C1860" i="1"/>
  <c r="B1860" i="1"/>
  <c r="A1860" i="1"/>
  <c r="E1859" i="1"/>
  <c r="D1859" i="1"/>
  <c r="C1859" i="1"/>
  <c r="B1859" i="1"/>
  <c r="A1859" i="1"/>
  <c r="E1858" i="1"/>
  <c r="D1858" i="1"/>
  <c r="C1858" i="1"/>
  <c r="B1858" i="1"/>
  <c r="A1858" i="1"/>
  <c r="E1857" i="1"/>
  <c r="D1857" i="1"/>
  <c r="C1857" i="1"/>
  <c r="B1857" i="1"/>
  <c r="A1857" i="1"/>
  <c r="E1856" i="1"/>
  <c r="D1856" i="1"/>
  <c r="C1856" i="1"/>
  <c r="B1856" i="1"/>
  <c r="A1856" i="1"/>
  <c r="E1855" i="1"/>
  <c r="D1855" i="1"/>
  <c r="C1855" i="1"/>
  <c r="B1855" i="1"/>
  <c r="A1855" i="1"/>
  <c r="E1854" i="1"/>
  <c r="D1854" i="1"/>
  <c r="C1854" i="1"/>
  <c r="B1854" i="1"/>
  <c r="A1854" i="1"/>
  <c r="E1853" i="1"/>
  <c r="D1853" i="1"/>
  <c r="C1853" i="1"/>
  <c r="B1853" i="1"/>
  <c r="A1853" i="1"/>
  <c r="E1852" i="1"/>
  <c r="D1852" i="1"/>
  <c r="C1852" i="1"/>
  <c r="B1852" i="1"/>
  <c r="A1852" i="1"/>
  <c r="E1851" i="1"/>
  <c r="D1851" i="1"/>
  <c r="C1851" i="1"/>
  <c r="B1851" i="1"/>
  <c r="A1851" i="1"/>
  <c r="E1850" i="1"/>
  <c r="D1850" i="1"/>
  <c r="C1850" i="1"/>
  <c r="B1850" i="1"/>
  <c r="A1850" i="1"/>
  <c r="E1849" i="1"/>
  <c r="D1849" i="1"/>
  <c r="C1849" i="1"/>
  <c r="B1849" i="1"/>
  <c r="A1849" i="1"/>
  <c r="E1848" i="1"/>
  <c r="D1848" i="1"/>
  <c r="C1848" i="1"/>
  <c r="B1848" i="1"/>
  <c r="A1848" i="1"/>
  <c r="E1847" i="1"/>
  <c r="D1847" i="1"/>
  <c r="C1847" i="1"/>
  <c r="B1847" i="1"/>
  <c r="A1847" i="1"/>
  <c r="E1846" i="1"/>
  <c r="D1846" i="1"/>
  <c r="C1846" i="1"/>
  <c r="B1846" i="1"/>
  <c r="A1846" i="1"/>
  <c r="E1845" i="1"/>
  <c r="D1845" i="1"/>
  <c r="C1845" i="1"/>
  <c r="B1845" i="1"/>
  <c r="A1845" i="1"/>
  <c r="E1844" i="1"/>
  <c r="D1844" i="1"/>
  <c r="C1844" i="1"/>
  <c r="B1844" i="1"/>
  <c r="A1844" i="1"/>
  <c r="E1843" i="1"/>
  <c r="D1843" i="1"/>
  <c r="C1843" i="1"/>
  <c r="B1843" i="1"/>
  <c r="A1843" i="1"/>
  <c r="E1842" i="1"/>
  <c r="D1842" i="1"/>
  <c r="C1842" i="1"/>
  <c r="B1842" i="1"/>
  <c r="A1842" i="1"/>
  <c r="E1841" i="1"/>
  <c r="D1841" i="1"/>
  <c r="C1841" i="1"/>
  <c r="B1841" i="1"/>
  <c r="A1841" i="1"/>
  <c r="E1840" i="1"/>
  <c r="D1840" i="1"/>
  <c r="C1840" i="1"/>
  <c r="B1840" i="1"/>
  <c r="A1840" i="1"/>
  <c r="E1839" i="1"/>
  <c r="D1839" i="1"/>
  <c r="C1839" i="1"/>
  <c r="B1839" i="1"/>
  <c r="A1839" i="1"/>
  <c r="E1838" i="1"/>
  <c r="D1838" i="1"/>
  <c r="C1838" i="1"/>
  <c r="B1838" i="1"/>
  <c r="A1838" i="1"/>
  <c r="E1837" i="1"/>
  <c r="D1837" i="1"/>
  <c r="C1837" i="1"/>
  <c r="B1837" i="1"/>
  <c r="A1837" i="1"/>
  <c r="E1836" i="1"/>
  <c r="D1836" i="1"/>
  <c r="C1836" i="1"/>
  <c r="B1836" i="1"/>
  <c r="A1836" i="1"/>
  <c r="E1835" i="1"/>
  <c r="D1835" i="1"/>
  <c r="C1835" i="1"/>
  <c r="B1835" i="1"/>
  <c r="A1835" i="1"/>
  <c r="E1834" i="1"/>
  <c r="D1834" i="1"/>
  <c r="C1834" i="1"/>
  <c r="B1834" i="1"/>
  <c r="A1834" i="1"/>
  <c r="E1833" i="1"/>
  <c r="D1833" i="1"/>
  <c r="C1833" i="1"/>
  <c r="B1833" i="1"/>
  <c r="A1833" i="1"/>
  <c r="E1832" i="1"/>
  <c r="D1832" i="1"/>
  <c r="C1832" i="1"/>
  <c r="B1832" i="1"/>
  <c r="A1832" i="1"/>
  <c r="E1831" i="1"/>
  <c r="D1831" i="1"/>
  <c r="C1831" i="1"/>
  <c r="B1831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E1830" i="1"/>
  <c r="D1830" i="1"/>
  <c r="C1830" i="1"/>
  <c r="B1830" i="1"/>
  <c r="E1829" i="1"/>
  <c r="D1829" i="1"/>
  <c r="C1829" i="1"/>
  <c r="B1829" i="1"/>
  <c r="E1828" i="1"/>
  <c r="D1828" i="1"/>
  <c r="C1828" i="1"/>
  <c r="B1828" i="1"/>
  <c r="E1827" i="1"/>
  <c r="D1827" i="1"/>
  <c r="C1827" i="1"/>
  <c r="B1827" i="1"/>
  <c r="E1826" i="1"/>
  <c r="D1826" i="1"/>
  <c r="C1826" i="1"/>
  <c r="B1826" i="1"/>
  <c r="E1825" i="1"/>
  <c r="D1825" i="1"/>
  <c r="C1825" i="1"/>
  <c r="B1825" i="1"/>
  <c r="E1824" i="1"/>
  <c r="D1824" i="1"/>
  <c r="C1824" i="1"/>
  <c r="B1824" i="1"/>
  <c r="E1823" i="1"/>
  <c r="D1823" i="1"/>
  <c r="C1823" i="1"/>
  <c r="B1823" i="1"/>
  <c r="E1822" i="1"/>
  <c r="D1822" i="1"/>
  <c r="C1822" i="1"/>
  <c r="B1822" i="1"/>
  <c r="E1821" i="1"/>
  <c r="D1821" i="1"/>
  <c r="C1821" i="1"/>
  <c r="B1821" i="1"/>
  <c r="E1820" i="1"/>
  <c r="D1820" i="1"/>
  <c r="C1820" i="1"/>
  <c r="B1820" i="1"/>
  <c r="E1819" i="1"/>
  <c r="D1819" i="1"/>
  <c r="C1819" i="1"/>
  <c r="B1819" i="1"/>
  <c r="E1818" i="1"/>
  <c r="D1818" i="1"/>
  <c r="C1818" i="1"/>
  <c r="B1818" i="1"/>
  <c r="E1817" i="1"/>
  <c r="D1817" i="1"/>
  <c r="C1817" i="1"/>
  <c r="B1817" i="1"/>
  <c r="E1816" i="1"/>
  <c r="D1816" i="1"/>
  <c r="C1816" i="1"/>
  <c r="B1816" i="1"/>
  <c r="E1815" i="1"/>
  <c r="D1815" i="1"/>
  <c r="C1815" i="1"/>
  <c r="B1815" i="1"/>
  <c r="E1814" i="1"/>
  <c r="D1814" i="1"/>
  <c r="C1814" i="1"/>
  <c r="B1814" i="1"/>
  <c r="E1813" i="1"/>
  <c r="D1813" i="1"/>
  <c r="C1813" i="1"/>
  <c r="B1813" i="1"/>
  <c r="E1812" i="1"/>
  <c r="D1812" i="1"/>
  <c r="C1812" i="1"/>
  <c r="B1812" i="1"/>
  <c r="E1811" i="1"/>
  <c r="D1811" i="1"/>
  <c r="C1811" i="1"/>
  <c r="B1811" i="1"/>
  <c r="E1810" i="1"/>
  <c r="D1810" i="1"/>
  <c r="C1810" i="1"/>
  <c r="B1810" i="1"/>
  <c r="E1809" i="1"/>
  <c r="D1809" i="1"/>
  <c r="C1809" i="1"/>
  <c r="B1809" i="1"/>
  <c r="E1808" i="1"/>
  <c r="D1808" i="1"/>
  <c r="C1808" i="1"/>
  <c r="B1808" i="1"/>
  <c r="E1807" i="1"/>
  <c r="D1807" i="1"/>
  <c r="C1807" i="1"/>
  <c r="B1807" i="1"/>
  <c r="E1806" i="1"/>
  <c r="D1806" i="1"/>
  <c r="C1806" i="1"/>
  <c r="B1806" i="1"/>
  <c r="E1805" i="1"/>
  <c r="D1805" i="1"/>
  <c r="C1805" i="1"/>
  <c r="B1805" i="1"/>
  <c r="E1804" i="1"/>
  <c r="D1804" i="1"/>
  <c r="C1804" i="1"/>
  <c r="B1804" i="1"/>
  <c r="E1803" i="1"/>
  <c r="D1803" i="1"/>
  <c r="C1803" i="1"/>
  <c r="B1803" i="1"/>
  <c r="E1802" i="1"/>
  <c r="D1802" i="1"/>
  <c r="C1802" i="1"/>
  <c r="B1802" i="1"/>
  <c r="E1801" i="1"/>
  <c r="D1801" i="1"/>
  <c r="C1801" i="1"/>
  <c r="B1801" i="1"/>
  <c r="E1800" i="1"/>
  <c r="D1800" i="1"/>
  <c r="C1800" i="1"/>
  <c r="B1800" i="1"/>
  <c r="E1799" i="1"/>
  <c r="D1799" i="1"/>
  <c r="C1799" i="1"/>
  <c r="B1799" i="1"/>
  <c r="E1798" i="1"/>
  <c r="D1798" i="1"/>
  <c r="C1798" i="1"/>
  <c r="B1798" i="1"/>
  <c r="E1797" i="1"/>
  <c r="D1797" i="1"/>
  <c r="C1797" i="1"/>
  <c r="B1797" i="1"/>
  <c r="E1796" i="1"/>
  <c r="D1796" i="1"/>
  <c r="C1796" i="1"/>
  <c r="B1796" i="1"/>
  <c r="E1795" i="1"/>
  <c r="D1795" i="1"/>
  <c r="C1795" i="1"/>
  <c r="B1795" i="1"/>
  <c r="E1794" i="1"/>
  <c r="D1794" i="1"/>
  <c r="C1794" i="1"/>
  <c r="B1794" i="1"/>
  <c r="E1793" i="1"/>
  <c r="D1793" i="1"/>
  <c r="C1793" i="1"/>
  <c r="B1793" i="1"/>
  <c r="E1792" i="1"/>
  <c r="D1792" i="1"/>
  <c r="C1792" i="1"/>
  <c r="B1792" i="1"/>
  <c r="E1791" i="1"/>
  <c r="D1791" i="1"/>
  <c r="C1791" i="1"/>
  <c r="B1791" i="1"/>
  <c r="E1790" i="1"/>
  <c r="D1790" i="1"/>
  <c r="C1790" i="1"/>
  <c r="B1790" i="1"/>
  <c r="E1789" i="1"/>
  <c r="D1789" i="1"/>
  <c r="C1789" i="1"/>
  <c r="B1789" i="1"/>
  <c r="E1788" i="1"/>
  <c r="D1788" i="1"/>
  <c r="C1788" i="1"/>
  <c r="B1788" i="1"/>
  <c r="E1787" i="1"/>
  <c r="D1787" i="1"/>
  <c r="C1787" i="1"/>
  <c r="B1787" i="1"/>
  <c r="E1786" i="1"/>
  <c r="D1786" i="1"/>
  <c r="C1786" i="1"/>
  <c r="B1786" i="1"/>
  <c r="E1785" i="1"/>
  <c r="D1785" i="1"/>
  <c r="C1785" i="1"/>
  <c r="B1785" i="1"/>
  <c r="E1784" i="1"/>
  <c r="D1784" i="1"/>
  <c r="C1784" i="1"/>
  <c r="B1784" i="1"/>
  <c r="E1783" i="1"/>
  <c r="D1783" i="1"/>
  <c r="C1783" i="1"/>
  <c r="B1783" i="1"/>
  <c r="E1782" i="1"/>
  <c r="D1782" i="1"/>
  <c r="C1782" i="1"/>
  <c r="B1782" i="1"/>
  <c r="E1781" i="1"/>
  <c r="D1781" i="1"/>
  <c r="C1781" i="1"/>
  <c r="B1781" i="1"/>
  <c r="E1780" i="1"/>
  <c r="D1780" i="1"/>
  <c r="C1780" i="1"/>
  <c r="B1780" i="1"/>
  <c r="E1779" i="1"/>
  <c r="D1779" i="1"/>
  <c r="C1779" i="1"/>
  <c r="B1779" i="1"/>
  <c r="E1778" i="1"/>
  <c r="D1778" i="1"/>
  <c r="C1778" i="1"/>
  <c r="B1778" i="1"/>
  <c r="E1777" i="1"/>
  <c r="D1777" i="1"/>
  <c r="C1777" i="1"/>
  <c r="B1777" i="1"/>
  <c r="E1776" i="1"/>
  <c r="D1776" i="1"/>
  <c r="C1776" i="1"/>
  <c r="B1776" i="1"/>
  <c r="E1775" i="1"/>
  <c r="D1775" i="1"/>
  <c r="C1775" i="1"/>
  <c r="B1775" i="1"/>
  <c r="E1774" i="1"/>
  <c r="D1774" i="1"/>
  <c r="C1774" i="1"/>
  <c r="B1774" i="1"/>
  <c r="E1773" i="1"/>
  <c r="D1773" i="1"/>
  <c r="C1773" i="1"/>
  <c r="B1773" i="1"/>
  <c r="E1772" i="1"/>
  <c r="D1772" i="1"/>
  <c r="C1772" i="1"/>
  <c r="B1772" i="1"/>
  <c r="E1771" i="1"/>
  <c r="D1771" i="1"/>
  <c r="C1771" i="1"/>
  <c r="B1771" i="1"/>
  <c r="E1770" i="1"/>
  <c r="D1770" i="1"/>
  <c r="C1770" i="1"/>
  <c r="B1770" i="1"/>
  <c r="E1769" i="1"/>
  <c r="D1769" i="1"/>
  <c r="C1769" i="1"/>
  <c r="B1769" i="1"/>
  <c r="E1768" i="1"/>
  <c r="D1768" i="1"/>
  <c r="C1768" i="1"/>
  <c r="B1768" i="1"/>
  <c r="E1767" i="1"/>
  <c r="D1767" i="1"/>
  <c r="C1767" i="1"/>
  <c r="B1767" i="1"/>
  <c r="E1766" i="1"/>
  <c r="D1766" i="1"/>
  <c r="C1766" i="1"/>
  <c r="B1766" i="1"/>
  <c r="E1765" i="1"/>
  <c r="D1765" i="1"/>
  <c r="C1765" i="1"/>
  <c r="B1765" i="1"/>
  <c r="E1764" i="1"/>
  <c r="D1764" i="1"/>
  <c r="C1764" i="1"/>
  <c r="B1764" i="1"/>
  <c r="E1763" i="1"/>
  <c r="D1763" i="1"/>
  <c r="C1763" i="1"/>
  <c r="B1763" i="1"/>
  <c r="E1762" i="1"/>
  <c r="D1762" i="1"/>
  <c r="C1762" i="1"/>
  <c r="B1762" i="1"/>
  <c r="E1761" i="1"/>
  <c r="D1761" i="1"/>
  <c r="C1761" i="1"/>
  <c r="B1761" i="1"/>
  <c r="E1760" i="1"/>
  <c r="D1760" i="1"/>
  <c r="C1760" i="1"/>
  <c r="B1760" i="1"/>
  <c r="E1759" i="1"/>
  <c r="D1759" i="1"/>
  <c r="C1759" i="1"/>
  <c r="B1759" i="1"/>
  <c r="E1758" i="1"/>
  <c r="D1758" i="1"/>
  <c r="C1758" i="1"/>
  <c r="B1758" i="1"/>
  <c r="E1757" i="1"/>
  <c r="D1757" i="1"/>
  <c r="C1757" i="1"/>
  <c r="B1757" i="1"/>
  <c r="E1756" i="1"/>
  <c r="D1756" i="1"/>
  <c r="C1756" i="1"/>
  <c r="B1756" i="1"/>
  <c r="E1755" i="1"/>
  <c r="D1755" i="1"/>
  <c r="C1755" i="1"/>
  <c r="B1755" i="1"/>
  <c r="E1754" i="1"/>
  <c r="D1754" i="1"/>
  <c r="C1754" i="1"/>
  <c r="B1754" i="1"/>
  <c r="E1753" i="1"/>
  <c r="D1753" i="1"/>
  <c r="C1753" i="1"/>
  <c r="B1753" i="1"/>
  <c r="E1752" i="1"/>
  <c r="D1752" i="1"/>
  <c r="C1752" i="1"/>
  <c r="B1752" i="1"/>
  <c r="E1751" i="1"/>
  <c r="D1751" i="1"/>
  <c r="C1751" i="1"/>
  <c r="B1751" i="1"/>
  <c r="E1750" i="1"/>
  <c r="D1750" i="1"/>
  <c r="C1750" i="1"/>
  <c r="B1750" i="1"/>
  <c r="E1749" i="1"/>
  <c r="D1749" i="1"/>
  <c r="C1749" i="1"/>
  <c r="B1749" i="1"/>
  <c r="E1748" i="1"/>
  <c r="D1748" i="1"/>
  <c r="C1748" i="1"/>
  <c r="B1748" i="1"/>
  <c r="E1747" i="1"/>
  <c r="D1747" i="1"/>
  <c r="C1747" i="1"/>
  <c r="B1747" i="1"/>
  <c r="E1746" i="1"/>
  <c r="D1746" i="1"/>
  <c r="C1746" i="1"/>
  <c r="B1746" i="1"/>
  <c r="E1745" i="1"/>
  <c r="D1745" i="1"/>
  <c r="C1745" i="1"/>
  <c r="B1745" i="1"/>
  <c r="E1744" i="1"/>
  <c r="D1744" i="1"/>
  <c r="C1744" i="1"/>
  <c r="B1744" i="1"/>
  <c r="E1743" i="1"/>
  <c r="D1743" i="1"/>
  <c r="C1743" i="1"/>
  <c r="B1743" i="1"/>
  <c r="E1742" i="1"/>
  <c r="D1742" i="1"/>
  <c r="C1742" i="1"/>
  <c r="B1742" i="1"/>
  <c r="E1741" i="1"/>
  <c r="D1741" i="1"/>
  <c r="C1741" i="1"/>
  <c r="B1741" i="1"/>
  <c r="E1740" i="1"/>
  <c r="D1740" i="1"/>
  <c r="C1740" i="1"/>
  <c r="B1740" i="1"/>
  <c r="E1739" i="1"/>
  <c r="D1739" i="1"/>
  <c r="C1739" i="1"/>
  <c r="B1739" i="1"/>
  <c r="E1738" i="1"/>
  <c r="D1738" i="1"/>
  <c r="C1738" i="1"/>
  <c r="B1738" i="1"/>
  <c r="E1737" i="1"/>
  <c r="D1737" i="1"/>
  <c r="C1737" i="1"/>
  <c r="B1737" i="1"/>
  <c r="E1736" i="1"/>
  <c r="D1736" i="1"/>
  <c r="C1736" i="1"/>
  <c r="B1736" i="1"/>
  <c r="E1735" i="1"/>
  <c r="D1735" i="1"/>
  <c r="C1735" i="1"/>
  <c r="B1735" i="1"/>
  <c r="E1734" i="1"/>
  <c r="D1734" i="1"/>
  <c r="C1734" i="1"/>
  <c r="B1734" i="1"/>
  <c r="E1733" i="1"/>
  <c r="D1733" i="1"/>
  <c r="C1733" i="1"/>
  <c r="B1733" i="1"/>
  <c r="E1732" i="1"/>
  <c r="D1732" i="1"/>
  <c r="C1732" i="1"/>
  <c r="B1732" i="1"/>
  <c r="E1731" i="1"/>
  <c r="D1731" i="1"/>
  <c r="C1731" i="1"/>
  <c r="B1731" i="1"/>
  <c r="E1730" i="1"/>
  <c r="D1730" i="1"/>
  <c r="C1730" i="1"/>
  <c r="B1730" i="1"/>
  <c r="E1729" i="1"/>
  <c r="D1729" i="1"/>
  <c r="C1729" i="1"/>
  <c r="B1729" i="1"/>
  <c r="E1728" i="1"/>
  <c r="D1728" i="1"/>
  <c r="C1728" i="1"/>
  <c r="B1728" i="1"/>
  <c r="E1727" i="1"/>
  <c r="D1727" i="1"/>
  <c r="C1727" i="1"/>
  <c r="B1727" i="1"/>
  <c r="E1726" i="1"/>
  <c r="D1726" i="1"/>
  <c r="C1726" i="1"/>
  <c r="B1726" i="1"/>
  <c r="E1725" i="1"/>
  <c r="D1725" i="1"/>
  <c r="C1725" i="1"/>
  <c r="B1725" i="1"/>
  <c r="E1724" i="1"/>
  <c r="D1724" i="1"/>
  <c r="C1724" i="1"/>
  <c r="B1724" i="1"/>
  <c r="E1723" i="1"/>
  <c r="D1723" i="1"/>
  <c r="C1723" i="1"/>
  <c r="B1723" i="1"/>
  <c r="E1722" i="1"/>
  <c r="D1722" i="1"/>
  <c r="C1722" i="1"/>
  <c r="B1722" i="1"/>
  <c r="E1721" i="1"/>
  <c r="D1721" i="1"/>
  <c r="C1721" i="1"/>
  <c r="B1721" i="1"/>
  <c r="E1720" i="1"/>
  <c r="D1720" i="1"/>
  <c r="C1720" i="1"/>
  <c r="B1720" i="1"/>
  <c r="E1719" i="1"/>
  <c r="D1719" i="1"/>
  <c r="C1719" i="1"/>
  <c r="B1719" i="1"/>
  <c r="E1718" i="1"/>
  <c r="D1718" i="1"/>
  <c r="C1718" i="1"/>
  <c r="B1718" i="1"/>
  <c r="E1717" i="1"/>
  <c r="D1717" i="1"/>
  <c r="C1717" i="1"/>
  <c r="B1717" i="1"/>
  <c r="E1716" i="1"/>
  <c r="D1716" i="1"/>
  <c r="C1716" i="1"/>
  <c r="B1716" i="1"/>
  <c r="E1715" i="1"/>
  <c r="D1715" i="1"/>
  <c r="C1715" i="1"/>
  <c r="B1715" i="1"/>
  <c r="E1714" i="1"/>
  <c r="D1714" i="1"/>
  <c r="C1714" i="1"/>
  <c r="B1714" i="1"/>
  <c r="E1713" i="1"/>
  <c r="D1713" i="1"/>
  <c r="C1713" i="1"/>
  <c r="B1713" i="1"/>
  <c r="E1712" i="1"/>
  <c r="D1712" i="1"/>
  <c r="C1712" i="1"/>
  <c r="B1712" i="1"/>
  <c r="E1711" i="1"/>
  <c r="D1711" i="1"/>
  <c r="C1711" i="1"/>
  <c r="B1711" i="1"/>
  <c r="E1710" i="1"/>
  <c r="D1710" i="1"/>
  <c r="C1710" i="1"/>
  <c r="B1710" i="1"/>
  <c r="E1709" i="1"/>
  <c r="D1709" i="1"/>
  <c r="C1709" i="1"/>
  <c r="B1709" i="1"/>
  <c r="E1708" i="1"/>
  <c r="D1708" i="1"/>
  <c r="C1708" i="1"/>
  <c r="B1708" i="1"/>
  <c r="E1707" i="1"/>
  <c r="D1707" i="1"/>
  <c r="C1707" i="1"/>
  <c r="B1707" i="1"/>
  <c r="E1706" i="1"/>
  <c r="D1706" i="1"/>
  <c r="C1706" i="1"/>
  <c r="B1706" i="1"/>
  <c r="E1705" i="1"/>
  <c r="D1705" i="1"/>
  <c r="C1705" i="1"/>
  <c r="B1705" i="1"/>
  <c r="E1704" i="1"/>
  <c r="D1704" i="1"/>
  <c r="C1704" i="1"/>
  <c r="B1704" i="1"/>
  <c r="E1703" i="1"/>
  <c r="D1703" i="1"/>
  <c r="C1703" i="1"/>
  <c r="B1703" i="1"/>
  <c r="E1702" i="1"/>
  <c r="D1702" i="1"/>
  <c r="C1702" i="1"/>
  <c r="B1702" i="1"/>
  <c r="E1701" i="1"/>
  <c r="D1701" i="1"/>
  <c r="C1701" i="1"/>
  <c r="B1701" i="1"/>
  <c r="E1700" i="1"/>
  <c r="D1700" i="1"/>
  <c r="C1700" i="1"/>
  <c r="B1700" i="1"/>
  <c r="E1699" i="1"/>
  <c r="D1699" i="1"/>
  <c r="C1699" i="1"/>
  <c r="B1699" i="1"/>
  <c r="E1698" i="1"/>
  <c r="D1698" i="1"/>
  <c r="C1698" i="1"/>
  <c r="B1698" i="1"/>
  <c r="E1697" i="1"/>
  <c r="D1697" i="1"/>
  <c r="C1697" i="1"/>
  <c r="B1697" i="1"/>
  <c r="E1696" i="1"/>
  <c r="D1696" i="1"/>
  <c r="C1696" i="1"/>
  <c r="B1696" i="1"/>
  <c r="E1695" i="1"/>
  <c r="D1695" i="1"/>
  <c r="C1695" i="1"/>
  <c r="B1695" i="1"/>
  <c r="E1694" i="1"/>
  <c r="D1694" i="1"/>
  <c r="C1694" i="1"/>
  <c r="B1694" i="1"/>
  <c r="E1693" i="1"/>
  <c r="D1693" i="1"/>
  <c r="C1693" i="1"/>
  <c r="B1693" i="1"/>
  <c r="E1692" i="1"/>
  <c r="D1692" i="1"/>
  <c r="C1692" i="1"/>
  <c r="B1692" i="1"/>
  <c r="E1691" i="1"/>
  <c r="D1691" i="1"/>
  <c r="C1691" i="1"/>
  <c r="B1691" i="1"/>
  <c r="E1690" i="1"/>
  <c r="D1690" i="1"/>
  <c r="C1690" i="1"/>
  <c r="B1690" i="1"/>
  <c r="E1689" i="1"/>
  <c r="D1689" i="1"/>
  <c r="C1689" i="1"/>
  <c r="B1689" i="1"/>
  <c r="E1688" i="1"/>
  <c r="D1688" i="1"/>
  <c r="C1688" i="1"/>
  <c r="B1688" i="1"/>
  <c r="E1687" i="1"/>
  <c r="D1687" i="1"/>
  <c r="C1687" i="1"/>
  <c r="B1687" i="1"/>
  <c r="E1686" i="1"/>
  <c r="D1686" i="1"/>
  <c r="C1686" i="1"/>
  <c r="B1686" i="1"/>
  <c r="E1685" i="1"/>
  <c r="D1685" i="1"/>
  <c r="C1685" i="1"/>
  <c r="B1685" i="1"/>
  <c r="E1684" i="1"/>
  <c r="D1684" i="1"/>
  <c r="C1684" i="1"/>
  <c r="B1684" i="1"/>
  <c r="E1683" i="1"/>
  <c r="D1683" i="1"/>
  <c r="C1683" i="1"/>
  <c r="B1683" i="1"/>
  <c r="E1682" i="1"/>
  <c r="D1682" i="1"/>
  <c r="C1682" i="1"/>
  <c r="B1682" i="1"/>
  <c r="E1681" i="1"/>
  <c r="D1681" i="1"/>
  <c r="C1681" i="1"/>
  <c r="B1681" i="1"/>
  <c r="E1680" i="1"/>
  <c r="D1680" i="1"/>
  <c r="C1680" i="1"/>
  <c r="B1680" i="1"/>
  <c r="E1679" i="1"/>
  <c r="D1679" i="1"/>
  <c r="C1679" i="1"/>
  <c r="B1679" i="1"/>
  <c r="E1678" i="1"/>
  <c r="D1678" i="1"/>
  <c r="C1678" i="1"/>
  <c r="B1678" i="1"/>
  <c r="E1677" i="1"/>
  <c r="D1677" i="1"/>
  <c r="C1677" i="1"/>
  <c r="B1677" i="1"/>
  <c r="E1676" i="1"/>
  <c r="D1676" i="1"/>
  <c r="C1676" i="1"/>
  <c r="B1676" i="1"/>
  <c r="E1675" i="1"/>
  <c r="D1675" i="1"/>
  <c r="C1675" i="1"/>
  <c r="B1675" i="1"/>
  <c r="E1674" i="1"/>
  <c r="D1674" i="1"/>
  <c r="C1674" i="1"/>
  <c r="B1674" i="1"/>
  <c r="E1673" i="1"/>
  <c r="D1673" i="1"/>
  <c r="C1673" i="1"/>
  <c r="B1673" i="1"/>
  <c r="E1672" i="1"/>
  <c r="D1672" i="1"/>
  <c r="C1672" i="1"/>
  <c r="B1672" i="1"/>
  <c r="E1671" i="1"/>
  <c r="D1671" i="1"/>
  <c r="C1671" i="1"/>
  <c r="B1671" i="1"/>
  <c r="E1670" i="1"/>
  <c r="D1670" i="1"/>
  <c r="C1670" i="1"/>
  <c r="B1670" i="1"/>
  <c r="E1669" i="1"/>
  <c r="D1669" i="1"/>
  <c r="C1669" i="1"/>
  <c r="B1669" i="1"/>
  <c r="E1668" i="1"/>
  <c r="D1668" i="1"/>
  <c r="C1668" i="1"/>
  <c r="B1668" i="1"/>
  <c r="E1667" i="1"/>
  <c r="D1667" i="1"/>
  <c r="C1667" i="1"/>
  <c r="B1667" i="1"/>
  <c r="E1666" i="1"/>
  <c r="D1666" i="1"/>
  <c r="C1666" i="1"/>
  <c r="B1666" i="1"/>
  <c r="E1665" i="1"/>
  <c r="D1665" i="1"/>
  <c r="C1665" i="1"/>
  <c r="B1665" i="1"/>
  <c r="E1664" i="1"/>
  <c r="D1664" i="1"/>
  <c r="C1664" i="1"/>
  <c r="B1664" i="1"/>
  <c r="E1663" i="1"/>
  <c r="D1663" i="1"/>
  <c r="C1663" i="1"/>
  <c r="B1663" i="1"/>
  <c r="E1662" i="1"/>
  <c r="D1662" i="1"/>
  <c r="C1662" i="1"/>
  <c r="B1662" i="1"/>
  <c r="E1661" i="1"/>
  <c r="D1661" i="1"/>
  <c r="C1661" i="1"/>
  <c r="B1661" i="1"/>
  <c r="E1660" i="1"/>
  <c r="D1660" i="1"/>
  <c r="C1660" i="1"/>
  <c r="B1660" i="1"/>
  <c r="E1659" i="1"/>
  <c r="D1659" i="1"/>
  <c r="C1659" i="1"/>
  <c r="B1659" i="1"/>
  <c r="E1658" i="1"/>
  <c r="D1658" i="1"/>
  <c r="C1658" i="1"/>
  <c r="B1658" i="1"/>
  <c r="E1657" i="1"/>
  <c r="D1657" i="1"/>
  <c r="C1657" i="1"/>
  <c r="B1657" i="1"/>
  <c r="E1656" i="1"/>
  <c r="D1656" i="1"/>
  <c r="C1656" i="1"/>
  <c r="B1656" i="1"/>
  <c r="E1655" i="1"/>
  <c r="D1655" i="1"/>
  <c r="C1655" i="1"/>
  <c r="B1655" i="1"/>
  <c r="E1654" i="1"/>
  <c r="D1654" i="1"/>
  <c r="C1654" i="1"/>
  <c r="B1654" i="1"/>
  <c r="E1653" i="1"/>
  <c r="D1653" i="1"/>
  <c r="C1653" i="1"/>
  <c r="B1653" i="1"/>
  <c r="E1652" i="1"/>
  <c r="D1652" i="1"/>
  <c r="C1652" i="1"/>
  <c r="B1652" i="1"/>
  <c r="E1651" i="1"/>
  <c r="D1651" i="1"/>
  <c r="C1651" i="1"/>
  <c r="B1651" i="1"/>
  <c r="E1650" i="1"/>
  <c r="D1650" i="1"/>
  <c r="C1650" i="1"/>
  <c r="B1650" i="1"/>
  <c r="E1649" i="1"/>
  <c r="D1649" i="1"/>
  <c r="C1649" i="1"/>
  <c r="B1649" i="1"/>
  <c r="E1648" i="1"/>
  <c r="D1648" i="1"/>
  <c r="C1648" i="1"/>
  <c r="B1648" i="1"/>
  <c r="E1647" i="1"/>
  <c r="D1647" i="1"/>
  <c r="C1647" i="1"/>
  <c r="B1647" i="1"/>
  <c r="E1646" i="1"/>
  <c r="D1646" i="1"/>
  <c r="C1646" i="1"/>
  <c r="B1646" i="1"/>
  <c r="E1645" i="1"/>
  <c r="D1645" i="1"/>
  <c r="C1645" i="1"/>
  <c r="B1645" i="1"/>
  <c r="E1644" i="1"/>
  <c r="D1644" i="1"/>
  <c r="C1644" i="1"/>
  <c r="B1644" i="1"/>
  <c r="E1643" i="1"/>
  <c r="D1643" i="1"/>
  <c r="C1643" i="1"/>
  <c r="B1643" i="1"/>
  <c r="E1642" i="1"/>
  <c r="D1642" i="1"/>
  <c r="C1642" i="1"/>
  <c r="B1642" i="1"/>
  <c r="E1641" i="1"/>
  <c r="D1641" i="1"/>
  <c r="C1641" i="1"/>
  <c r="B1641" i="1"/>
  <c r="E1640" i="1"/>
  <c r="D1640" i="1"/>
  <c r="C1640" i="1"/>
  <c r="B1640" i="1"/>
  <c r="E1639" i="1"/>
  <c r="D1639" i="1"/>
  <c r="C1639" i="1"/>
  <c r="B1639" i="1"/>
  <c r="E1638" i="1"/>
  <c r="D1638" i="1"/>
  <c r="C1638" i="1"/>
  <c r="B1638" i="1"/>
  <c r="E1637" i="1"/>
  <c r="D1637" i="1"/>
  <c r="C1637" i="1"/>
  <c r="B1637" i="1"/>
  <c r="E1636" i="1"/>
  <c r="D1636" i="1"/>
  <c r="C1636" i="1"/>
  <c r="B1636" i="1"/>
  <c r="E1635" i="1"/>
  <c r="D1635" i="1"/>
  <c r="C1635" i="1"/>
  <c r="B1635" i="1"/>
  <c r="E1634" i="1"/>
  <c r="D1634" i="1"/>
  <c r="C1634" i="1"/>
  <c r="B1634" i="1"/>
  <c r="E1633" i="1"/>
  <c r="D1633" i="1"/>
  <c r="C1633" i="1"/>
  <c r="B1633" i="1"/>
  <c r="E1632" i="1"/>
  <c r="D1632" i="1"/>
  <c r="C1632" i="1"/>
  <c r="B1632" i="1"/>
  <c r="E1631" i="1"/>
  <c r="D1631" i="1"/>
  <c r="C1631" i="1"/>
  <c r="B1631" i="1"/>
  <c r="E1630" i="1"/>
  <c r="D1630" i="1"/>
  <c r="C1630" i="1"/>
  <c r="B1630" i="1"/>
  <c r="E1629" i="1"/>
  <c r="D1629" i="1"/>
  <c r="C1629" i="1"/>
  <c r="B1629" i="1"/>
  <c r="E1628" i="1"/>
  <c r="D1628" i="1"/>
  <c r="C1628" i="1"/>
  <c r="B1628" i="1"/>
  <c r="E1627" i="1"/>
  <c r="D1627" i="1"/>
  <c r="C1627" i="1"/>
  <c r="B1627" i="1"/>
  <c r="E1626" i="1"/>
  <c r="D1626" i="1"/>
  <c r="C1626" i="1"/>
  <c r="B1626" i="1"/>
  <c r="E1625" i="1"/>
  <c r="D1625" i="1"/>
  <c r="C1625" i="1"/>
  <c r="B1625" i="1"/>
  <c r="E1624" i="1"/>
  <c r="D1624" i="1"/>
  <c r="C1624" i="1"/>
  <c r="B1624" i="1"/>
  <c r="E1623" i="1"/>
  <c r="D1623" i="1"/>
  <c r="C1623" i="1"/>
  <c r="B1623" i="1"/>
  <c r="E1622" i="1"/>
  <c r="D1622" i="1"/>
  <c r="C1622" i="1"/>
  <c r="B1622" i="1"/>
  <c r="E1621" i="1"/>
  <c r="D1621" i="1"/>
  <c r="C1621" i="1"/>
  <c r="B1621" i="1"/>
  <c r="E1620" i="1"/>
  <c r="D1620" i="1"/>
  <c r="C1620" i="1"/>
  <c r="B1620" i="1"/>
  <c r="E1619" i="1"/>
  <c r="D1619" i="1"/>
  <c r="C1619" i="1"/>
  <c r="B1619" i="1"/>
  <c r="E1618" i="1"/>
  <c r="D1618" i="1"/>
  <c r="C1618" i="1"/>
  <c r="B1618" i="1"/>
  <c r="E1617" i="1"/>
  <c r="D1617" i="1"/>
  <c r="C1617" i="1"/>
  <c r="B1617" i="1"/>
  <c r="E1616" i="1"/>
  <c r="D1616" i="1"/>
  <c r="C1616" i="1"/>
  <c r="B1616" i="1"/>
  <c r="E1615" i="1"/>
  <c r="D1615" i="1"/>
  <c r="C1615" i="1"/>
  <c r="B1615" i="1"/>
  <c r="E1614" i="1"/>
  <c r="D1614" i="1"/>
  <c r="C1614" i="1"/>
  <c r="B1614" i="1"/>
  <c r="E1613" i="1"/>
  <c r="D1613" i="1"/>
  <c r="C1613" i="1"/>
  <c r="B1613" i="1"/>
  <c r="E1612" i="1"/>
  <c r="D1612" i="1"/>
  <c r="C1612" i="1"/>
  <c r="B1612" i="1"/>
  <c r="E1611" i="1"/>
  <c r="D1611" i="1"/>
  <c r="C1611" i="1"/>
  <c r="B1611" i="1"/>
  <c r="E1610" i="1"/>
  <c r="D1610" i="1"/>
  <c r="C1610" i="1"/>
  <c r="B1610" i="1"/>
  <c r="E1609" i="1"/>
  <c r="D1609" i="1"/>
  <c r="C1609" i="1"/>
  <c r="B1609" i="1"/>
  <c r="E1608" i="1"/>
  <c r="D1608" i="1"/>
  <c r="C1608" i="1"/>
  <c r="B1608" i="1"/>
  <c r="E1607" i="1"/>
  <c r="D1607" i="1"/>
  <c r="C1607" i="1"/>
  <c r="B1607" i="1"/>
  <c r="E1606" i="1"/>
  <c r="D1606" i="1"/>
  <c r="C1606" i="1"/>
  <c r="B1606" i="1"/>
  <c r="E1605" i="1"/>
  <c r="D1605" i="1"/>
  <c r="C1605" i="1"/>
  <c r="B1605" i="1"/>
  <c r="E1604" i="1"/>
  <c r="D1604" i="1"/>
  <c r="C1604" i="1"/>
  <c r="B1604" i="1"/>
  <c r="E1603" i="1"/>
  <c r="D1603" i="1"/>
  <c r="C1603" i="1"/>
  <c r="B1603" i="1"/>
  <c r="E1602" i="1"/>
  <c r="D1602" i="1"/>
  <c r="C1602" i="1"/>
  <c r="B1602" i="1"/>
  <c r="E1601" i="1"/>
  <c r="D1601" i="1"/>
  <c r="C1601" i="1"/>
  <c r="B1601" i="1"/>
  <c r="E1600" i="1"/>
  <c r="D1600" i="1"/>
  <c r="C1600" i="1"/>
  <c r="B1600" i="1"/>
  <c r="E1599" i="1"/>
  <c r="D1599" i="1"/>
  <c r="C1599" i="1"/>
  <c r="B1599" i="1"/>
  <c r="E1598" i="1"/>
  <c r="D1598" i="1"/>
  <c r="C1598" i="1"/>
  <c r="B1598" i="1"/>
  <c r="E1597" i="1"/>
  <c r="D1597" i="1"/>
  <c r="C1597" i="1"/>
  <c r="B1597" i="1"/>
  <c r="E1596" i="1"/>
  <c r="D1596" i="1"/>
  <c r="C1596" i="1"/>
  <c r="B1596" i="1"/>
  <c r="E1595" i="1"/>
  <c r="D1595" i="1"/>
  <c r="C1595" i="1"/>
  <c r="B1595" i="1"/>
  <c r="E1594" i="1"/>
  <c r="D1594" i="1"/>
  <c r="C1594" i="1"/>
  <c r="B1594" i="1"/>
  <c r="E1593" i="1"/>
  <c r="D1593" i="1"/>
  <c r="C1593" i="1"/>
  <c r="B1593" i="1"/>
  <c r="E1592" i="1"/>
  <c r="D1592" i="1"/>
  <c r="C1592" i="1"/>
  <c r="B1592" i="1"/>
  <c r="E1591" i="1"/>
  <c r="D1591" i="1"/>
  <c r="C1591" i="1"/>
  <c r="B1591" i="1"/>
  <c r="E1590" i="1"/>
  <c r="D1590" i="1"/>
  <c r="C1590" i="1"/>
  <c r="B1590" i="1"/>
  <c r="E1589" i="1"/>
  <c r="D1589" i="1"/>
  <c r="C1589" i="1"/>
  <c r="B1589" i="1"/>
  <c r="E1588" i="1"/>
  <c r="D1588" i="1"/>
  <c r="C1588" i="1"/>
  <c r="B1588" i="1"/>
  <c r="E1587" i="1"/>
  <c r="D1587" i="1"/>
  <c r="C1587" i="1"/>
  <c r="B1587" i="1"/>
  <c r="E1586" i="1"/>
  <c r="D1586" i="1"/>
  <c r="C1586" i="1"/>
  <c r="B1586" i="1"/>
  <c r="E1585" i="1"/>
  <c r="D1585" i="1"/>
  <c r="C1585" i="1"/>
  <c r="B1585" i="1"/>
  <c r="E1584" i="1"/>
  <c r="D1584" i="1"/>
  <c r="C1584" i="1"/>
  <c r="B1584" i="1"/>
  <c r="E1583" i="1"/>
  <c r="D1583" i="1"/>
  <c r="C1583" i="1"/>
  <c r="B1583" i="1"/>
  <c r="E1582" i="1"/>
  <c r="D1582" i="1"/>
  <c r="C1582" i="1"/>
  <c r="B1582" i="1"/>
  <c r="E1581" i="1"/>
  <c r="D1581" i="1"/>
  <c r="C1581" i="1"/>
  <c r="B1581" i="1"/>
  <c r="E1580" i="1"/>
  <c r="D1580" i="1"/>
  <c r="C1580" i="1"/>
  <c r="B1580" i="1"/>
  <c r="E1579" i="1"/>
  <c r="D1579" i="1"/>
  <c r="C1579" i="1"/>
  <c r="B1579" i="1"/>
  <c r="E1578" i="1"/>
  <c r="D1578" i="1"/>
  <c r="C1578" i="1"/>
  <c r="B1578" i="1"/>
  <c r="E1577" i="1"/>
  <c r="D1577" i="1"/>
  <c r="C1577" i="1"/>
  <c r="B1577" i="1"/>
  <c r="E1576" i="1"/>
  <c r="D1576" i="1"/>
  <c r="C1576" i="1"/>
  <c r="B1576" i="1"/>
  <c r="E1575" i="1"/>
  <c r="D1575" i="1"/>
  <c r="C1575" i="1"/>
  <c r="B1575" i="1"/>
  <c r="E1574" i="1"/>
  <c r="D1574" i="1"/>
  <c r="C1574" i="1"/>
  <c r="B1574" i="1"/>
  <c r="E1573" i="1"/>
  <c r="D1573" i="1"/>
  <c r="C1573" i="1"/>
  <c r="B1573" i="1"/>
  <c r="E1572" i="1"/>
  <c r="D1572" i="1"/>
  <c r="C1572" i="1"/>
  <c r="B1572" i="1"/>
  <c r="E1571" i="1"/>
  <c r="D1571" i="1"/>
  <c r="C1571" i="1"/>
  <c r="B1571" i="1"/>
  <c r="E1570" i="1"/>
  <c r="D1570" i="1"/>
  <c r="C1570" i="1"/>
  <c r="B1570" i="1"/>
  <c r="E1569" i="1"/>
  <c r="D1569" i="1"/>
  <c r="C1569" i="1"/>
  <c r="B1569" i="1"/>
  <c r="E1568" i="1"/>
  <c r="D1568" i="1"/>
  <c r="C1568" i="1"/>
  <c r="B1568" i="1"/>
  <c r="E1567" i="1"/>
  <c r="D1567" i="1"/>
  <c r="C1567" i="1"/>
  <c r="B1567" i="1"/>
  <c r="E1566" i="1"/>
  <c r="D1566" i="1"/>
  <c r="C1566" i="1"/>
  <c r="B1566" i="1"/>
  <c r="E1565" i="1"/>
  <c r="D1565" i="1"/>
  <c r="C1565" i="1"/>
  <c r="B1565" i="1"/>
  <c r="E1564" i="1"/>
  <c r="D1564" i="1"/>
  <c r="C1564" i="1"/>
  <c r="B1564" i="1"/>
  <c r="E1563" i="1"/>
  <c r="D1563" i="1"/>
  <c r="C1563" i="1"/>
  <c r="B1563" i="1"/>
  <c r="E1562" i="1"/>
  <c r="D1562" i="1"/>
  <c r="C1562" i="1"/>
  <c r="B1562" i="1"/>
  <c r="E1561" i="1"/>
  <c r="D1561" i="1"/>
  <c r="C1561" i="1"/>
  <c r="B1561" i="1"/>
  <c r="E1560" i="1"/>
  <c r="D1560" i="1"/>
  <c r="C1560" i="1"/>
  <c r="B1560" i="1"/>
  <c r="E1559" i="1"/>
  <c r="D1559" i="1"/>
  <c r="C1559" i="1"/>
  <c r="B1559" i="1"/>
  <c r="E1558" i="1"/>
  <c r="D1558" i="1"/>
  <c r="C1558" i="1"/>
  <c r="B1558" i="1"/>
  <c r="E1557" i="1"/>
  <c r="D1557" i="1"/>
  <c r="C1557" i="1"/>
  <c r="B1557" i="1"/>
  <c r="E1556" i="1"/>
  <c r="D1556" i="1"/>
  <c r="C1556" i="1"/>
  <c r="B1556" i="1"/>
  <c r="E1555" i="1"/>
  <c r="D1555" i="1"/>
  <c r="C1555" i="1"/>
  <c r="B1555" i="1"/>
  <c r="E1554" i="1"/>
  <c r="D1554" i="1"/>
  <c r="C1554" i="1"/>
  <c r="B1554" i="1"/>
  <c r="E1553" i="1"/>
  <c r="D1553" i="1"/>
  <c r="C1553" i="1"/>
  <c r="B1553" i="1"/>
  <c r="E1552" i="1"/>
  <c r="D1552" i="1"/>
  <c r="C1552" i="1"/>
  <c r="B1552" i="1"/>
  <c r="E1551" i="1"/>
  <c r="D1551" i="1"/>
  <c r="C1551" i="1"/>
  <c r="B1551" i="1"/>
  <c r="E1550" i="1"/>
  <c r="D1550" i="1"/>
  <c r="C1550" i="1"/>
  <c r="B1550" i="1"/>
  <c r="E1549" i="1"/>
  <c r="D1549" i="1"/>
  <c r="C1549" i="1"/>
  <c r="B1549" i="1"/>
  <c r="E1548" i="1"/>
  <c r="D1548" i="1"/>
  <c r="C1548" i="1"/>
  <c r="B1548" i="1"/>
  <c r="E1547" i="1"/>
  <c r="D1547" i="1"/>
  <c r="C1547" i="1"/>
  <c r="B1547" i="1"/>
  <c r="E1546" i="1"/>
  <c r="D1546" i="1"/>
  <c r="C1546" i="1"/>
  <c r="B1546" i="1"/>
  <c r="E1545" i="1"/>
  <c r="D1545" i="1"/>
  <c r="C1545" i="1"/>
  <c r="B1545" i="1"/>
  <c r="E1544" i="1"/>
  <c r="D1544" i="1"/>
  <c r="C1544" i="1"/>
  <c r="B1544" i="1"/>
  <c r="E1543" i="1"/>
  <c r="D1543" i="1"/>
  <c r="C1543" i="1"/>
  <c r="B1543" i="1"/>
  <c r="E1542" i="1"/>
  <c r="D1542" i="1"/>
  <c r="C1542" i="1"/>
  <c r="B1542" i="1"/>
  <c r="E1541" i="1"/>
  <c r="D1541" i="1"/>
  <c r="C1541" i="1"/>
  <c r="B1541" i="1"/>
  <c r="E1540" i="1"/>
  <c r="D1540" i="1"/>
  <c r="C1540" i="1"/>
  <c r="B1540" i="1"/>
  <c r="E1539" i="1"/>
  <c r="D1539" i="1"/>
  <c r="C1539" i="1"/>
  <c r="B1539" i="1"/>
  <c r="E1538" i="1"/>
  <c r="D1538" i="1"/>
  <c r="C1538" i="1"/>
  <c r="B1538" i="1"/>
  <c r="E1537" i="1"/>
  <c r="D1537" i="1"/>
  <c r="C1537" i="1"/>
  <c r="B1537" i="1"/>
  <c r="E1536" i="1"/>
  <c r="D1536" i="1"/>
  <c r="C1536" i="1"/>
  <c r="B1536" i="1"/>
  <c r="E1535" i="1"/>
  <c r="D1535" i="1"/>
  <c r="C1535" i="1"/>
  <c r="B1535" i="1"/>
  <c r="E1534" i="1"/>
  <c r="D1534" i="1"/>
  <c r="C1534" i="1"/>
  <c r="B1534" i="1"/>
  <c r="E1533" i="1"/>
  <c r="D1533" i="1"/>
  <c r="C1533" i="1"/>
  <c r="B1533" i="1"/>
  <c r="E1532" i="1"/>
  <c r="D1532" i="1"/>
  <c r="C1532" i="1"/>
  <c r="B1532" i="1"/>
  <c r="E1531" i="1"/>
  <c r="D1531" i="1"/>
  <c r="C1531" i="1"/>
  <c r="B1531" i="1"/>
  <c r="E1530" i="1"/>
  <c r="D1530" i="1"/>
  <c r="C1530" i="1"/>
  <c r="B1530" i="1"/>
  <c r="E1529" i="1"/>
  <c r="D1529" i="1"/>
  <c r="C1529" i="1"/>
  <c r="B1529" i="1"/>
  <c r="E1528" i="1"/>
  <c r="D1528" i="1"/>
  <c r="C1528" i="1"/>
  <c r="B1528" i="1"/>
  <c r="E1527" i="1"/>
  <c r="D1527" i="1"/>
  <c r="C1527" i="1"/>
  <c r="B1527" i="1"/>
  <c r="E1526" i="1"/>
  <c r="D1526" i="1"/>
  <c r="C1526" i="1"/>
  <c r="B1526" i="1"/>
  <c r="E1525" i="1"/>
  <c r="D1525" i="1"/>
  <c r="C1525" i="1"/>
  <c r="B1525" i="1"/>
  <c r="E1524" i="1"/>
  <c r="D1524" i="1"/>
  <c r="C1524" i="1"/>
  <c r="B1524" i="1"/>
  <c r="E1523" i="1"/>
  <c r="D1523" i="1"/>
  <c r="C1523" i="1"/>
  <c r="B1523" i="1"/>
  <c r="E1522" i="1"/>
  <c r="D1522" i="1"/>
  <c r="C1522" i="1"/>
  <c r="B1522" i="1"/>
  <c r="E1521" i="1"/>
  <c r="D1521" i="1"/>
  <c r="C1521" i="1"/>
  <c r="B1521" i="1"/>
  <c r="E1520" i="1"/>
  <c r="D1520" i="1"/>
  <c r="C1520" i="1"/>
  <c r="B1520" i="1"/>
  <c r="E1519" i="1"/>
  <c r="D1519" i="1"/>
  <c r="C1519" i="1"/>
  <c r="B1519" i="1"/>
  <c r="E1518" i="1"/>
  <c r="D1518" i="1"/>
  <c r="C1518" i="1"/>
  <c r="B1518" i="1"/>
  <c r="E1517" i="1"/>
  <c r="D1517" i="1"/>
  <c r="C1517" i="1"/>
  <c r="B1517" i="1"/>
  <c r="E1516" i="1"/>
  <c r="D1516" i="1"/>
  <c r="C1516" i="1"/>
  <c r="B1516" i="1"/>
  <c r="E1515" i="1"/>
  <c r="D1515" i="1"/>
  <c r="C1515" i="1"/>
  <c r="B1515" i="1"/>
  <c r="E1514" i="1"/>
  <c r="D1514" i="1"/>
  <c r="C1514" i="1"/>
  <c r="B1514" i="1"/>
  <c r="E1513" i="1"/>
  <c r="D1513" i="1"/>
  <c r="C1513" i="1"/>
  <c r="B1513" i="1"/>
  <c r="E1512" i="1"/>
  <c r="D1512" i="1"/>
  <c r="C1512" i="1"/>
  <c r="B1512" i="1"/>
  <c r="E1511" i="1"/>
  <c r="D1511" i="1"/>
  <c r="C1511" i="1"/>
  <c r="B1511" i="1"/>
  <c r="E1510" i="1"/>
  <c r="D1510" i="1"/>
  <c r="C1510" i="1"/>
  <c r="B1510" i="1"/>
  <c r="E1509" i="1"/>
  <c r="D1509" i="1"/>
  <c r="C1509" i="1"/>
  <c r="B1509" i="1"/>
  <c r="E1508" i="1"/>
  <c r="D1508" i="1"/>
  <c r="C1508" i="1"/>
  <c r="B1508" i="1"/>
  <c r="E1507" i="1"/>
  <c r="D1507" i="1"/>
  <c r="C1507" i="1"/>
  <c r="B1507" i="1"/>
  <c r="E1506" i="1"/>
  <c r="D1506" i="1"/>
  <c r="C1506" i="1"/>
  <c r="B1506" i="1"/>
  <c r="E1505" i="1"/>
  <c r="D1505" i="1"/>
  <c r="C1505" i="1"/>
  <c r="B1505" i="1"/>
  <c r="E1504" i="1"/>
  <c r="D1504" i="1"/>
  <c r="C1504" i="1"/>
  <c r="B1504" i="1"/>
  <c r="E1503" i="1"/>
  <c r="D1503" i="1"/>
  <c r="C1503" i="1"/>
  <c r="B1503" i="1"/>
  <c r="E1502" i="1"/>
  <c r="D1502" i="1"/>
  <c r="C1502" i="1"/>
  <c r="B1502" i="1"/>
  <c r="E1501" i="1"/>
  <c r="D1501" i="1"/>
  <c r="C1501" i="1"/>
  <c r="B1501" i="1"/>
  <c r="E1500" i="1"/>
  <c r="D1500" i="1"/>
  <c r="C1500" i="1"/>
  <c r="B1500" i="1"/>
  <c r="E1499" i="1"/>
  <c r="D1499" i="1"/>
  <c r="C1499" i="1"/>
  <c r="B1499" i="1"/>
  <c r="E1498" i="1"/>
  <c r="D1498" i="1"/>
  <c r="C1498" i="1"/>
  <c r="B1498" i="1"/>
  <c r="E1497" i="1"/>
  <c r="D1497" i="1"/>
  <c r="C1497" i="1"/>
  <c r="B1497" i="1"/>
  <c r="E1496" i="1"/>
  <c r="D1496" i="1"/>
  <c r="C1496" i="1"/>
  <c r="B1496" i="1"/>
  <c r="E1495" i="1"/>
  <c r="D1495" i="1"/>
  <c r="C1495" i="1"/>
  <c r="B1495" i="1"/>
  <c r="E1494" i="1"/>
  <c r="D1494" i="1"/>
  <c r="C1494" i="1"/>
  <c r="B1494" i="1"/>
  <c r="E1493" i="1"/>
  <c r="D1493" i="1"/>
  <c r="C1493" i="1"/>
  <c r="B1493" i="1"/>
  <c r="E1492" i="1"/>
  <c r="D1492" i="1"/>
  <c r="C1492" i="1"/>
  <c r="B1492" i="1"/>
  <c r="E1491" i="1"/>
  <c r="D1491" i="1"/>
  <c r="C1491" i="1"/>
  <c r="B1491" i="1"/>
  <c r="E1490" i="1"/>
  <c r="D1490" i="1"/>
  <c r="C1490" i="1"/>
  <c r="B1490" i="1"/>
  <c r="E1489" i="1"/>
  <c r="D1489" i="1"/>
  <c r="C1489" i="1"/>
  <c r="B1489" i="1"/>
  <c r="E1488" i="1"/>
  <c r="D1488" i="1"/>
  <c r="C1488" i="1"/>
  <c r="B1488" i="1"/>
  <c r="E1487" i="1"/>
  <c r="D1487" i="1"/>
  <c r="C1487" i="1"/>
  <c r="B1487" i="1"/>
  <c r="E1486" i="1"/>
  <c r="D1486" i="1"/>
  <c r="C1486" i="1"/>
  <c r="B1486" i="1"/>
  <c r="E1485" i="1"/>
  <c r="D1485" i="1"/>
  <c r="C1485" i="1"/>
  <c r="B1485" i="1"/>
  <c r="E1484" i="1"/>
  <c r="D1484" i="1"/>
  <c r="C1484" i="1"/>
  <c r="B1484" i="1"/>
  <c r="E1483" i="1"/>
  <c r="D1483" i="1"/>
  <c r="C1483" i="1"/>
  <c r="B1483" i="1"/>
  <c r="E1482" i="1"/>
  <c r="D1482" i="1"/>
  <c r="C1482" i="1"/>
  <c r="B1482" i="1"/>
  <c r="E1481" i="1"/>
  <c r="D1481" i="1"/>
  <c r="C1481" i="1"/>
  <c r="B1481" i="1"/>
  <c r="E1480" i="1"/>
  <c r="D1480" i="1"/>
  <c r="C1480" i="1"/>
  <c r="B1480" i="1"/>
  <c r="E1479" i="1"/>
  <c r="D1479" i="1"/>
  <c r="C1479" i="1"/>
  <c r="B1479" i="1"/>
  <c r="E1478" i="1"/>
  <c r="D1478" i="1"/>
  <c r="C1478" i="1"/>
  <c r="B1478" i="1"/>
  <c r="E1477" i="1"/>
  <c r="D1477" i="1"/>
  <c r="C1477" i="1"/>
  <c r="B1477" i="1"/>
  <c r="E1476" i="1"/>
  <c r="D1476" i="1"/>
  <c r="C1476" i="1"/>
  <c r="B1476" i="1"/>
  <c r="E1475" i="1"/>
  <c r="D1475" i="1"/>
  <c r="C1475" i="1"/>
  <c r="B1475" i="1"/>
  <c r="E1474" i="1"/>
  <c r="D1474" i="1"/>
  <c r="C1474" i="1"/>
  <c r="B1474" i="1"/>
  <c r="E1473" i="1"/>
  <c r="D1473" i="1"/>
  <c r="C1473" i="1"/>
  <c r="B1473" i="1"/>
  <c r="E1472" i="1"/>
  <c r="D1472" i="1"/>
  <c r="C1472" i="1"/>
  <c r="B1472" i="1"/>
  <c r="E1471" i="1"/>
  <c r="D1471" i="1"/>
  <c r="C1471" i="1"/>
  <c r="B1471" i="1"/>
  <c r="E1470" i="1"/>
  <c r="D1470" i="1"/>
  <c r="C1470" i="1"/>
  <c r="B1470" i="1"/>
  <c r="E1469" i="1"/>
  <c r="D1469" i="1"/>
  <c r="C1469" i="1"/>
  <c r="B1469" i="1"/>
  <c r="E1468" i="1"/>
  <c r="D1468" i="1"/>
  <c r="C1468" i="1"/>
  <c r="B1468" i="1"/>
  <c r="E1467" i="1"/>
  <c r="D1467" i="1"/>
  <c r="C1467" i="1"/>
  <c r="B1467" i="1"/>
  <c r="E1466" i="1"/>
  <c r="D1466" i="1"/>
  <c r="C1466" i="1"/>
  <c r="B1466" i="1"/>
  <c r="E1465" i="1"/>
  <c r="D1465" i="1"/>
  <c r="C1465" i="1"/>
  <c r="B1465" i="1"/>
  <c r="E1464" i="1"/>
  <c r="D1464" i="1"/>
  <c r="C1464" i="1"/>
  <c r="B1464" i="1"/>
  <c r="E1463" i="1"/>
  <c r="D1463" i="1"/>
  <c r="C1463" i="1"/>
  <c r="B1463" i="1"/>
  <c r="E1462" i="1"/>
  <c r="D1462" i="1"/>
  <c r="C1462" i="1"/>
  <c r="B1462" i="1"/>
  <c r="E1461" i="1"/>
  <c r="D1461" i="1"/>
  <c r="C1461" i="1"/>
  <c r="B1461" i="1"/>
  <c r="E1460" i="1"/>
  <c r="D1460" i="1"/>
  <c r="C1460" i="1"/>
  <c r="B1460" i="1"/>
  <c r="E1459" i="1"/>
  <c r="D1459" i="1"/>
  <c r="C1459" i="1"/>
  <c r="B1459" i="1"/>
  <c r="E1458" i="1"/>
  <c r="D1458" i="1"/>
  <c r="C1458" i="1"/>
  <c r="B1458" i="1"/>
  <c r="E1457" i="1"/>
  <c r="D1457" i="1"/>
  <c r="C1457" i="1"/>
  <c r="B1457" i="1"/>
  <c r="E1456" i="1"/>
  <c r="D1456" i="1"/>
  <c r="C1456" i="1"/>
  <c r="B1456" i="1"/>
  <c r="E1455" i="1"/>
  <c r="D1455" i="1"/>
  <c r="C1455" i="1"/>
  <c r="B1455" i="1"/>
  <c r="E1454" i="1"/>
  <c r="D1454" i="1"/>
  <c r="C1454" i="1"/>
  <c r="B1454" i="1"/>
  <c r="E1453" i="1"/>
  <c r="D1453" i="1"/>
  <c r="C1453" i="1"/>
  <c r="B1453" i="1"/>
  <c r="E1452" i="1"/>
  <c r="D1452" i="1"/>
  <c r="C1452" i="1"/>
  <c r="B1452" i="1"/>
  <c r="E1451" i="1"/>
  <c r="D1451" i="1"/>
  <c r="C1451" i="1"/>
  <c r="B1451" i="1"/>
  <c r="E1450" i="1"/>
  <c r="D1450" i="1"/>
  <c r="C1450" i="1"/>
  <c r="B1450" i="1"/>
  <c r="E1449" i="1"/>
  <c r="D1449" i="1"/>
  <c r="C1449" i="1"/>
  <c r="B1449" i="1"/>
  <c r="E1448" i="1"/>
  <c r="D1448" i="1"/>
  <c r="C1448" i="1"/>
  <c r="B1448" i="1"/>
  <c r="E1447" i="1"/>
  <c r="D1447" i="1"/>
  <c r="C1447" i="1"/>
  <c r="B1447" i="1"/>
  <c r="E1446" i="1"/>
  <c r="D1446" i="1"/>
  <c r="C1446" i="1"/>
  <c r="B1446" i="1"/>
  <c r="E1445" i="1"/>
  <c r="D1445" i="1"/>
  <c r="C1445" i="1"/>
  <c r="B1445" i="1"/>
  <c r="E1444" i="1"/>
  <c r="D1444" i="1"/>
  <c r="C1444" i="1"/>
  <c r="B1444" i="1"/>
  <c r="E1443" i="1"/>
  <c r="D1443" i="1"/>
  <c r="C1443" i="1"/>
  <c r="B1443" i="1"/>
  <c r="E1442" i="1"/>
  <c r="D1442" i="1"/>
  <c r="C1442" i="1"/>
  <c r="B1442" i="1"/>
  <c r="E1441" i="1"/>
  <c r="D1441" i="1"/>
  <c r="C1441" i="1"/>
  <c r="B1441" i="1"/>
  <c r="E1440" i="1"/>
  <c r="D1440" i="1"/>
  <c r="C1440" i="1"/>
  <c r="B1440" i="1"/>
  <c r="E1439" i="1"/>
  <c r="D1439" i="1"/>
  <c r="C1439" i="1"/>
  <c r="B1439" i="1"/>
  <c r="E1438" i="1"/>
  <c r="D1438" i="1"/>
  <c r="C1438" i="1"/>
  <c r="B1438" i="1"/>
  <c r="E1437" i="1"/>
  <c r="D1437" i="1"/>
  <c r="C1437" i="1"/>
  <c r="B1437" i="1"/>
  <c r="E1436" i="1"/>
  <c r="D1436" i="1"/>
  <c r="C1436" i="1"/>
  <c r="B1436" i="1"/>
  <c r="E1435" i="1"/>
  <c r="D1435" i="1"/>
  <c r="C1435" i="1"/>
  <c r="B1435" i="1"/>
  <c r="E1434" i="1"/>
  <c r="D1434" i="1"/>
  <c r="C1434" i="1"/>
  <c r="B1434" i="1"/>
  <c r="E1433" i="1"/>
  <c r="D1433" i="1"/>
  <c r="C1433" i="1"/>
  <c r="B1433" i="1"/>
  <c r="E1432" i="1"/>
  <c r="D1432" i="1"/>
  <c r="C1432" i="1"/>
  <c r="B1432" i="1"/>
  <c r="E1431" i="1"/>
  <c r="D1431" i="1"/>
  <c r="C1431" i="1"/>
  <c r="B1431" i="1"/>
  <c r="E1430" i="1"/>
  <c r="D1430" i="1"/>
  <c r="C1430" i="1"/>
  <c r="B1430" i="1"/>
  <c r="E1429" i="1"/>
  <c r="D1429" i="1"/>
  <c r="C1429" i="1"/>
  <c r="B1429" i="1"/>
  <c r="E1428" i="1"/>
  <c r="D1428" i="1"/>
  <c r="C1428" i="1"/>
  <c r="B1428" i="1"/>
  <c r="E1427" i="1"/>
  <c r="D1427" i="1"/>
  <c r="C1427" i="1"/>
  <c r="B1427" i="1"/>
  <c r="E1426" i="1"/>
  <c r="D1426" i="1"/>
  <c r="C1426" i="1"/>
  <c r="B1426" i="1"/>
  <c r="E1425" i="1"/>
  <c r="D1425" i="1"/>
  <c r="C1425" i="1"/>
  <c r="B1425" i="1"/>
  <c r="E1424" i="1"/>
  <c r="D1424" i="1"/>
  <c r="C1424" i="1"/>
  <c r="B1424" i="1"/>
  <c r="E1423" i="1"/>
  <c r="D1423" i="1"/>
  <c r="C1423" i="1"/>
  <c r="B1423" i="1"/>
  <c r="E1422" i="1"/>
  <c r="D1422" i="1"/>
  <c r="C1422" i="1"/>
  <c r="B1422" i="1"/>
  <c r="E1421" i="1"/>
  <c r="D1421" i="1"/>
  <c r="C1421" i="1"/>
  <c r="B1421" i="1"/>
  <c r="E1420" i="1"/>
  <c r="D1420" i="1"/>
  <c r="C1420" i="1"/>
  <c r="B1420" i="1"/>
  <c r="E1419" i="1"/>
  <c r="D1419" i="1"/>
  <c r="C1419" i="1"/>
  <c r="B1419" i="1"/>
  <c r="E1418" i="1"/>
  <c r="D1418" i="1"/>
  <c r="C1418" i="1"/>
  <c r="B1418" i="1"/>
  <c r="E1417" i="1"/>
  <c r="D1417" i="1"/>
  <c r="C1417" i="1"/>
  <c r="B1417" i="1"/>
  <c r="E1416" i="1"/>
  <c r="D1416" i="1"/>
  <c r="C1416" i="1"/>
  <c r="B1416" i="1"/>
  <c r="E1415" i="1"/>
  <c r="D1415" i="1"/>
  <c r="C1415" i="1"/>
  <c r="B1415" i="1"/>
  <c r="E1414" i="1"/>
  <c r="D1414" i="1"/>
  <c r="C1414" i="1"/>
  <c r="B1414" i="1"/>
  <c r="E1413" i="1"/>
  <c r="D1413" i="1"/>
  <c r="C1413" i="1"/>
  <c r="B1413" i="1"/>
  <c r="E1412" i="1"/>
  <c r="D1412" i="1"/>
  <c r="C1412" i="1"/>
  <c r="B1412" i="1"/>
  <c r="E1411" i="1"/>
  <c r="D1411" i="1"/>
  <c r="C1411" i="1"/>
  <c r="B1411" i="1"/>
  <c r="E1410" i="1"/>
  <c r="D1410" i="1"/>
  <c r="C1410" i="1"/>
  <c r="B1410" i="1"/>
  <c r="E1409" i="1"/>
  <c r="D1409" i="1"/>
  <c r="C1409" i="1"/>
  <c r="B1409" i="1"/>
  <c r="E1408" i="1"/>
  <c r="D1408" i="1"/>
  <c r="C1408" i="1"/>
  <c r="B1408" i="1"/>
  <c r="E1407" i="1"/>
  <c r="D1407" i="1"/>
  <c r="C1407" i="1"/>
  <c r="B1407" i="1"/>
  <c r="E1406" i="1"/>
  <c r="D1406" i="1"/>
  <c r="C1406" i="1"/>
  <c r="B1406" i="1"/>
  <c r="E1405" i="1"/>
  <c r="D1405" i="1"/>
  <c r="C1405" i="1"/>
  <c r="B1405" i="1"/>
  <c r="E1404" i="1"/>
  <c r="D1404" i="1"/>
  <c r="C1404" i="1"/>
  <c r="B1404" i="1"/>
  <c r="E1403" i="1"/>
  <c r="D1403" i="1"/>
  <c r="C1403" i="1"/>
  <c r="B1403" i="1"/>
  <c r="E1402" i="1"/>
  <c r="D1402" i="1"/>
  <c r="C1402" i="1"/>
  <c r="B1402" i="1"/>
  <c r="E1401" i="1"/>
  <c r="D1401" i="1"/>
  <c r="C1401" i="1"/>
  <c r="B1401" i="1"/>
  <c r="E1400" i="1"/>
  <c r="D1400" i="1"/>
  <c r="C1400" i="1"/>
  <c r="B1400" i="1"/>
  <c r="E1399" i="1"/>
  <c r="D1399" i="1"/>
  <c r="C1399" i="1"/>
  <c r="B1399" i="1"/>
  <c r="E1398" i="1"/>
  <c r="D1398" i="1"/>
  <c r="C1398" i="1"/>
  <c r="B1398" i="1"/>
  <c r="E1397" i="1"/>
  <c r="D1397" i="1"/>
  <c r="C1397" i="1"/>
  <c r="B1397" i="1"/>
  <c r="E1396" i="1"/>
  <c r="D1396" i="1"/>
  <c r="C1396" i="1"/>
  <c r="B1396" i="1"/>
  <c r="E1395" i="1"/>
  <c r="D1395" i="1"/>
  <c r="C1395" i="1"/>
  <c r="B1395" i="1"/>
  <c r="E1394" i="1"/>
  <c r="D1394" i="1"/>
  <c r="C1394" i="1"/>
  <c r="B1394" i="1"/>
  <c r="E1393" i="1"/>
  <c r="D1393" i="1"/>
  <c r="C1393" i="1"/>
  <c r="B1393" i="1"/>
  <c r="E1392" i="1"/>
  <c r="D1392" i="1"/>
  <c r="C1392" i="1"/>
  <c r="B1392" i="1"/>
  <c r="E1391" i="1"/>
  <c r="D1391" i="1"/>
  <c r="C1391" i="1"/>
  <c r="B1391" i="1"/>
  <c r="E1390" i="1"/>
  <c r="D1390" i="1"/>
  <c r="C1390" i="1"/>
  <c r="B1390" i="1"/>
  <c r="E1389" i="1"/>
  <c r="D1389" i="1"/>
  <c r="C1389" i="1"/>
  <c r="B1389" i="1"/>
  <c r="E1388" i="1"/>
  <c r="D1388" i="1"/>
  <c r="C1388" i="1"/>
  <c r="B1388" i="1"/>
  <c r="E1387" i="1"/>
  <c r="D1387" i="1"/>
  <c r="C1387" i="1"/>
  <c r="B1387" i="1"/>
  <c r="E1386" i="1"/>
  <c r="D1386" i="1"/>
  <c r="C1386" i="1"/>
  <c r="B1386" i="1"/>
  <c r="E1385" i="1"/>
  <c r="D1385" i="1"/>
  <c r="C1385" i="1"/>
  <c r="B1385" i="1"/>
  <c r="E1384" i="1"/>
  <c r="D1384" i="1"/>
  <c r="C1384" i="1"/>
  <c r="B1384" i="1"/>
  <c r="E1383" i="1"/>
  <c r="D1383" i="1"/>
  <c r="C1383" i="1"/>
  <c r="B1383" i="1"/>
  <c r="E1382" i="1"/>
  <c r="D1382" i="1"/>
  <c r="C1382" i="1"/>
  <c r="B1382" i="1"/>
  <c r="E1381" i="1"/>
  <c r="D1381" i="1"/>
  <c r="C1381" i="1"/>
  <c r="B1381" i="1"/>
  <c r="E1380" i="1"/>
  <c r="D1380" i="1"/>
  <c r="C1380" i="1"/>
  <c r="B1380" i="1"/>
  <c r="E1379" i="1"/>
  <c r="D1379" i="1"/>
  <c r="C1379" i="1"/>
  <c r="B1379" i="1"/>
  <c r="E1378" i="1"/>
  <c r="D1378" i="1"/>
  <c r="C1378" i="1"/>
  <c r="B1378" i="1"/>
  <c r="E1377" i="1"/>
  <c r="D1377" i="1"/>
  <c r="C1377" i="1"/>
  <c r="B1377" i="1"/>
  <c r="E1376" i="1"/>
  <c r="D1376" i="1"/>
  <c r="C1376" i="1"/>
  <c r="B1376" i="1"/>
  <c r="E1375" i="1"/>
  <c r="D1375" i="1"/>
  <c r="C1375" i="1"/>
  <c r="B1375" i="1"/>
  <c r="E1374" i="1"/>
  <c r="D1374" i="1"/>
  <c r="C1374" i="1"/>
  <c r="B1374" i="1"/>
  <c r="E1373" i="1"/>
  <c r="D1373" i="1"/>
  <c r="C1373" i="1"/>
  <c r="B1373" i="1"/>
  <c r="E1372" i="1"/>
  <c r="D1372" i="1"/>
  <c r="C1372" i="1"/>
  <c r="B1372" i="1"/>
  <c r="E1371" i="1"/>
  <c r="D1371" i="1"/>
  <c r="C1371" i="1"/>
  <c r="B1371" i="1"/>
  <c r="E1370" i="1"/>
  <c r="D1370" i="1"/>
  <c r="C1370" i="1"/>
  <c r="B1370" i="1"/>
  <c r="E1369" i="1"/>
  <c r="D1369" i="1"/>
  <c r="C1369" i="1"/>
  <c r="B1369" i="1"/>
  <c r="E1368" i="1"/>
  <c r="D1368" i="1"/>
  <c r="C1368" i="1"/>
  <c r="B1368" i="1"/>
  <c r="E1367" i="1"/>
  <c r="D1367" i="1"/>
  <c r="C1367" i="1"/>
  <c r="B1367" i="1"/>
  <c r="E1366" i="1"/>
  <c r="D1366" i="1"/>
  <c r="C1366" i="1"/>
  <c r="B1366" i="1"/>
  <c r="E1365" i="1"/>
  <c r="D1365" i="1"/>
  <c r="C1365" i="1"/>
  <c r="B1365" i="1"/>
  <c r="E1364" i="1"/>
  <c r="D1364" i="1"/>
  <c r="C1364" i="1"/>
  <c r="B1364" i="1"/>
  <c r="E1363" i="1"/>
  <c r="D1363" i="1"/>
  <c r="C1363" i="1"/>
  <c r="B1363" i="1"/>
  <c r="E1362" i="1"/>
  <c r="D1362" i="1"/>
  <c r="C1362" i="1"/>
  <c r="B1362" i="1"/>
  <c r="E1361" i="1"/>
  <c r="D1361" i="1"/>
  <c r="C1361" i="1"/>
  <c r="B1361" i="1"/>
  <c r="E1360" i="1"/>
  <c r="D1360" i="1"/>
  <c r="C1360" i="1"/>
  <c r="B1360" i="1"/>
  <c r="E1359" i="1"/>
  <c r="D1359" i="1"/>
  <c r="C1359" i="1"/>
  <c r="B1359" i="1"/>
  <c r="E1358" i="1"/>
  <c r="D1358" i="1"/>
  <c r="C1358" i="1"/>
  <c r="B1358" i="1"/>
  <c r="E1357" i="1"/>
  <c r="D1357" i="1"/>
  <c r="C1357" i="1"/>
  <c r="B1357" i="1"/>
  <c r="E1356" i="1"/>
  <c r="D1356" i="1"/>
  <c r="C1356" i="1"/>
  <c r="B1356" i="1"/>
  <c r="E1355" i="1"/>
  <c r="D1355" i="1"/>
  <c r="C1355" i="1"/>
  <c r="B1355" i="1"/>
  <c r="E1354" i="1"/>
  <c r="D1354" i="1"/>
  <c r="C1354" i="1"/>
  <c r="B1354" i="1"/>
  <c r="E1353" i="1"/>
  <c r="D1353" i="1"/>
  <c r="C1353" i="1"/>
  <c r="B1353" i="1"/>
  <c r="E1352" i="1"/>
  <c r="D1352" i="1"/>
  <c r="C1352" i="1"/>
  <c r="B1352" i="1"/>
  <c r="E1351" i="1"/>
  <c r="D1351" i="1"/>
  <c r="C1351" i="1"/>
  <c r="B1351" i="1"/>
  <c r="E1350" i="1"/>
  <c r="D1350" i="1"/>
  <c r="C1350" i="1"/>
  <c r="B1350" i="1"/>
  <c r="E1349" i="1"/>
  <c r="D1349" i="1"/>
  <c r="C1349" i="1"/>
  <c r="B1349" i="1"/>
  <c r="E1348" i="1"/>
  <c r="D1348" i="1"/>
  <c r="C1348" i="1"/>
  <c r="B1348" i="1"/>
  <c r="E1347" i="1"/>
  <c r="D1347" i="1"/>
  <c r="C1347" i="1"/>
  <c r="B1347" i="1"/>
  <c r="E1346" i="1"/>
  <c r="D1346" i="1"/>
  <c r="C1346" i="1"/>
  <c r="B1346" i="1"/>
  <c r="E1345" i="1"/>
  <c r="D1345" i="1"/>
  <c r="C1345" i="1"/>
  <c r="B1345" i="1"/>
  <c r="E1344" i="1"/>
  <c r="D1344" i="1"/>
  <c r="C1344" i="1"/>
  <c r="B1344" i="1"/>
  <c r="E1343" i="1"/>
  <c r="D1343" i="1"/>
  <c r="C1343" i="1"/>
  <c r="B1343" i="1"/>
  <c r="E1342" i="1"/>
  <c r="D1342" i="1"/>
  <c r="C1342" i="1"/>
  <c r="B1342" i="1"/>
  <c r="E1341" i="1"/>
  <c r="D1341" i="1"/>
  <c r="C1341" i="1"/>
  <c r="B1341" i="1"/>
  <c r="E1340" i="1"/>
  <c r="D1340" i="1"/>
  <c r="C1340" i="1"/>
  <c r="B1340" i="1"/>
  <c r="E1339" i="1"/>
  <c r="D1339" i="1"/>
  <c r="C1339" i="1"/>
  <c r="B1339" i="1"/>
  <c r="E1338" i="1"/>
  <c r="D1338" i="1"/>
  <c r="C1338" i="1"/>
  <c r="B1338" i="1"/>
  <c r="E1337" i="1"/>
  <c r="D1337" i="1"/>
  <c r="C1337" i="1"/>
  <c r="B1337" i="1"/>
  <c r="E1336" i="1"/>
  <c r="D1336" i="1"/>
  <c r="C1336" i="1"/>
  <c r="B1336" i="1"/>
  <c r="E1335" i="1"/>
  <c r="D1335" i="1"/>
  <c r="C1335" i="1"/>
  <c r="B1335" i="1"/>
  <c r="E1334" i="1"/>
  <c r="D1334" i="1"/>
  <c r="C1334" i="1"/>
  <c r="B1334" i="1"/>
  <c r="E1333" i="1"/>
  <c r="D1333" i="1"/>
  <c r="C1333" i="1"/>
  <c r="B1333" i="1"/>
  <c r="E1332" i="1"/>
  <c r="D1332" i="1"/>
  <c r="C1332" i="1"/>
  <c r="B1332" i="1"/>
  <c r="E1331" i="1"/>
  <c r="D1331" i="1"/>
  <c r="C1331" i="1"/>
  <c r="B1331" i="1"/>
  <c r="E1330" i="1"/>
  <c r="D1330" i="1"/>
  <c r="C1330" i="1"/>
  <c r="B1330" i="1"/>
  <c r="E1329" i="1"/>
  <c r="D1329" i="1"/>
  <c r="C1329" i="1"/>
  <c r="B1329" i="1"/>
  <c r="E1328" i="1"/>
  <c r="D1328" i="1"/>
  <c r="C1328" i="1"/>
  <c r="B1328" i="1"/>
  <c r="E1327" i="1"/>
  <c r="D1327" i="1"/>
  <c r="C1327" i="1"/>
  <c r="B1327" i="1"/>
  <c r="E1326" i="1"/>
  <c r="D1326" i="1"/>
  <c r="C1326" i="1"/>
  <c r="B1326" i="1"/>
  <c r="E1325" i="1"/>
  <c r="D1325" i="1"/>
  <c r="C1325" i="1"/>
  <c r="B1325" i="1"/>
  <c r="E1324" i="1"/>
  <c r="D1324" i="1"/>
  <c r="C1324" i="1"/>
  <c r="B1324" i="1"/>
  <c r="E1323" i="1"/>
  <c r="D1323" i="1"/>
  <c r="C1323" i="1"/>
  <c r="B1323" i="1"/>
  <c r="E1322" i="1"/>
  <c r="D1322" i="1"/>
  <c r="C1322" i="1"/>
  <c r="B1322" i="1"/>
  <c r="E1321" i="1"/>
  <c r="D1321" i="1"/>
  <c r="C1321" i="1"/>
  <c r="B1321" i="1"/>
  <c r="E1320" i="1"/>
  <c r="D1320" i="1"/>
  <c r="C1320" i="1"/>
  <c r="B1320" i="1"/>
  <c r="E1319" i="1"/>
  <c r="D1319" i="1"/>
  <c r="C1319" i="1"/>
  <c r="B1319" i="1"/>
  <c r="E1318" i="1"/>
  <c r="D1318" i="1"/>
  <c r="C1318" i="1"/>
  <c r="B1318" i="1"/>
  <c r="E1317" i="1"/>
  <c r="D1317" i="1"/>
  <c r="C1317" i="1"/>
  <c r="B1317" i="1"/>
  <c r="E1316" i="1"/>
  <c r="D1316" i="1"/>
  <c r="C1316" i="1"/>
  <c r="B1316" i="1"/>
  <c r="E1315" i="1"/>
  <c r="D1315" i="1"/>
  <c r="C1315" i="1"/>
  <c r="B1315" i="1"/>
  <c r="E1314" i="1"/>
  <c r="D1314" i="1"/>
  <c r="C1314" i="1"/>
  <c r="B1314" i="1"/>
  <c r="E1313" i="1"/>
  <c r="D1313" i="1"/>
  <c r="C1313" i="1"/>
  <c r="B1313" i="1"/>
  <c r="E1312" i="1"/>
  <c r="D1312" i="1"/>
  <c r="C1312" i="1"/>
  <c r="B1312" i="1"/>
  <c r="E1311" i="1"/>
  <c r="D1311" i="1"/>
  <c r="C1311" i="1"/>
  <c r="B1311" i="1"/>
  <c r="E1310" i="1"/>
  <c r="D1310" i="1"/>
  <c r="C1310" i="1"/>
  <c r="B1310" i="1"/>
  <c r="E1309" i="1"/>
  <c r="D1309" i="1"/>
  <c r="C1309" i="1"/>
  <c r="B1309" i="1"/>
  <c r="E1308" i="1"/>
  <c r="D1308" i="1"/>
  <c r="C1308" i="1"/>
  <c r="B1308" i="1"/>
  <c r="E1307" i="1"/>
  <c r="D1307" i="1"/>
  <c r="C1307" i="1"/>
  <c r="B1307" i="1"/>
  <c r="E1306" i="1"/>
  <c r="D1306" i="1"/>
  <c r="C1306" i="1"/>
  <c r="B1306" i="1"/>
  <c r="E1305" i="1"/>
  <c r="D1305" i="1"/>
  <c r="C1305" i="1"/>
  <c r="B1305" i="1"/>
  <c r="E1304" i="1"/>
  <c r="D1304" i="1"/>
  <c r="C1304" i="1"/>
  <c r="B1304" i="1"/>
  <c r="E1303" i="1"/>
  <c r="D1303" i="1"/>
  <c r="C1303" i="1"/>
  <c r="B1303" i="1"/>
  <c r="E1302" i="1"/>
  <c r="D1302" i="1"/>
  <c r="C1302" i="1"/>
  <c r="B1302" i="1"/>
  <c r="E1301" i="1"/>
  <c r="D1301" i="1"/>
  <c r="C1301" i="1"/>
  <c r="B1301" i="1"/>
  <c r="E1300" i="1"/>
  <c r="D1300" i="1"/>
  <c r="C1300" i="1"/>
  <c r="B1300" i="1"/>
  <c r="E1299" i="1"/>
  <c r="D1299" i="1"/>
  <c r="C1299" i="1"/>
  <c r="B1299" i="1"/>
  <c r="E1298" i="1"/>
  <c r="D1298" i="1"/>
  <c r="C1298" i="1"/>
  <c r="B1298" i="1"/>
  <c r="E1297" i="1"/>
  <c r="D1297" i="1"/>
  <c r="C1297" i="1"/>
  <c r="B1297" i="1"/>
  <c r="E1296" i="1"/>
  <c r="D1296" i="1"/>
  <c r="C1296" i="1"/>
  <c r="B1296" i="1"/>
  <c r="E1295" i="1"/>
  <c r="D1295" i="1"/>
  <c r="C1295" i="1"/>
  <c r="B1295" i="1"/>
  <c r="E1294" i="1"/>
  <c r="D1294" i="1"/>
  <c r="C1294" i="1"/>
  <c r="B1294" i="1"/>
  <c r="E1293" i="1"/>
  <c r="D1293" i="1"/>
  <c r="C1293" i="1"/>
  <c r="B1293" i="1"/>
  <c r="E1292" i="1"/>
  <c r="D1292" i="1"/>
  <c r="C1292" i="1"/>
  <c r="B1292" i="1"/>
  <c r="E1291" i="1"/>
  <c r="D1291" i="1"/>
  <c r="C1291" i="1"/>
  <c r="B1291" i="1"/>
  <c r="E1290" i="1"/>
  <c r="D1290" i="1"/>
  <c r="C1290" i="1"/>
  <c r="B1290" i="1"/>
  <c r="E1289" i="1"/>
  <c r="D1289" i="1"/>
  <c r="C1289" i="1"/>
  <c r="B1289" i="1"/>
  <c r="E1288" i="1"/>
  <c r="D1288" i="1"/>
  <c r="C1288" i="1"/>
  <c r="B1288" i="1"/>
  <c r="E1287" i="1"/>
  <c r="D1287" i="1"/>
  <c r="C1287" i="1"/>
  <c r="B1287" i="1"/>
  <c r="E1286" i="1"/>
  <c r="D1286" i="1"/>
  <c r="C1286" i="1"/>
  <c r="B1286" i="1"/>
  <c r="E1285" i="1"/>
  <c r="D1285" i="1"/>
  <c r="C1285" i="1"/>
  <c r="B1285" i="1"/>
  <c r="E1284" i="1"/>
  <c r="D1284" i="1"/>
  <c r="C1284" i="1"/>
  <c r="B1284" i="1"/>
  <c r="E1283" i="1"/>
  <c r="D1283" i="1"/>
  <c r="C1283" i="1"/>
  <c r="B1283" i="1"/>
  <c r="E1282" i="1"/>
  <c r="D1282" i="1"/>
  <c r="C1282" i="1"/>
  <c r="B1282" i="1"/>
  <c r="E1281" i="1"/>
  <c r="D1281" i="1"/>
  <c r="C1281" i="1"/>
  <c r="B1281" i="1"/>
  <c r="E1280" i="1"/>
  <c r="D1280" i="1"/>
  <c r="C1280" i="1"/>
  <c r="B1280" i="1"/>
  <c r="E1279" i="1"/>
  <c r="D1279" i="1"/>
  <c r="C1279" i="1"/>
  <c r="B1279" i="1"/>
  <c r="E1278" i="1"/>
  <c r="D1278" i="1"/>
  <c r="C1278" i="1"/>
  <c r="B1278" i="1"/>
  <c r="E1277" i="1"/>
  <c r="D1277" i="1"/>
  <c r="C1277" i="1"/>
  <c r="B1277" i="1"/>
  <c r="E1276" i="1"/>
  <c r="D1276" i="1"/>
  <c r="C1276" i="1"/>
  <c r="B1276" i="1"/>
  <c r="E1275" i="1"/>
  <c r="D1275" i="1"/>
  <c r="C1275" i="1"/>
  <c r="B1275" i="1"/>
  <c r="E1274" i="1"/>
  <c r="D1274" i="1"/>
  <c r="C1274" i="1"/>
  <c r="B1274" i="1"/>
  <c r="E1273" i="1"/>
  <c r="D1273" i="1"/>
  <c r="C1273" i="1"/>
  <c r="B1273" i="1"/>
  <c r="E1272" i="1"/>
  <c r="D1272" i="1"/>
  <c r="C1272" i="1"/>
  <c r="B1272" i="1"/>
  <c r="E1271" i="1"/>
  <c r="D1271" i="1"/>
  <c r="C1271" i="1"/>
  <c r="B1271" i="1"/>
  <c r="E1270" i="1"/>
  <c r="D1270" i="1"/>
  <c r="C1270" i="1"/>
  <c r="B1270" i="1"/>
  <c r="E1269" i="1"/>
  <c r="D1269" i="1"/>
  <c r="C1269" i="1"/>
  <c r="B1269" i="1"/>
  <c r="E1268" i="1"/>
  <c r="D1268" i="1"/>
  <c r="C1268" i="1"/>
  <c r="B1268" i="1"/>
  <c r="E1267" i="1"/>
  <c r="D1267" i="1"/>
  <c r="C1267" i="1"/>
  <c r="B1267" i="1"/>
  <c r="E1266" i="1"/>
  <c r="D1266" i="1"/>
  <c r="C1266" i="1"/>
  <c r="B1266" i="1"/>
  <c r="E1265" i="1"/>
  <c r="D1265" i="1"/>
  <c r="C1265" i="1"/>
  <c r="B1265" i="1"/>
  <c r="E1264" i="1"/>
  <c r="D1264" i="1"/>
  <c r="C1264" i="1"/>
  <c r="B1264" i="1"/>
  <c r="E1263" i="1"/>
  <c r="D1263" i="1"/>
  <c r="C1263" i="1"/>
  <c r="B1263" i="1"/>
  <c r="E1262" i="1"/>
  <c r="D1262" i="1"/>
  <c r="C1262" i="1"/>
  <c r="B1262" i="1"/>
  <c r="E1261" i="1"/>
  <c r="D1261" i="1"/>
  <c r="C1261" i="1"/>
  <c r="B1261" i="1"/>
  <c r="E1260" i="1"/>
  <c r="D1260" i="1"/>
  <c r="C1260" i="1"/>
  <c r="B1260" i="1"/>
  <c r="E1259" i="1"/>
  <c r="D1259" i="1"/>
  <c r="C1259" i="1"/>
  <c r="B1259" i="1"/>
  <c r="E1258" i="1"/>
  <c r="D1258" i="1"/>
  <c r="C1258" i="1"/>
  <c r="B1258" i="1"/>
  <c r="E1257" i="1"/>
  <c r="D1257" i="1"/>
  <c r="C1257" i="1"/>
  <c r="B1257" i="1"/>
  <c r="E1256" i="1"/>
  <c r="D1256" i="1"/>
  <c r="C1256" i="1"/>
  <c r="B1256" i="1"/>
  <c r="E1255" i="1"/>
  <c r="D1255" i="1"/>
  <c r="C1255" i="1"/>
  <c r="B1255" i="1"/>
  <c r="E1254" i="1"/>
  <c r="D1254" i="1"/>
  <c r="C1254" i="1"/>
  <c r="B1254" i="1"/>
  <c r="E1253" i="1"/>
  <c r="D1253" i="1"/>
  <c r="C1253" i="1"/>
  <c r="B1253" i="1"/>
  <c r="E1252" i="1"/>
  <c r="D1252" i="1"/>
  <c r="C1252" i="1"/>
  <c r="B1252" i="1"/>
  <c r="E1251" i="1"/>
  <c r="D1251" i="1"/>
  <c r="C1251" i="1"/>
  <c r="B1251" i="1"/>
  <c r="E1250" i="1"/>
  <c r="D1250" i="1"/>
  <c r="C1250" i="1"/>
  <c r="B1250" i="1"/>
  <c r="E1249" i="1"/>
  <c r="D1249" i="1"/>
  <c r="C1249" i="1"/>
  <c r="B1249" i="1"/>
  <c r="E1248" i="1"/>
  <c r="D1248" i="1"/>
  <c r="C1248" i="1"/>
  <c r="B1248" i="1"/>
  <c r="E1247" i="1"/>
  <c r="D1247" i="1"/>
  <c r="C1247" i="1"/>
  <c r="B1247" i="1"/>
  <c r="E1246" i="1"/>
  <c r="D1246" i="1"/>
  <c r="C1246" i="1"/>
  <c r="B1246" i="1"/>
  <c r="E1245" i="1"/>
  <c r="D1245" i="1"/>
  <c r="C1245" i="1"/>
  <c r="B1245" i="1"/>
  <c r="E1244" i="1"/>
  <c r="D1244" i="1"/>
  <c r="C1244" i="1"/>
  <c r="B1244" i="1"/>
  <c r="E1243" i="1"/>
  <c r="D1243" i="1"/>
  <c r="C1243" i="1"/>
  <c r="B1243" i="1"/>
  <c r="E1242" i="1"/>
  <c r="D1242" i="1"/>
  <c r="C1242" i="1"/>
  <c r="B1242" i="1"/>
  <c r="E1241" i="1"/>
  <c r="D1241" i="1"/>
  <c r="C1241" i="1"/>
  <c r="B1241" i="1"/>
  <c r="E1240" i="1"/>
  <c r="D1240" i="1"/>
  <c r="C1240" i="1"/>
  <c r="B1240" i="1"/>
  <c r="E1239" i="1"/>
  <c r="D1239" i="1"/>
  <c r="C1239" i="1"/>
  <c r="B1239" i="1"/>
  <c r="E1238" i="1"/>
  <c r="D1238" i="1"/>
  <c r="C1238" i="1"/>
  <c r="B1238" i="1"/>
  <c r="E1237" i="1"/>
  <c r="D1237" i="1"/>
  <c r="C1237" i="1"/>
  <c r="B1237" i="1"/>
  <c r="E1236" i="1"/>
  <c r="D1236" i="1"/>
  <c r="C1236" i="1"/>
  <c r="B1236" i="1"/>
  <c r="E1235" i="1"/>
  <c r="D1235" i="1"/>
  <c r="C1235" i="1"/>
  <c r="B1235" i="1"/>
  <c r="E1234" i="1"/>
  <c r="D1234" i="1"/>
  <c r="C1234" i="1"/>
  <c r="B1234" i="1"/>
  <c r="E1233" i="1"/>
  <c r="D1233" i="1"/>
  <c r="C1233" i="1"/>
  <c r="B1233" i="1"/>
  <c r="E1232" i="1"/>
  <c r="D1232" i="1"/>
  <c r="C1232" i="1"/>
  <c r="B1232" i="1"/>
  <c r="E1231" i="1"/>
  <c r="D1231" i="1"/>
  <c r="C1231" i="1"/>
  <c r="B1231" i="1"/>
  <c r="E1230" i="1"/>
  <c r="D1230" i="1"/>
  <c r="C1230" i="1"/>
  <c r="B1230" i="1"/>
  <c r="E1229" i="1"/>
  <c r="D1229" i="1"/>
  <c r="C1229" i="1"/>
  <c r="B1229" i="1"/>
  <c r="E1228" i="1"/>
  <c r="D1228" i="1"/>
  <c r="C1228" i="1"/>
  <c r="B1228" i="1"/>
  <c r="E1227" i="1"/>
  <c r="D1227" i="1"/>
  <c r="C1227" i="1"/>
  <c r="B1227" i="1"/>
  <c r="E1226" i="1"/>
  <c r="D1226" i="1"/>
  <c r="C1226" i="1"/>
  <c r="B1226" i="1"/>
  <c r="E1225" i="1"/>
  <c r="D1225" i="1"/>
  <c r="C1225" i="1"/>
  <c r="B1225" i="1"/>
  <c r="E1224" i="1"/>
  <c r="D1224" i="1"/>
  <c r="C1224" i="1"/>
  <c r="B1224" i="1"/>
  <c r="E1223" i="1"/>
  <c r="D1223" i="1"/>
  <c r="C1223" i="1"/>
  <c r="B1223" i="1"/>
  <c r="E1222" i="1"/>
  <c r="D1222" i="1"/>
  <c r="C1222" i="1"/>
  <c r="B1222" i="1"/>
  <c r="E1221" i="1"/>
  <c r="D1221" i="1"/>
  <c r="C1221" i="1"/>
  <c r="B1221" i="1"/>
  <c r="E1220" i="1"/>
  <c r="D1220" i="1"/>
  <c r="C1220" i="1"/>
  <c r="B1220" i="1"/>
  <c r="E1219" i="1"/>
  <c r="D1219" i="1"/>
  <c r="C1219" i="1"/>
  <c r="B1219" i="1"/>
  <c r="E1218" i="1"/>
  <c r="D1218" i="1"/>
  <c r="C1218" i="1"/>
  <c r="B1218" i="1"/>
  <c r="E1217" i="1"/>
  <c r="D1217" i="1"/>
  <c r="C1217" i="1"/>
  <c r="B1217" i="1"/>
  <c r="E1216" i="1"/>
  <c r="D1216" i="1"/>
  <c r="C1216" i="1"/>
  <c r="B1216" i="1"/>
  <c r="E1215" i="1"/>
  <c r="D1215" i="1"/>
  <c r="C1215" i="1"/>
  <c r="B1215" i="1"/>
  <c r="E1214" i="1"/>
  <c r="D1214" i="1"/>
  <c r="C1214" i="1"/>
  <c r="B1214" i="1"/>
  <c r="E1213" i="1"/>
  <c r="D1213" i="1"/>
  <c r="C1213" i="1"/>
  <c r="B1213" i="1"/>
  <c r="E1212" i="1"/>
  <c r="D1212" i="1"/>
  <c r="C1212" i="1"/>
  <c r="B1212" i="1"/>
  <c r="E1211" i="1"/>
  <c r="D1211" i="1"/>
  <c r="C1211" i="1"/>
  <c r="B1211" i="1"/>
  <c r="E1210" i="1"/>
  <c r="D1210" i="1"/>
  <c r="C1210" i="1"/>
  <c r="B1210" i="1"/>
  <c r="E1209" i="1"/>
  <c r="D1209" i="1"/>
  <c r="C1209" i="1"/>
  <c r="B1209" i="1"/>
  <c r="E1208" i="1"/>
  <c r="D1208" i="1"/>
  <c r="C1208" i="1"/>
  <c r="B1208" i="1"/>
  <c r="E1207" i="1"/>
  <c r="D1207" i="1"/>
  <c r="C1207" i="1"/>
  <c r="B1207" i="1"/>
  <c r="E1206" i="1"/>
  <c r="D1206" i="1"/>
  <c r="C1206" i="1"/>
  <c r="B1206" i="1"/>
  <c r="E1205" i="1"/>
  <c r="D1205" i="1"/>
  <c r="C1205" i="1"/>
  <c r="B1205" i="1"/>
  <c r="E1204" i="1"/>
  <c r="D1204" i="1"/>
  <c r="C1204" i="1"/>
  <c r="B1204" i="1"/>
  <c r="E1203" i="1"/>
  <c r="D1203" i="1"/>
  <c r="C1203" i="1"/>
  <c r="B1203" i="1"/>
  <c r="E1202" i="1"/>
  <c r="D1202" i="1"/>
  <c r="C1202" i="1"/>
  <c r="B1202" i="1"/>
  <c r="E1201" i="1"/>
  <c r="D1201" i="1"/>
  <c r="C1201" i="1"/>
  <c r="B1201" i="1"/>
  <c r="E1200" i="1"/>
  <c r="D1200" i="1"/>
  <c r="C1200" i="1"/>
  <c r="B1200" i="1"/>
  <c r="E1199" i="1"/>
  <c r="D1199" i="1"/>
  <c r="C1199" i="1"/>
  <c r="B1199" i="1"/>
  <c r="E1198" i="1"/>
  <c r="D1198" i="1"/>
  <c r="C1198" i="1"/>
  <c r="B1198" i="1"/>
  <c r="E1197" i="1"/>
  <c r="D1197" i="1"/>
  <c r="C1197" i="1"/>
  <c r="B1197" i="1"/>
  <c r="E1196" i="1"/>
  <c r="D1196" i="1"/>
  <c r="C1196" i="1"/>
  <c r="B1196" i="1"/>
  <c r="E1195" i="1"/>
  <c r="D1195" i="1"/>
  <c r="C1195" i="1"/>
  <c r="B1195" i="1"/>
  <c r="E1194" i="1"/>
  <c r="D1194" i="1"/>
  <c r="C1194" i="1"/>
  <c r="B1194" i="1"/>
  <c r="E1193" i="1"/>
  <c r="D1193" i="1"/>
  <c r="C1193" i="1"/>
  <c r="B1193" i="1"/>
  <c r="E1192" i="1"/>
  <c r="D1192" i="1"/>
  <c r="C1192" i="1"/>
  <c r="B1192" i="1"/>
  <c r="E1191" i="1"/>
  <c r="D1191" i="1"/>
  <c r="C1191" i="1"/>
  <c r="B1191" i="1"/>
  <c r="E1190" i="1"/>
  <c r="D1190" i="1"/>
  <c r="C1190" i="1"/>
  <c r="B1190" i="1"/>
  <c r="E1189" i="1"/>
  <c r="D1189" i="1"/>
  <c r="C1189" i="1"/>
  <c r="B1189" i="1"/>
  <c r="E1188" i="1"/>
  <c r="D1188" i="1"/>
  <c r="C1188" i="1"/>
  <c r="B1188" i="1"/>
  <c r="E1187" i="1"/>
  <c r="D1187" i="1"/>
  <c r="C1187" i="1"/>
  <c r="B1187" i="1"/>
  <c r="E1186" i="1"/>
  <c r="D1186" i="1"/>
  <c r="C1186" i="1"/>
  <c r="B1186" i="1"/>
  <c r="E1185" i="1"/>
  <c r="D1185" i="1"/>
  <c r="C1185" i="1"/>
  <c r="B1185" i="1"/>
  <c r="E1184" i="1"/>
  <c r="D1184" i="1"/>
  <c r="C1184" i="1"/>
  <c r="B1184" i="1"/>
  <c r="E1183" i="1"/>
  <c r="D1183" i="1"/>
  <c r="C1183" i="1"/>
  <c r="B1183" i="1"/>
  <c r="E1182" i="1"/>
  <c r="D1182" i="1"/>
  <c r="C1182" i="1"/>
  <c r="B1182" i="1"/>
  <c r="E1181" i="1"/>
  <c r="D1181" i="1"/>
  <c r="C1181" i="1"/>
  <c r="B1181" i="1"/>
  <c r="E1180" i="1"/>
  <c r="D1180" i="1"/>
  <c r="C1180" i="1"/>
  <c r="B1180" i="1"/>
  <c r="E1179" i="1"/>
  <c r="D1179" i="1"/>
  <c r="C1179" i="1"/>
  <c r="B1179" i="1"/>
  <c r="E1178" i="1"/>
  <c r="D1178" i="1"/>
  <c r="C1178" i="1"/>
  <c r="B1178" i="1"/>
  <c r="E1177" i="1"/>
  <c r="D1177" i="1"/>
  <c r="C1177" i="1"/>
  <c r="B1177" i="1"/>
  <c r="E1176" i="1"/>
  <c r="D1176" i="1"/>
  <c r="C1176" i="1"/>
  <c r="B1176" i="1"/>
  <c r="E1175" i="1"/>
  <c r="D1175" i="1"/>
  <c r="C1175" i="1"/>
  <c r="B1175" i="1"/>
  <c r="E1174" i="1"/>
  <c r="D1174" i="1"/>
  <c r="C1174" i="1"/>
  <c r="B1174" i="1"/>
  <c r="E1173" i="1"/>
  <c r="D1173" i="1"/>
  <c r="C1173" i="1"/>
  <c r="B1173" i="1"/>
  <c r="E1172" i="1"/>
  <c r="D1172" i="1"/>
  <c r="C1172" i="1"/>
  <c r="B1172" i="1"/>
  <c r="E1171" i="1"/>
  <c r="D1171" i="1"/>
  <c r="C1171" i="1"/>
  <c r="B1171" i="1"/>
  <c r="E1170" i="1"/>
  <c r="D1170" i="1"/>
  <c r="C1170" i="1"/>
  <c r="B1170" i="1"/>
  <c r="E1169" i="1"/>
  <c r="D1169" i="1"/>
  <c r="C1169" i="1"/>
  <c r="B1169" i="1"/>
  <c r="E1168" i="1"/>
  <c r="D1168" i="1"/>
  <c r="C1168" i="1"/>
  <c r="B1168" i="1"/>
  <c r="E1167" i="1"/>
  <c r="D1167" i="1"/>
  <c r="C1167" i="1"/>
  <c r="B1167" i="1"/>
  <c r="E1166" i="1"/>
  <c r="D1166" i="1"/>
  <c r="C1166" i="1"/>
  <c r="B1166" i="1"/>
  <c r="E1165" i="1"/>
  <c r="D1165" i="1"/>
  <c r="C1165" i="1"/>
  <c r="B1165" i="1"/>
  <c r="E1164" i="1"/>
  <c r="D1164" i="1"/>
  <c r="C1164" i="1"/>
  <c r="B1164" i="1"/>
  <c r="E1163" i="1"/>
  <c r="D1163" i="1"/>
  <c r="C1163" i="1"/>
  <c r="B1163" i="1"/>
  <c r="E1162" i="1"/>
  <c r="D1162" i="1"/>
  <c r="C1162" i="1"/>
  <c r="B1162" i="1"/>
  <c r="E1161" i="1"/>
  <c r="D1161" i="1"/>
  <c r="C1161" i="1"/>
  <c r="B1161" i="1"/>
  <c r="E1160" i="1"/>
  <c r="D1160" i="1"/>
  <c r="C1160" i="1"/>
  <c r="B1160" i="1"/>
  <c r="E1159" i="1"/>
  <c r="D1159" i="1"/>
  <c r="C1159" i="1"/>
  <c r="B1159" i="1"/>
  <c r="E1158" i="1"/>
  <c r="D1158" i="1"/>
  <c r="C1158" i="1"/>
  <c r="B1158" i="1"/>
  <c r="E1157" i="1"/>
  <c r="D1157" i="1"/>
  <c r="C1157" i="1"/>
  <c r="B1157" i="1"/>
  <c r="E1156" i="1"/>
  <c r="D1156" i="1"/>
  <c r="C1156" i="1"/>
  <c r="B1156" i="1"/>
  <c r="E1155" i="1"/>
  <c r="D1155" i="1"/>
  <c r="C1155" i="1"/>
  <c r="B1155" i="1"/>
  <c r="E1154" i="1"/>
  <c r="D1154" i="1"/>
  <c r="C1154" i="1"/>
  <c r="B1154" i="1"/>
  <c r="E1153" i="1"/>
  <c r="D1153" i="1"/>
  <c r="C1153" i="1"/>
  <c r="B1153" i="1"/>
  <c r="E1152" i="1"/>
  <c r="D1152" i="1"/>
  <c r="C1152" i="1"/>
  <c r="B1152" i="1"/>
  <c r="E1151" i="1"/>
  <c r="D1151" i="1"/>
  <c r="C1151" i="1"/>
  <c r="B1151" i="1"/>
  <c r="E1150" i="1"/>
  <c r="D1150" i="1"/>
  <c r="C1150" i="1"/>
  <c r="B1150" i="1"/>
  <c r="E1149" i="1"/>
  <c r="D1149" i="1"/>
  <c r="C1149" i="1"/>
  <c r="B1149" i="1"/>
  <c r="E1148" i="1"/>
  <c r="D1148" i="1"/>
  <c r="C1148" i="1"/>
  <c r="B1148" i="1"/>
  <c r="E1147" i="1"/>
  <c r="D1147" i="1"/>
  <c r="C1147" i="1"/>
  <c r="B1147" i="1"/>
  <c r="E1146" i="1"/>
  <c r="D1146" i="1"/>
  <c r="C1146" i="1"/>
  <c r="B1146" i="1"/>
  <c r="E1145" i="1"/>
  <c r="D1145" i="1"/>
  <c r="C1145" i="1"/>
  <c r="B1145" i="1"/>
  <c r="E1144" i="1"/>
  <c r="D1144" i="1"/>
  <c r="C1144" i="1"/>
  <c r="B1144" i="1"/>
  <c r="E1143" i="1"/>
  <c r="D1143" i="1"/>
  <c r="C1143" i="1"/>
  <c r="B1143" i="1"/>
  <c r="E1142" i="1"/>
  <c r="D1142" i="1"/>
  <c r="C1142" i="1"/>
  <c r="B1142" i="1"/>
  <c r="E1141" i="1"/>
  <c r="D1141" i="1"/>
  <c r="C1141" i="1"/>
  <c r="B1141" i="1"/>
  <c r="E1140" i="1"/>
  <c r="D1140" i="1"/>
  <c r="C1140" i="1"/>
  <c r="B1140" i="1"/>
  <c r="E1139" i="1"/>
  <c r="D1139" i="1"/>
  <c r="C1139" i="1"/>
  <c r="B1139" i="1"/>
  <c r="E1138" i="1"/>
  <c r="D1138" i="1"/>
  <c r="C1138" i="1"/>
  <c r="B1138" i="1"/>
  <c r="E1137" i="1"/>
  <c r="D1137" i="1"/>
  <c r="C1137" i="1"/>
  <c r="B1137" i="1"/>
  <c r="E1136" i="1"/>
  <c r="D1136" i="1"/>
  <c r="C1136" i="1"/>
  <c r="B1136" i="1"/>
  <c r="E1135" i="1"/>
  <c r="D1135" i="1"/>
  <c r="C1135" i="1"/>
  <c r="B1135" i="1"/>
  <c r="E1134" i="1"/>
  <c r="D1134" i="1"/>
  <c r="C1134" i="1"/>
  <c r="B1134" i="1"/>
  <c r="E1133" i="1"/>
  <c r="D1133" i="1"/>
  <c r="C1133" i="1"/>
  <c r="B1133" i="1"/>
  <c r="E1132" i="1"/>
  <c r="D1132" i="1"/>
  <c r="C1132" i="1"/>
  <c r="B1132" i="1"/>
  <c r="E1131" i="1"/>
  <c r="D1131" i="1"/>
  <c r="C1131" i="1"/>
  <c r="B1131" i="1"/>
  <c r="E1130" i="1"/>
  <c r="D1130" i="1"/>
  <c r="C1130" i="1"/>
  <c r="B1130" i="1"/>
  <c r="E1129" i="1"/>
  <c r="D1129" i="1"/>
  <c r="C1129" i="1"/>
  <c r="B1129" i="1"/>
  <c r="E1128" i="1"/>
  <c r="D1128" i="1"/>
  <c r="C1128" i="1"/>
  <c r="B1128" i="1"/>
  <c r="E1127" i="1"/>
  <c r="D1127" i="1"/>
  <c r="C1127" i="1"/>
  <c r="B1127" i="1"/>
  <c r="E1126" i="1"/>
  <c r="D1126" i="1"/>
  <c r="C1126" i="1"/>
  <c r="B1126" i="1"/>
  <c r="E1125" i="1"/>
  <c r="D1125" i="1"/>
  <c r="C1125" i="1"/>
  <c r="B1125" i="1"/>
  <c r="E1124" i="1"/>
  <c r="D1124" i="1"/>
  <c r="C1124" i="1"/>
  <c r="B1124" i="1"/>
  <c r="E1123" i="1"/>
  <c r="D1123" i="1"/>
  <c r="C1123" i="1"/>
  <c r="B1123" i="1"/>
  <c r="E1122" i="1"/>
  <c r="D1122" i="1"/>
  <c r="C1122" i="1"/>
  <c r="B1122" i="1"/>
  <c r="E1121" i="1"/>
  <c r="D1121" i="1"/>
  <c r="C1121" i="1"/>
  <c r="B1121" i="1"/>
  <c r="E1120" i="1"/>
  <c r="D1120" i="1"/>
  <c r="C1120" i="1"/>
  <c r="B1120" i="1"/>
  <c r="E1119" i="1"/>
  <c r="D1119" i="1"/>
  <c r="C1119" i="1"/>
  <c r="B1119" i="1"/>
  <c r="E1118" i="1"/>
  <c r="D1118" i="1"/>
  <c r="C1118" i="1"/>
  <c r="B1118" i="1"/>
  <c r="E1117" i="1"/>
  <c r="D1117" i="1"/>
  <c r="C1117" i="1"/>
  <c r="B1117" i="1"/>
  <c r="E1116" i="1"/>
  <c r="D1116" i="1"/>
  <c r="C1116" i="1"/>
  <c r="B1116" i="1"/>
  <c r="E1115" i="1"/>
  <c r="D1115" i="1"/>
  <c r="C1115" i="1"/>
  <c r="B1115" i="1"/>
  <c r="E1114" i="1"/>
  <c r="D1114" i="1"/>
  <c r="C1114" i="1"/>
  <c r="B1114" i="1"/>
  <c r="E1113" i="1"/>
  <c r="D1113" i="1"/>
  <c r="C1113" i="1"/>
  <c r="B1113" i="1"/>
  <c r="E1112" i="1"/>
  <c r="D1112" i="1"/>
  <c r="C1112" i="1"/>
  <c r="B1112" i="1"/>
  <c r="E1111" i="1"/>
  <c r="D1111" i="1"/>
  <c r="C1111" i="1"/>
  <c r="B1111" i="1"/>
  <c r="E1110" i="1"/>
  <c r="D1110" i="1"/>
  <c r="C1110" i="1"/>
  <c r="B1110" i="1"/>
  <c r="E1109" i="1"/>
  <c r="D1109" i="1"/>
  <c r="C1109" i="1"/>
  <c r="B1109" i="1"/>
  <c r="E1108" i="1"/>
  <c r="D1108" i="1"/>
  <c r="C1108" i="1"/>
  <c r="B1108" i="1"/>
  <c r="E1107" i="1"/>
  <c r="D1107" i="1"/>
  <c r="C1107" i="1"/>
  <c r="B1107" i="1"/>
  <c r="E1106" i="1"/>
  <c r="D1106" i="1"/>
  <c r="C1106" i="1"/>
  <c r="B1106" i="1"/>
  <c r="E1105" i="1"/>
  <c r="D1105" i="1"/>
  <c r="C1105" i="1"/>
  <c r="B1105" i="1"/>
  <c r="E1104" i="1"/>
  <c r="D1104" i="1"/>
  <c r="C1104" i="1"/>
  <c r="B1104" i="1"/>
  <c r="E1103" i="1"/>
  <c r="D1103" i="1"/>
  <c r="C1103" i="1"/>
  <c r="B1103" i="1"/>
  <c r="E1102" i="1"/>
  <c r="D1102" i="1"/>
  <c r="C1102" i="1"/>
  <c r="B1102" i="1"/>
  <c r="E1101" i="1"/>
  <c r="D1101" i="1"/>
  <c r="C1101" i="1"/>
  <c r="B1101" i="1"/>
  <c r="E1100" i="1"/>
  <c r="D1100" i="1"/>
  <c r="C1100" i="1"/>
  <c r="B1100" i="1"/>
  <c r="E1099" i="1"/>
  <c r="D1099" i="1"/>
  <c r="C1099" i="1"/>
  <c r="B1099" i="1"/>
  <c r="E1098" i="1"/>
  <c r="D1098" i="1"/>
  <c r="C1098" i="1"/>
  <c r="B1098" i="1"/>
  <c r="E1097" i="1"/>
  <c r="D1097" i="1"/>
  <c r="C1097" i="1"/>
  <c r="B1097" i="1"/>
  <c r="E1096" i="1"/>
  <c r="D1096" i="1"/>
  <c r="C1096" i="1"/>
  <c r="B1096" i="1"/>
  <c r="E1095" i="1"/>
  <c r="D1095" i="1"/>
  <c r="C1095" i="1"/>
  <c r="B1095" i="1"/>
  <c r="E1094" i="1"/>
  <c r="D1094" i="1"/>
  <c r="C1094" i="1"/>
  <c r="B1094" i="1"/>
  <c r="E1093" i="1"/>
  <c r="D1093" i="1"/>
  <c r="C1093" i="1"/>
  <c r="B1093" i="1"/>
  <c r="E1092" i="1"/>
  <c r="D1092" i="1"/>
  <c r="C1092" i="1"/>
  <c r="B1092" i="1"/>
  <c r="E1091" i="1"/>
  <c r="D1091" i="1"/>
  <c r="C1091" i="1"/>
  <c r="B1091" i="1"/>
  <c r="E1090" i="1"/>
  <c r="D1090" i="1"/>
  <c r="C1090" i="1"/>
  <c r="B1090" i="1"/>
  <c r="E1089" i="1"/>
  <c r="D1089" i="1"/>
  <c r="C1089" i="1"/>
  <c r="B1089" i="1"/>
  <c r="E1088" i="1"/>
  <c r="D1088" i="1"/>
  <c r="C1088" i="1"/>
  <c r="B1088" i="1"/>
  <c r="E1087" i="1"/>
  <c r="D1087" i="1"/>
  <c r="C1087" i="1"/>
  <c r="B1087" i="1"/>
  <c r="E1086" i="1"/>
  <c r="D1086" i="1"/>
  <c r="C1086" i="1"/>
  <c r="B1086" i="1"/>
  <c r="E1085" i="1"/>
  <c r="D1085" i="1"/>
  <c r="C1085" i="1"/>
  <c r="B1085" i="1"/>
  <c r="E1084" i="1"/>
  <c r="D1084" i="1"/>
  <c r="C1084" i="1"/>
  <c r="B1084" i="1"/>
  <c r="E1083" i="1"/>
  <c r="D1083" i="1"/>
  <c r="C1083" i="1"/>
  <c r="B1083" i="1"/>
  <c r="E1082" i="1"/>
  <c r="D1082" i="1"/>
  <c r="C1082" i="1"/>
  <c r="B1082" i="1"/>
  <c r="E1081" i="1"/>
  <c r="D1081" i="1"/>
  <c r="C1081" i="1"/>
  <c r="B1081" i="1"/>
  <c r="E1080" i="1"/>
  <c r="D1080" i="1"/>
  <c r="C1080" i="1"/>
  <c r="B1080" i="1"/>
  <c r="E1079" i="1"/>
  <c r="D1079" i="1"/>
  <c r="C1079" i="1"/>
  <c r="B1079" i="1"/>
  <c r="E1078" i="1"/>
  <c r="D1078" i="1"/>
  <c r="C1078" i="1"/>
  <c r="B1078" i="1"/>
  <c r="E1077" i="1"/>
  <c r="D1077" i="1"/>
  <c r="C1077" i="1"/>
  <c r="B1077" i="1"/>
  <c r="E1076" i="1"/>
  <c r="D1076" i="1"/>
  <c r="C1076" i="1"/>
  <c r="B1076" i="1"/>
  <c r="E1075" i="1"/>
  <c r="D1075" i="1"/>
  <c r="C1075" i="1"/>
  <c r="B1075" i="1"/>
  <c r="E1074" i="1"/>
  <c r="D1074" i="1"/>
  <c r="C1074" i="1"/>
  <c r="B1074" i="1"/>
  <c r="E1073" i="1"/>
  <c r="D1073" i="1"/>
  <c r="C1073" i="1"/>
  <c r="B1073" i="1"/>
  <c r="E1072" i="1"/>
  <c r="D1072" i="1"/>
  <c r="C1072" i="1"/>
  <c r="B1072" i="1"/>
  <c r="E1071" i="1"/>
  <c r="D1071" i="1"/>
  <c r="C1071" i="1"/>
  <c r="B1071" i="1"/>
  <c r="E1070" i="1"/>
  <c r="D1070" i="1"/>
  <c r="C1070" i="1"/>
  <c r="B1070" i="1"/>
  <c r="E1069" i="1"/>
  <c r="D1069" i="1"/>
  <c r="C1069" i="1"/>
  <c r="B1069" i="1"/>
  <c r="E1068" i="1"/>
  <c r="D1068" i="1"/>
  <c r="C1068" i="1"/>
  <c r="B1068" i="1"/>
  <c r="E1067" i="1"/>
  <c r="D1067" i="1"/>
  <c r="C1067" i="1"/>
  <c r="B1067" i="1"/>
  <c r="E1066" i="1"/>
  <c r="D1066" i="1"/>
  <c r="C1066" i="1"/>
  <c r="B1066" i="1"/>
  <c r="E1065" i="1"/>
  <c r="D1065" i="1"/>
  <c r="C1065" i="1"/>
  <c r="B1065" i="1"/>
  <c r="E1064" i="1"/>
  <c r="D1064" i="1"/>
  <c r="C1064" i="1"/>
  <c r="B1064" i="1"/>
  <c r="E1063" i="1"/>
  <c r="D1063" i="1"/>
  <c r="C1063" i="1"/>
  <c r="B1063" i="1"/>
  <c r="E1062" i="1"/>
  <c r="D1062" i="1"/>
  <c r="C1062" i="1"/>
  <c r="B1062" i="1"/>
  <c r="E1061" i="1"/>
  <c r="D1061" i="1"/>
  <c r="C1061" i="1"/>
  <c r="B1061" i="1"/>
  <c r="E1060" i="1"/>
  <c r="D1060" i="1"/>
  <c r="C1060" i="1"/>
  <c r="B1060" i="1"/>
  <c r="E1059" i="1"/>
  <c r="D1059" i="1"/>
  <c r="C1059" i="1"/>
  <c r="B1059" i="1"/>
  <c r="E1058" i="1"/>
  <c r="D1058" i="1"/>
  <c r="C1058" i="1"/>
  <c r="B1058" i="1"/>
  <c r="E1057" i="1"/>
  <c r="D1057" i="1"/>
  <c r="C1057" i="1"/>
  <c r="B1057" i="1"/>
  <c r="E1056" i="1"/>
  <c r="D1056" i="1"/>
  <c r="C1056" i="1"/>
  <c r="B1056" i="1"/>
  <c r="E1055" i="1"/>
  <c r="D1055" i="1"/>
  <c r="C1055" i="1"/>
  <c r="B1055" i="1"/>
  <c r="E1054" i="1"/>
  <c r="D1054" i="1"/>
  <c r="C1054" i="1"/>
  <c r="B1054" i="1"/>
  <c r="E1053" i="1"/>
  <c r="D1053" i="1"/>
  <c r="C1053" i="1"/>
  <c r="B1053" i="1"/>
  <c r="E1052" i="1"/>
  <c r="D1052" i="1"/>
  <c r="C1052" i="1"/>
  <c r="B1052" i="1"/>
  <c r="E1051" i="1"/>
  <c r="D1051" i="1"/>
  <c r="C1051" i="1"/>
  <c r="B1051" i="1"/>
  <c r="E1050" i="1"/>
  <c r="D1050" i="1"/>
  <c r="C1050" i="1"/>
  <c r="B1050" i="1"/>
  <c r="E1049" i="1"/>
  <c r="D1049" i="1"/>
  <c r="C1049" i="1"/>
  <c r="B1049" i="1"/>
  <c r="E1048" i="1"/>
  <c r="D1048" i="1"/>
  <c r="C1048" i="1"/>
  <c r="B1048" i="1"/>
  <c r="E1047" i="1"/>
  <c r="D1047" i="1"/>
  <c r="C1047" i="1"/>
  <c r="B1047" i="1"/>
  <c r="E1046" i="1"/>
  <c r="D1046" i="1"/>
  <c r="C1046" i="1"/>
  <c r="B1046" i="1"/>
  <c r="E1045" i="1"/>
  <c r="D1045" i="1"/>
  <c r="C1045" i="1"/>
  <c r="B1045" i="1"/>
  <c r="E1044" i="1"/>
  <c r="D1044" i="1"/>
  <c r="C1044" i="1"/>
  <c r="B1044" i="1"/>
  <c r="E1043" i="1"/>
  <c r="D1043" i="1"/>
  <c r="C1043" i="1"/>
  <c r="B1043" i="1"/>
  <c r="E1042" i="1"/>
  <c r="D1042" i="1"/>
  <c r="C1042" i="1"/>
  <c r="B1042" i="1"/>
  <c r="E1041" i="1"/>
  <c r="D1041" i="1"/>
  <c r="C1041" i="1"/>
  <c r="B1041" i="1"/>
  <c r="E1040" i="1"/>
  <c r="D1040" i="1"/>
  <c r="C1040" i="1"/>
  <c r="B1040" i="1"/>
  <c r="E1039" i="1"/>
  <c r="D1039" i="1"/>
  <c r="C1039" i="1"/>
  <c r="B1039" i="1"/>
  <c r="E1038" i="1"/>
  <c r="D1038" i="1"/>
  <c r="C1038" i="1"/>
  <c r="B1038" i="1"/>
  <c r="E1037" i="1"/>
  <c r="D1037" i="1"/>
  <c r="C1037" i="1"/>
  <c r="B1037" i="1"/>
  <c r="E1036" i="1"/>
  <c r="D1036" i="1"/>
  <c r="C1036" i="1"/>
  <c r="B1036" i="1"/>
  <c r="E1035" i="1"/>
  <c r="D1035" i="1"/>
  <c r="C1035" i="1"/>
  <c r="B1035" i="1"/>
  <c r="E1034" i="1"/>
  <c r="D1034" i="1"/>
  <c r="C1034" i="1"/>
  <c r="B1034" i="1"/>
  <c r="E1033" i="1"/>
  <c r="D1033" i="1"/>
  <c r="C1033" i="1"/>
  <c r="B1033" i="1"/>
  <c r="E1032" i="1"/>
  <c r="D1032" i="1"/>
  <c r="C1032" i="1"/>
  <c r="B1032" i="1"/>
  <c r="E1031" i="1"/>
  <c r="D1031" i="1"/>
  <c r="C1031" i="1"/>
  <c r="B1031" i="1"/>
  <c r="E1030" i="1"/>
  <c r="D1030" i="1"/>
  <c r="C1030" i="1"/>
  <c r="B1030" i="1"/>
  <c r="E1029" i="1"/>
  <c r="D1029" i="1"/>
  <c r="C1029" i="1"/>
  <c r="B1029" i="1"/>
  <c r="E1028" i="1"/>
  <c r="D1028" i="1"/>
  <c r="C1028" i="1"/>
  <c r="B1028" i="1"/>
  <c r="E1027" i="1"/>
  <c r="D1027" i="1"/>
  <c r="C1027" i="1"/>
  <c r="B1027" i="1"/>
  <c r="E1026" i="1"/>
  <c r="D1026" i="1"/>
  <c r="C1026" i="1"/>
  <c r="B1026" i="1"/>
  <c r="E1025" i="1"/>
  <c r="D1025" i="1"/>
  <c r="C1025" i="1"/>
  <c r="B1025" i="1"/>
  <c r="E1024" i="1"/>
  <c r="D1024" i="1"/>
  <c r="C1024" i="1"/>
  <c r="B1024" i="1"/>
  <c r="E1023" i="1"/>
  <c r="D1023" i="1"/>
  <c r="C1023" i="1"/>
  <c r="B1023" i="1"/>
  <c r="E1022" i="1"/>
  <c r="D1022" i="1"/>
  <c r="C1022" i="1"/>
  <c r="B1022" i="1"/>
  <c r="E1021" i="1"/>
  <c r="D1021" i="1"/>
  <c r="C1021" i="1"/>
  <c r="B1021" i="1"/>
  <c r="E1020" i="1"/>
  <c r="D1020" i="1"/>
  <c r="C1020" i="1"/>
  <c r="B1020" i="1"/>
  <c r="E1019" i="1"/>
  <c r="D1019" i="1"/>
  <c r="C1019" i="1"/>
  <c r="B1019" i="1"/>
  <c r="E1018" i="1"/>
  <c r="D1018" i="1"/>
  <c r="C1018" i="1"/>
  <c r="B1018" i="1"/>
  <c r="E1017" i="1"/>
  <c r="D1017" i="1"/>
  <c r="C1017" i="1"/>
  <c r="B1017" i="1"/>
  <c r="E1016" i="1"/>
  <c r="D1016" i="1"/>
  <c r="C1016" i="1"/>
  <c r="B1016" i="1"/>
  <c r="E1015" i="1"/>
  <c r="D1015" i="1"/>
  <c r="C1015" i="1"/>
  <c r="B1015" i="1"/>
  <c r="E1014" i="1"/>
  <c r="D1014" i="1"/>
  <c r="C1014" i="1"/>
  <c r="B1014" i="1"/>
  <c r="E1013" i="1"/>
  <c r="D1013" i="1"/>
  <c r="C1013" i="1"/>
  <c r="B1013" i="1"/>
  <c r="E1012" i="1"/>
  <c r="D1012" i="1"/>
  <c r="C1012" i="1"/>
  <c r="B1012" i="1"/>
  <c r="E1011" i="1"/>
  <c r="D1011" i="1"/>
  <c r="C1011" i="1"/>
  <c r="B1011" i="1"/>
  <c r="E1010" i="1"/>
  <c r="D1010" i="1"/>
  <c r="C1010" i="1"/>
  <c r="B1010" i="1"/>
  <c r="E1009" i="1"/>
  <c r="D1009" i="1"/>
  <c r="C1009" i="1"/>
  <c r="B1009" i="1"/>
  <c r="E1008" i="1"/>
  <c r="D1008" i="1"/>
  <c r="C1008" i="1"/>
  <c r="B1008" i="1"/>
  <c r="E1007" i="1"/>
  <c r="D1007" i="1"/>
  <c r="C1007" i="1"/>
  <c r="B1007" i="1"/>
  <c r="E1006" i="1"/>
  <c r="D1006" i="1"/>
  <c r="C1006" i="1"/>
  <c r="B1006" i="1"/>
  <c r="E1005" i="1"/>
  <c r="D1005" i="1"/>
  <c r="C1005" i="1"/>
  <c r="B1005" i="1"/>
  <c r="E1004" i="1"/>
  <c r="D1004" i="1"/>
  <c r="C1004" i="1"/>
  <c r="B1004" i="1"/>
  <c r="E1003" i="1"/>
  <c r="D1003" i="1"/>
  <c r="C1003" i="1"/>
  <c r="B1003" i="1"/>
  <c r="E1002" i="1"/>
  <c r="D1002" i="1"/>
  <c r="C1002" i="1"/>
  <c r="B1002" i="1"/>
  <c r="E1001" i="1"/>
  <c r="D1001" i="1"/>
  <c r="C1001" i="1"/>
  <c r="B1001" i="1"/>
  <c r="E1000" i="1"/>
  <c r="D1000" i="1"/>
  <c r="C1000" i="1"/>
  <c r="B1000" i="1"/>
  <c r="E999" i="1"/>
  <c r="D999" i="1"/>
  <c r="C999" i="1"/>
  <c r="B999" i="1"/>
  <c r="E998" i="1"/>
  <c r="D998" i="1"/>
  <c r="C998" i="1"/>
  <c r="B998" i="1"/>
  <c r="E997" i="1"/>
  <c r="D997" i="1"/>
  <c r="C997" i="1"/>
  <c r="B997" i="1"/>
  <c r="E996" i="1"/>
  <c r="D996" i="1"/>
  <c r="C996" i="1"/>
  <c r="B996" i="1"/>
  <c r="E995" i="1"/>
  <c r="D995" i="1"/>
  <c r="C995" i="1"/>
  <c r="B995" i="1"/>
  <c r="E994" i="1"/>
  <c r="D994" i="1"/>
  <c r="C994" i="1"/>
  <c r="B994" i="1"/>
  <c r="E993" i="1"/>
  <c r="D993" i="1"/>
  <c r="C993" i="1"/>
  <c r="B993" i="1"/>
  <c r="E992" i="1"/>
  <c r="D992" i="1"/>
  <c r="C992" i="1"/>
  <c r="B992" i="1"/>
  <c r="E991" i="1"/>
  <c r="D991" i="1"/>
  <c r="C991" i="1"/>
  <c r="B991" i="1"/>
  <c r="E990" i="1"/>
  <c r="D990" i="1"/>
  <c r="C990" i="1"/>
  <c r="B990" i="1"/>
  <c r="E989" i="1"/>
  <c r="D989" i="1"/>
  <c r="C989" i="1"/>
  <c r="B989" i="1"/>
  <c r="E988" i="1"/>
  <c r="D988" i="1"/>
  <c r="C988" i="1"/>
  <c r="B988" i="1"/>
  <c r="E987" i="1"/>
  <c r="D987" i="1"/>
  <c r="C987" i="1"/>
  <c r="B987" i="1"/>
  <c r="E986" i="1"/>
  <c r="D986" i="1"/>
  <c r="C986" i="1"/>
  <c r="B986" i="1"/>
  <c r="E985" i="1"/>
  <c r="D985" i="1"/>
  <c r="C985" i="1"/>
  <c r="B985" i="1"/>
  <c r="E984" i="1"/>
  <c r="D984" i="1"/>
  <c r="C984" i="1"/>
  <c r="B984" i="1"/>
  <c r="E983" i="1"/>
  <c r="D983" i="1"/>
  <c r="C983" i="1"/>
  <c r="B983" i="1"/>
  <c r="E982" i="1"/>
  <c r="D982" i="1"/>
  <c r="C982" i="1"/>
  <c r="B982" i="1"/>
  <c r="E981" i="1"/>
  <c r="D981" i="1"/>
  <c r="C981" i="1"/>
  <c r="B981" i="1"/>
  <c r="E980" i="1"/>
  <c r="D980" i="1"/>
  <c r="C980" i="1"/>
  <c r="B980" i="1"/>
  <c r="E979" i="1"/>
  <c r="D979" i="1"/>
  <c r="C979" i="1"/>
  <c r="B979" i="1"/>
  <c r="E978" i="1"/>
  <c r="D978" i="1"/>
  <c r="C978" i="1"/>
  <c r="B978" i="1"/>
  <c r="E977" i="1"/>
  <c r="D977" i="1"/>
  <c r="C977" i="1"/>
  <c r="B977" i="1"/>
  <c r="E976" i="1"/>
  <c r="D976" i="1"/>
  <c r="C976" i="1"/>
  <c r="B976" i="1"/>
  <c r="E975" i="1"/>
  <c r="D975" i="1"/>
  <c r="C975" i="1"/>
  <c r="B975" i="1"/>
  <c r="E974" i="1"/>
  <c r="D974" i="1"/>
  <c r="C974" i="1"/>
  <c r="B974" i="1"/>
  <c r="E973" i="1"/>
  <c r="D973" i="1"/>
  <c r="C973" i="1"/>
  <c r="B973" i="1"/>
  <c r="E972" i="1"/>
  <c r="D972" i="1"/>
  <c r="C972" i="1"/>
  <c r="B972" i="1"/>
  <c r="E971" i="1"/>
  <c r="D971" i="1"/>
  <c r="C971" i="1"/>
  <c r="B971" i="1"/>
  <c r="E970" i="1"/>
  <c r="D970" i="1"/>
  <c r="C970" i="1"/>
  <c r="B970" i="1"/>
  <c r="E969" i="1"/>
  <c r="D969" i="1"/>
  <c r="C969" i="1"/>
  <c r="B969" i="1"/>
  <c r="E968" i="1"/>
  <c r="D968" i="1"/>
  <c r="C968" i="1"/>
  <c r="B968" i="1"/>
  <c r="E967" i="1"/>
  <c r="D967" i="1"/>
  <c r="C967" i="1"/>
  <c r="B967" i="1"/>
  <c r="E966" i="1"/>
  <c r="D966" i="1"/>
  <c r="C966" i="1"/>
  <c r="B966" i="1"/>
  <c r="E965" i="1"/>
  <c r="D965" i="1"/>
  <c r="C965" i="1"/>
  <c r="B965" i="1"/>
  <c r="E964" i="1"/>
  <c r="D964" i="1"/>
  <c r="C964" i="1"/>
  <c r="B964" i="1"/>
  <c r="E963" i="1"/>
  <c r="D963" i="1"/>
  <c r="C963" i="1"/>
  <c r="B963" i="1"/>
  <c r="E962" i="1"/>
  <c r="D962" i="1"/>
  <c r="C962" i="1"/>
  <c r="B962" i="1"/>
  <c r="E961" i="1"/>
  <c r="D961" i="1"/>
  <c r="C961" i="1"/>
  <c r="B961" i="1"/>
  <c r="E960" i="1"/>
  <c r="D960" i="1"/>
  <c r="C960" i="1"/>
  <c r="B960" i="1"/>
  <c r="E959" i="1"/>
  <c r="D959" i="1"/>
  <c r="C959" i="1"/>
  <c r="B959" i="1"/>
  <c r="E958" i="1"/>
  <c r="D958" i="1"/>
  <c r="C958" i="1"/>
  <c r="B958" i="1"/>
  <c r="E957" i="1"/>
  <c r="D957" i="1"/>
  <c r="C957" i="1"/>
  <c r="B957" i="1"/>
  <c r="E956" i="1"/>
  <c r="D956" i="1"/>
  <c r="C956" i="1"/>
  <c r="B956" i="1"/>
  <c r="E955" i="1"/>
  <c r="D955" i="1"/>
  <c r="C955" i="1"/>
  <c r="B955" i="1"/>
  <c r="E954" i="1"/>
  <c r="D954" i="1"/>
  <c r="C954" i="1"/>
  <c r="B954" i="1"/>
  <c r="E953" i="1"/>
  <c r="D953" i="1"/>
  <c r="C953" i="1"/>
  <c r="B953" i="1"/>
  <c r="E952" i="1"/>
  <c r="D952" i="1"/>
  <c r="C952" i="1"/>
  <c r="B952" i="1"/>
  <c r="E951" i="1"/>
  <c r="D951" i="1"/>
  <c r="C951" i="1"/>
  <c r="B951" i="1"/>
  <c r="E950" i="1"/>
  <c r="D950" i="1"/>
  <c r="C950" i="1"/>
  <c r="B950" i="1"/>
  <c r="E949" i="1"/>
  <c r="D949" i="1"/>
  <c r="C949" i="1"/>
  <c r="B949" i="1"/>
  <c r="E948" i="1"/>
  <c r="D948" i="1"/>
  <c r="C948" i="1"/>
  <c r="B948" i="1"/>
  <c r="E947" i="1"/>
  <c r="D947" i="1"/>
  <c r="C947" i="1"/>
  <c r="B947" i="1"/>
  <c r="E946" i="1"/>
  <c r="D946" i="1"/>
  <c r="C946" i="1"/>
  <c r="B946" i="1"/>
  <c r="E945" i="1"/>
  <c r="D945" i="1"/>
  <c r="C945" i="1"/>
  <c r="B945" i="1"/>
  <c r="E944" i="1"/>
  <c r="D944" i="1"/>
  <c r="C944" i="1"/>
  <c r="B944" i="1"/>
  <c r="E943" i="1"/>
  <c r="D943" i="1"/>
  <c r="C943" i="1"/>
  <c r="B943" i="1"/>
  <c r="E942" i="1"/>
  <c r="D942" i="1"/>
  <c r="C942" i="1"/>
  <c r="B942" i="1"/>
  <c r="E941" i="1"/>
  <c r="D941" i="1"/>
  <c r="C941" i="1"/>
  <c r="B941" i="1"/>
  <c r="E940" i="1"/>
  <c r="D940" i="1"/>
  <c r="C940" i="1"/>
  <c r="B940" i="1"/>
  <c r="E939" i="1"/>
  <c r="D939" i="1"/>
  <c r="C939" i="1"/>
  <c r="B939" i="1"/>
  <c r="E938" i="1"/>
  <c r="D938" i="1"/>
  <c r="C938" i="1"/>
  <c r="B938" i="1"/>
  <c r="E937" i="1"/>
  <c r="D937" i="1"/>
  <c r="C937" i="1"/>
  <c r="B937" i="1"/>
  <c r="E936" i="1"/>
  <c r="D936" i="1"/>
  <c r="C936" i="1"/>
  <c r="B936" i="1"/>
  <c r="E935" i="1"/>
  <c r="D935" i="1"/>
  <c r="C935" i="1"/>
  <c r="B935" i="1"/>
  <c r="E934" i="1"/>
  <c r="D934" i="1"/>
  <c r="C934" i="1"/>
  <c r="B934" i="1"/>
  <c r="E933" i="1"/>
  <c r="D933" i="1"/>
  <c r="C933" i="1"/>
  <c r="B933" i="1"/>
  <c r="E932" i="1"/>
  <c r="D932" i="1"/>
  <c r="C932" i="1"/>
  <c r="B932" i="1"/>
  <c r="E931" i="1"/>
  <c r="D931" i="1"/>
  <c r="C931" i="1"/>
  <c r="B931" i="1"/>
  <c r="E930" i="1"/>
  <c r="D930" i="1"/>
  <c r="C930" i="1"/>
  <c r="B930" i="1"/>
  <c r="E929" i="1"/>
  <c r="D929" i="1"/>
  <c r="C929" i="1"/>
  <c r="B929" i="1"/>
  <c r="E928" i="1"/>
  <c r="D928" i="1"/>
  <c r="C928" i="1"/>
  <c r="B928" i="1"/>
  <c r="E927" i="1"/>
  <c r="D927" i="1"/>
  <c r="C927" i="1"/>
  <c r="B927" i="1"/>
  <c r="E926" i="1"/>
  <c r="D926" i="1"/>
  <c r="C926" i="1"/>
  <c r="B926" i="1"/>
  <c r="E925" i="1"/>
  <c r="D925" i="1"/>
  <c r="C925" i="1"/>
  <c r="B925" i="1"/>
  <c r="E924" i="1"/>
  <c r="D924" i="1"/>
  <c r="C924" i="1"/>
  <c r="B924" i="1"/>
  <c r="E923" i="1"/>
  <c r="D923" i="1"/>
  <c r="C923" i="1"/>
  <c r="B923" i="1"/>
  <c r="E922" i="1"/>
  <c r="D922" i="1"/>
  <c r="C922" i="1"/>
  <c r="B922" i="1"/>
  <c r="E921" i="1"/>
  <c r="D921" i="1"/>
  <c r="C921" i="1"/>
  <c r="B921" i="1"/>
  <c r="A921" i="1"/>
  <c r="E920" i="1"/>
  <c r="D920" i="1"/>
  <c r="C920" i="1"/>
  <c r="B920" i="1"/>
  <c r="A920" i="1"/>
  <c r="E919" i="1"/>
  <c r="D919" i="1"/>
  <c r="C919" i="1"/>
  <c r="B919" i="1"/>
  <c r="A919" i="1"/>
  <c r="E918" i="1"/>
  <c r="D918" i="1"/>
  <c r="C918" i="1"/>
  <c r="B918" i="1"/>
  <c r="A918" i="1"/>
  <c r="E917" i="1"/>
  <c r="D917" i="1"/>
  <c r="C917" i="1"/>
  <c r="B917" i="1"/>
  <c r="A917" i="1"/>
  <c r="E916" i="1"/>
  <c r="D916" i="1"/>
  <c r="C916" i="1"/>
  <c r="B916" i="1"/>
  <c r="A916" i="1"/>
  <c r="E915" i="1"/>
  <c r="D915" i="1"/>
  <c r="C915" i="1"/>
  <c r="B915" i="1"/>
  <c r="A915" i="1"/>
  <c r="E914" i="1"/>
  <c r="D914" i="1"/>
  <c r="C914" i="1"/>
  <c r="B914" i="1"/>
  <c r="A914" i="1"/>
  <c r="E913" i="1"/>
  <c r="D913" i="1"/>
  <c r="C913" i="1"/>
  <c r="B913" i="1"/>
  <c r="A913" i="1"/>
  <c r="E912" i="1"/>
  <c r="D912" i="1"/>
  <c r="C912" i="1"/>
  <c r="B912" i="1"/>
  <c r="A912" i="1"/>
  <c r="E911" i="1"/>
  <c r="D911" i="1"/>
  <c r="C911" i="1"/>
  <c r="B911" i="1"/>
  <c r="A911" i="1"/>
  <c r="E910" i="1"/>
  <c r="D910" i="1"/>
  <c r="C910" i="1"/>
  <c r="B910" i="1"/>
  <c r="A910" i="1"/>
  <c r="E909" i="1"/>
  <c r="D909" i="1"/>
  <c r="C909" i="1"/>
  <c r="B909" i="1"/>
  <c r="A909" i="1"/>
  <c r="E908" i="1"/>
  <c r="D908" i="1"/>
  <c r="C908" i="1"/>
  <c r="B908" i="1"/>
  <c r="A908" i="1"/>
  <c r="E907" i="1"/>
  <c r="D907" i="1"/>
  <c r="C907" i="1"/>
  <c r="B907" i="1"/>
  <c r="A907" i="1"/>
  <c r="E906" i="1"/>
  <c r="D906" i="1"/>
  <c r="C906" i="1"/>
  <c r="B906" i="1"/>
  <c r="A906" i="1"/>
  <c r="E905" i="1"/>
  <c r="D905" i="1"/>
  <c r="C905" i="1"/>
  <c r="B905" i="1"/>
  <c r="A905" i="1"/>
  <c r="E904" i="1"/>
  <c r="D904" i="1"/>
  <c r="C904" i="1"/>
  <c r="B904" i="1"/>
  <c r="A904" i="1"/>
  <c r="E903" i="1"/>
  <c r="D903" i="1"/>
  <c r="C903" i="1"/>
  <c r="B903" i="1"/>
  <c r="A903" i="1"/>
  <c r="E902" i="1"/>
  <c r="D902" i="1"/>
  <c r="C902" i="1"/>
  <c r="B902" i="1"/>
  <c r="A902" i="1"/>
  <c r="E901" i="1"/>
  <c r="D901" i="1"/>
  <c r="C901" i="1"/>
  <c r="B901" i="1"/>
  <c r="A901" i="1"/>
  <c r="E900" i="1"/>
  <c r="D900" i="1"/>
  <c r="C900" i="1"/>
  <c r="B900" i="1"/>
  <c r="A900" i="1"/>
  <c r="E899" i="1"/>
  <c r="D899" i="1"/>
  <c r="C899" i="1"/>
  <c r="B899" i="1"/>
  <c r="A899" i="1"/>
  <c r="E898" i="1"/>
  <c r="D898" i="1"/>
  <c r="C898" i="1"/>
  <c r="B898" i="1"/>
  <c r="A898" i="1"/>
  <c r="E897" i="1"/>
  <c r="D897" i="1"/>
  <c r="C897" i="1"/>
  <c r="B897" i="1"/>
  <c r="A897" i="1"/>
  <c r="E896" i="1"/>
  <c r="D896" i="1"/>
  <c r="C896" i="1"/>
  <c r="B896" i="1"/>
  <c r="A896" i="1"/>
  <c r="E895" i="1"/>
  <c r="D895" i="1"/>
  <c r="C895" i="1"/>
  <c r="B895" i="1"/>
  <c r="A895" i="1"/>
  <c r="E894" i="1"/>
  <c r="D894" i="1"/>
  <c r="C894" i="1"/>
  <c r="B894" i="1"/>
  <c r="A894" i="1"/>
  <c r="E893" i="1"/>
  <c r="D893" i="1"/>
  <c r="C893" i="1"/>
  <c r="B893" i="1"/>
  <c r="A893" i="1"/>
  <c r="E892" i="1"/>
  <c r="D892" i="1"/>
  <c r="C892" i="1"/>
  <c r="B892" i="1"/>
  <c r="A892" i="1"/>
  <c r="E891" i="1"/>
  <c r="D891" i="1"/>
  <c r="C891" i="1"/>
  <c r="B891" i="1"/>
  <c r="A891" i="1"/>
  <c r="E890" i="1"/>
  <c r="D890" i="1"/>
  <c r="C890" i="1"/>
  <c r="B890" i="1"/>
  <c r="A890" i="1"/>
  <c r="E889" i="1"/>
  <c r="D889" i="1"/>
  <c r="C889" i="1"/>
  <c r="B889" i="1"/>
  <c r="A889" i="1"/>
  <c r="E888" i="1"/>
  <c r="D888" i="1"/>
  <c r="C888" i="1"/>
  <c r="B888" i="1"/>
  <c r="A888" i="1"/>
  <c r="E887" i="1"/>
  <c r="D887" i="1"/>
  <c r="C887" i="1"/>
  <c r="B887" i="1"/>
  <c r="A887" i="1"/>
  <c r="E886" i="1"/>
  <c r="D886" i="1"/>
  <c r="C886" i="1"/>
  <c r="B886" i="1"/>
  <c r="A886" i="1"/>
  <c r="E885" i="1"/>
  <c r="D885" i="1"/>
  <c r="C885" i="1"/>
  <c r="B885" i="1"/>
  <c r="A885" i="1"/>
  <c r="E884" i="1"/>
  <c r="D884" i="1"/>
  <c r="C884" i="1"/>
  <c r="B884" i="1"/>
  <c r="A884" i="1"/>
  <c r="E883" i="1"/>
  <c r="D883" i="1"/>
  <c r="C883" i="1"/>
  <c r="B883" i="1"/>
  <c r="A883" i="1"/>
  <c r="E882" i="1"/>
  <c r="D882" i="1"/>
  <c r="C882" i="1"/>
  <c r="B882" i="1"/>
  <c r="A882" i="1"/>
  <c r="E881" i="1"/>
  <c r="D881" i="1"/>
  <c r="C881" i="1"/>
  <c r="B881" i="1"/>
  <c r="A881" i="1"/>
  <c r="E880" i="1"/>
  <c r="D880" i="1"/>
  <c r="C880" i="1"/>
  <c r="B880" i="1"/>
  <c r="A880" i="1"/>
  <c r="E879" i="1"/>
  <c r="D879" i="1"/>
  <c r="C879" i="1"/>
  <c r="B879" i="1"/>
  <c r="A879" i="1"/>
  <c r="E878" i="1"/>
  <c r="D878" i="1"/>
  <c r="C878" i="1"/>
  <c r="B878" i="1"/>
  <c r="A878" i="1"/>
  <c r="E877" i="1"/>
  <c r="D877" i="1"/>
  <c r="C877" i="1"/>
  <c r="B877" i="1"/>
  <c r="A877" i="1"/>
  <c r="E876" i="1"/>
  <c r="D876" i="1"/>
  <c r="C876" i="1"/>
  <c r="B876" i="1"/>
  <c r="A876" i="1"/>
  <c r="E875" i="1"/>
  <c r="D875" i="1"/>
  <c r="C875" i="1"/>
  <c r="B875" i="1"/>
  <c r="A875" i="1"/>
  <c r="E874" i="1"/>
  <c r="D874" i="1"/>
  <c r="C874" i="1"/>
  <c r="B874" i="1"/>
  <c r="A874" i="1"/>
  <c r="E873" i="1"/>
  <c r="D873" i="1"/>
  <c r="C873" i="1"/>
  <c r="B873" i="1"/>
  <c r="A873" i="1"/>
  <c r="E872" i="1"/>
  <c r="D872" i="1"/>
  <c r="C872" i="1"/>
  <c r="B872" i="1"/>
  <c r="A872" i="1"/>
  <c r="E871" i="1"/>
  <c r="D871" i="1"/>
  <c r="C871" i="1"/>
  <c r="B871" i="1"/>
  <c r="A871" i="1"/>
  <c r="E870" i="1"/>
  <c r="D870" i="1"/>
  <c r="C870" i="1"/>
  <c r="B870" i="1"/>
  <c r="A870" i="1"/>
  <c r="E869" i="1"/>
  <c r="D869" i="1"/>
  <c r="C869" i="1"/>
  <c r="B869" i="1"/>
  <c r="A869" i="1"/>
  <c r="E868" i="1"/>
  <c r="D868" i="1"/>
  <c r="C868" i="1"/>
  <c r="B868" i="1"/>
  <c r="A868" i="1"/>
  <c r="E867" i="1"/>
  <c r="D867" i="1"/>
  <c r="C867" i="1"/>
  <c r="B867" i="1"/>
  <c r="A867" i="1"/>
  <c r="E866" i="1"/>
  <c r="D866" i="1"/>
  <c r="C866" i="1"/>
  <c r="B866" i="1"/>
  <c r="A866" i="1"/>
  <c r="E865" i="1"/>
  <c r="D865" i="1"/>
  <c r="C865" i="1"/>
  <c r="B865" i="1"/>
  <c r="A865" i="1"/>
  <c r="E864" i="1"/>
  <c r="D864" i="1"/>
  <c r="C864" i="1"/>
  <c r="B864" i="1"/>
  <c r="A864" i="1"/>
  <c r="E863" i="1"/>
  <c r="D863" i="1"/>
  <c r="C863" i="1"/>
  <c r="B863" i="1"/>
  <c r="A863" i="1"/>
  <c r="E862" i="1"/>
  <c r="D862" i="1"/>
  <c r="C862" i="1"/>
  <c r="B862" i="1"/>
  <c r="A862" i="1"/>
  <c r="E861" i="1"/>
  <c r="D861" i="1"/>
  <c r="C861" i="1"/>
  <c r="B861" i="1"/>
  <c r="A861" i="1"/>
  <c r="E860" i="1"/>
  <c r="D860" i="1"/>
  <c r="C860" i="1"/>
  <c r="B860" i="1"/>
  <c r="A860" i="1"/>
  <c r="E859" i="1"/>
  <c r="D859" i="1"/>
  <c r="C859" i="1"/>
  <c r="B859" i="1"/>
  <c r="A859" i="1"/>
  <c r="E858" i="1"/>
  <c r="D858" i="1"/>
  <c r="C858" i="1"/>
  <c r="B858" i="1"/>
  <c r="A858" i="1"/>
  <c r="E857" i="1"/>
  <c r="D857" i="1"/>
  <c r="C857" i="1"/>
  <c r="B857" i="1"/>
  <c r="A857" i="1"/>
  <c r="E856" i="1"/>
  <c r="D856" i="1"/>
  <c r="C856" i="1"/>
  <c r="B856" i="1"/>
  <c r="A856" i="1"/>
  <c r="E855" i="1"/>
  <c r="D855" i="1"/>
  <c r="C855" i="1"/>
  <c r="B855" i="1"/>
  <c r="A855" i="1"/>
  <c r="E854" i="1"/>
  <c r="D854" i="1"/>
  <c r="C854" i="1"/>
  <c r="B854" i="1"/>
  <c r="A854" i="1"/>
  <c r="E853" i="1"/>
  <c r="D853" i="1"/>
  <c r="C853" i="1"/>
  <c r="B853" i="1"/>
  <c r="A853" i="1"/>
  <c r="E852" i="1"/>
  <c r="D852" i="1"/>
  <c r="C852" i="1"/>
  <c r="B852" i="1"/>
  <c r="A852" i="1"/>
  <c r="E851" i="1"/>
  <c r="D851" i="1"/>
  <c r="C851" i="1"/>
  <c r="B851" i="1"/>
  <c r="A851" i="1"/>
  <c r="E850" i="1"/>
  <c r="D850" i="1"/>
  <c r="C850" i="1"/>
  <c r="B850" i="1"/>
  <c r="A850" i="1"/>
  <c r="E849" i="1"/>
  <c r="D849" i="1"/>
  <c r="C849" i="1"/>
  <c r="B849" i="1"/>
  <c r="A849" i="1"/>
  <c r="E848" i="1"/>
  <c r="D848" i="1"/>
  <c r="C848" i="1"/>
  <c r="B848" i="1"/>
  <c r="A848" i="1"/>
  <c r="E847" i="1"/>
  <c r="D847" i="1"/>
  <c r="C847" i="1"/>
  <c r="B847" i="1"/>
  <c r="A847" i="1"/>
  <c r="E846" i="1"/>
  <c r="D846" i="1"/>
  <c r="C846" i="1"/>
  <c r="B846" i="1"/>
  <c r="A846" i="1"/>
  <c r="E845" i="1"/>
  <c r="D845" i="1"/>
  <c r="C845" i="1"/>
  <c r="B845" i="1"/>
  <c r="A845" i="1"/>
  <c r="E844" i="1"/>
  <c r="D844" i="1"/>
  <c r="C844" i="1"/>
  <c r="B844" i="1"/>
  <c r="A844" i="1"/>
  <c r="E843" i="1"/>
  <c r="D843" i="1"/>
  <c r="C843" i="1"/>
  <c r="B843" i="1"/>
  <c r="A843" i="1"/>
  <c r="E842" i="1"/>
  <c r="D842" i="1"/>
  <c r="C842" i="1"/>
  <c r="B842" i="1"/>
  <c r="A842" i="1"/>
  <c r="E841" i="1"/>
  <c r="D841" i="1"/>
  <c r="C841" i="1"/>
  <c r="B841" i="1"/>
  <c r="A841" i="1"/>
  <c r="E840" i="1"/>
  <c r="D840" i="1"/>
  <c r="C840" i="1"/>
  <c r="B840" i="1"/>
  <c r="A840" i="1"/>
  <c r="E839" i="1"/>
  <c r="D839" i="1"/>
  <c r="C839" i="1"/>
  <c r="B839" i="1"/>
  <c r="A839" i="1"/>
  <c r="E838" i="1"/>
  <c r="D838" i="1"/>
  <c r="C838" i="1"/>
  <c r="B838" i="1"/>
  <c r="A838" i="1"/>
  <c r="E837" i="1"/>
  <c r="D837" i="1"/>
  <c r="C837" i="1"/>
  <c r="B837" i="1"/>
  <c r="A837" i="1"/>
  <c r="E836" i="1"/>
  <c r="D836" i="1"/>
  <c r="C836" i="1"/>
  <c r="B836" i="1"/>
  <c r="A836" i="1"/>
  <c r="E835" i="1"/>
  <c r="D835" i="1"/>
  <c r="C835" i="1"/>
  <c r="B835" i="1"/>
  <c r="A835" i="1"/>
  <c r="E834" i="1"/>
  <c r="D834" i="1"/>
  <c r="C834" i="1"/>
  <c r="B834" i="1"/>
  <c r="A834" i="1"/>
  <c r="E833" i="1"/>
  <c r="D833" i="1"/>
  <c r="C833" i="1"/>
  <c r="B833" i="1"/>
  <c r="A833" i="1"/>
  <c r="E832" i="1"/>
  <c r="D832" i="1"/>
  <c r="C832" i="1"/>
  <c r="B832" i="1"/>
  <c r="A832" i="1"/>
  <c r="E831" i="1"/>
  <c r="D831" i="1"/>
  <c r="C831" i="1"/>
  <c r="B831" i="1"/>
  <c r="A831" i="1"/>
  <c r="E830" i="1"/>
  <c r="D830" i="1"/>
  <c r="C830" i="1"/>
  <c r="B830" i="1"/>
  <c r="A830" i="1"/>
  <c r="E829" i="1"/>
  <c r="D829" i="1"/>
  <c r="C829" i="1"/>
  <c r="B829" i="1"/>
  <c r="A829" i="1"/>
  <c r="E828" i="1"/>
  <c r="D828" i="1"/>
  <c r="C828" i="1"/>
  <c r="B828" i="1"/>
  <c r="A828" i="1"/>
  <c r="E827" i="1"/>
  <c r="D827" i="1"/>
  <c r="C827" i="1"/>
  <c r="B827" i="1"/>
  <c r="A827" i="1"/>
  <c r="E826" i="1"/>
  <c r="D826" i="1"/>
  <c r="C826" i="1"/>
  <c r="B826" i="1"/>
  <c r="A826" i="1"/>
  <c r="E825" i="1"/>
  <c r="D825" i="1"/>
  <c r="C825" i="1"/>
  <c r="B825" i="1"/>
  <c r="A825" i="1"/>
  <c r="E824" i="1"/>
  <c r="D824" i="1"/>
  <c r="C824" i="1"/>
  <c r="B824" i="1"/>
  <c r="A824" i="1"/>
  <c r="E823" i="1"/>
  <c r="D823" i="1"/>
  <c r="C823" i="1"/>
  <c r="B823" i="1"/>
  <c r="A823" i="1"/>
  <c r="E822" i="1"/>
  <c r="D822" i="1"/>
  <c r="C822" i="1"/>
  <c r="B822" i="1"/>
  <c r="A822" i="1"/>
  <c r="E821" i="1"/>
  <c r="D821" i="1"/>
  <c r="C821" i="1"/>
  <c r="B821" i="1"/>
  <c r="A821" i="1"/>
  <c r="E820" i="1"/>
  <c r="D820" i="1"/>
  <c r="C820" i="1"/>
  <c r="B820" i="1"/>
  <c r="A820" i="1"/>
  <c r="E819" i="1"/>
  <c r="D819" i="1"/>
  <c r="C819" i="1"/>
  <c r="B819" i="1"/>
  <c r="A819" i="1"/>
  <c r="E818" i="1"/>
  <c r="D818" i="1"/>
  <c r="C818" i="1"/>
  <c r="B818" i="1"/>
  <c r="A818" i="1"/>
  <c r="E817" i="1"/>
  <c r="D817" i="1"/>
  <c r="C817" i="1"/>
  <c r="B817" i="1"/>
  <c r="A817" i="1"/>
  <c r="E816" i="1"/>
  <c r="D816" i="1"/>
  <c r="C816" i="1"/>
  <c r="B816" i="1"/>
  <c r="A816" i="1"/>
  <c r="E815" i="1"/>
  <c r="D815" i="1"/>
  <c r="C815" i="1"/>
  <c r="B815" i="1"/>
  <c r="A815" i="1"/>
  <c r="E814" i="1"/>
  <c r="D814" i="1"/>
  <c r="C814" i="1"/>
  <c r="B814" i="1"/>
  <c r="A814" i="1"/>
  <c r="E813" i="1"/>
  <c r="D813" i="1"/>
  <c r="C813" i="1"/>
  <c r="B813" i="1"/>
  <c r="A813" i="1"/>
  <c r="E812" i="1"/>
  <c r="D812" i="1"/>
  <c r="C812" i="1"/>
  <c r="B812" i="1"/>
  <c r="A812" i="1"/>
  <c r="E811" i="1"/>
  <c r="D811" i="1"/>
  <c r="C811" i="1"/>
  <c r="B811" i="1"/>
  <c r="A811" i="1"/>
  <c r="E810" i="1"/>
  <c r="D810" i="1"/>
  <c r="C810" i="1"/>
  <c r="B810" i="1"/>
  <c r="A810" i="1"/>
  <c r="E809" i="1"/>
  <c r="D809" i="1"/>
  <c r="C809" i="1"/>
  <c r="B809" i="1"/>
  <c r="A809" i="1"/>
  <c r="E808" i="1"/>
  <c r="D808" i="1"/>
  <c r="C808" i="1"/>
  <c r="B808" i="1"/>
  <c r="A808" i="1"/>
  <c r="E807" i="1"/>
  <c r="D807" i="1"/>
  <c r="C807" i="1"/>
  <c r="B807" i="1"/>
  <c r="A807" i="1"/>
  <c r="E806" i="1"/>
  <c r="D806" i="1"/>
  <c r="C806" i="1"/>
  <c r="B806" i="1"/>
  <c r="A806" i="1"/>
  <c r="E805" i="1"/>
  <c r="D805" i="1"/>
  <c r="C805" i="1"/>
  <c r="B805" i="1"/>
  <c r="A805" i="1"/>
  <c r="E804" i="1"/>
  <c r="D804" i="1"/>
  <c r="C804" i="1"/>
  <c r="B804" i="1"/>
  <c r="A804" i="1"/>
  <c r="E803" i="1"/>
  <c r="D803" i="1"/>
  <c r="C803" i="1"/>
  <c r="B803" i="1"/>
  <c r="A803" i="1"/>
  <c r="E802" i="1"/>
  <c r="D802" i="1"/>
  <c r="C802" i="1"/>
  <c r="B802" i="1"/>
  <c r="A802" i="1"/>
  <c r="E801" i="1"/>
  <c r="D801" i="1"/>
  <c r="C801" i="1"/>
  <c r="B801" i="1"/>
  <c r="A801" i="1"/>
  <c r="E800" i="1"/>
  <c r="D800" i="1"/>
  <c r="C800" i="1"/>
  <c r="B800" i="1"/>
  <c r="A800" i="1"/>
  <c r="E799" i="1"/>
  <c r="D799" i="1"/>
  <c r="C799" i="1"/>
  <c r="B799" i="1"/>
  <c r="A799" i="1"/>
  <c r="E798" i="1"/>
  <c r="D798" i="1"/>
  <c r="C798" i="1"/>
  <c r="B798" i="1"/>
  <c r="A798" i="1"/>
  <c r="E797" i="1"/>
  <c r="D797" i="1"/>
  <c r="C797" i="1"/>
  <c r="B797" i="1"/>
  <c r="A797" i="1"/>
  <c r="E796" i="1"/>
  <c r="D796" i="1"/>
  <c r="C796" i="1"/>
  <c r="B796" i="1"/>
  <c r="A796" i="1"/>
  <c r="E795" i="1"/>
  <c r="D795" i="1"/>
  <c r="C795" i="1"/>
  <c r="B795" i="1"/>
  <c r="A795" i="1"/>
  <c r="E794" i="1"/>
  <c r="D794" i="1"/>
  <c r="C794" i="1"/>
  <c r="B794" i="1"/>
  <c r="A794" i="1"/>
  <c r="E793" i="1"/>
  <c r="D793" i="1"/>
  <c r="C793" i="1"/>
  <c r="B793" i="1"/>
  <c r="A793" i="1"/>
  <c r="E792" i="1"/>
  <c r="D792" i="1"/>
  <c r="C792" i="1"/>
  <c r="B792" i="1"/>
  <c r="A792" i="1"/>
  <c r="E791" i="1"/>
  <c r="D791" i="1"/>
  <c r="C791" i="1"/>
  <c r="B791" i="1"/>
  <c r="A791" i="1"/>
  <c r="E790" i="1"/>
  <c r="D790" i="1"/>
  <c r="C790" i="1"/>
  <c r="B790" i="1"/>
  <c r="A790" i="1"/>
  <c r="E789" i="1"/>
  <c r="D789" i="1"/>
  <c r="C789" i="1"/>
  <c r="B789" i="1"/>
  <c r="A789" i="1"/>
  <c r="E788" i="1"/>
  <c r="D788" i="1"/>
  <c r="C788" i="1"/>
  <c r="B788" i="1"/>
  <c r="A788" i="1"/>
  <c r="E787" i="1"/>
  <c r="D787" i="1"/>
  <c r="C787" i="1"/>
  <c r="B787" i="1"/>
  <c r="A787" i="1"/>
  <c r="E786" i="1"/>
  <c r="D786" i="1"/>
  <c r="C786" i="1"/>
  <c r="B786" i="1"/>
  <c r="A786" i="1"/>
  <c r="E785" i="1"/>
  <c r="D785" i="1"/>
  <c r="C785" i="1"/>
  <c r="B785" i="1"/>
  <c r="A785" i="1"/>
  <c r="E784" i="1"/>
  <c r="D784" i="1"/>
  <c r="C784" i="1"/>
  <c r="B784" i="1"/>
  <c r="A784" i="1"/>
  <c r="E783" i="1"/>
  <c r="D783" i="1"/>
  <c r="C783" i="1"/>
  <c r="B783" i="1"/>
  <c r="A783" i="1"/>
  <c r="E782" i="1"/>
  <c r="D782" i="1"/>
  <c r="C782" i="1"/>
  <c r="B782" i="1"/>
  <c r="A782" i="1"/>
  <c r="E781" i="1"/>
  <c r="D781" i="1"/>
  <c r="C781" i="1"/>
  <c r="B781" i="1"/>
  <c r="A781" i="1"/>
  <c r="E780" i="1"/>
  <c r="D780" i="1"/>
  <c r="C780" i="1"/>
  <c r="B780" i="1"/>
  <c r="A780" i="1"/>
  <c r="E779" i="1"/>
  <c r="D779" i="1"/>
  <c r="C779" i="1"/>
  <c r="B779" i="1"/>
  <c r="A779" i="1"/>
  <c r="E778" i="1"/>
  <c r="D778" i="1"/>
  <c r="C778" i="1"/>
  <c r="B778" i="1"/>
  <c r="A778" i="1"/>
  <c r="E777" i="1"/>
  <c r="D777" i="1"/>
  <c r="C777" i="1"/>
  <c r="B777" i="1"/>
  <c r="A777" i="1"/>
  <c r="E776" i="1"/>
  <c r="D776" i="1"/>
  <c r="C776" i="1"/>
  <c r="B776" i="1"/>
  <c r="A776" i="1"/>
  <c r="E775" i="1"/>
  <c r="D775" i="1"/>
  <c r="C775" i="1"/>
  <c r="B775" i="1"/>
  <c r="A775" i="1"/>
  <c r="E774" i="1"/>
  <c r="D774" i="1"/>
  <c r="C774" i="1"/>
  <c r="B774" i="1"/>
  <c r="A774" i="1"/>
  <c r="E773" i="1"/>
  <c r="D773" i="1"/>
  <c r="C773" i="1"/>
  <c r="B773" i="1"/>
  <c r="A773" i="1"/>
  <c r="E772" i="1"/>
  <c r="D772" i="1"/>
  <c r="C772" i="1"/>
  <c r="B772" i="1"/>
  <c r="A772" i="1"/>
  <c r="E771" i="1"/>
  <c r="D771" i="1"/>
  <c r="C771" i="1"/>
  <c r="B771" i="1"/>
  <c r="A771" i="1"/>
  <c r="E770" i="1"/>
  <c r="D770" i="1"/>
  <c r="C770" i="1"/>
  <c r="B770" i="1"/>
  <c r="A770" i="1"/>
  <c r="E769" i="1"/>
  <c r="D769" i="1"/>
  <c r="C769" i="1"/>
  <c r="B769" i="1"/>
  <c r="A769" i="1"/>
  <c r="E768" i="1"/>
  <c r="D768" i="1"/>
  <c r="C768" i="1"/>
  <c r="B768" i="1"/>
  <c r="A768" i="1"/>
  <c r="E767" i="1"/>
  <c r="D767" i="1"/>
  <c r="C767" i="1"/>
  <c r="B767" i="1"/>
  <c r="A767" i="1"/>
  <c r="E766" i="1"/>
  <c r="D766" i="1"/>
  <c r="C766" i="1"/>
  <c r="B766" i="1"/>
  <c r="A766" i="1"/>
  <c r="E765" i="1"/>
  <c r="D765" i="1"/>
  <c r="C765" i="1"/>
  <c r="B765" i="1"/>
  <c r="A765" i="1"/>
  <c r="E764" i="1"/>
  <c r="D764" i="1"/>
  <c r="C764" i="1"/>
  <c r="B764" i="1"/>
  <c r="A764" i="1"/>
  <c r="E763" i="1"/>
  <c r="D763" i="1"/>
  <c r="C763" i="1"/>
  <c r="B763" i="1"/>
  <c r="A763" i="1"/>
  <c r="E762" i="1"/>
  <c r="D762" i="1"/>
  <c r="C762" i="1"/>
  <c r="B762" i="1"/>
  <c r="A762" i="1"/>
  <c r="E761" i="1"/>
  <c r="D761" i="1"/>
  <c r="C761" i="1"/>
  <c r="B761" i="1"/>
  <c r="A761" i="1"/>
  <c r="E760" i="1"/>
  <c r="D760" i="1"/>
  <c r="C760" i="1"/>
  <c r="B760" i="1"/>
  <c r="A760" i="1"/>
  <c r="E759" i="1"/>
  <c r="D759" i="1"/>
  <c r="C759" i="1"/>
  <c r="B759" i="1"/>
  <c r="A759" i="1"/>
  <c r="E758" i="1"/>
  <c r="D758" i="1"/>
  <c r="C758" i="1"/>
  <c r="B758" i="1"/>
  <c r="A758" i="1"/>
  <c r="E757" i="1"/>
  <c r="D757" i="1"/>
  <c r="C757" i="1"/>
  <c r="B757" i="1"/>
  <c r="A757" i="1"/>
  <c r="E756" i="1"/>
  <c r="D756" i="1"/>
  <c r="C756" i="1"/>
  <c r="B756" i="1"/>
  <c r="A756" i="1"/>
  <c r="E755" i="1"/>
  <c r="D755" i="1"/>
  <c r="C755" i="1"/>
  <c r="B755" i="1"/>
  <c r="A755" i="1"/>
  <c r="E754" i="1"/>
  <c r="D754" i="1"/>
  <c r="C754" i="1"/>
  <c r="B754" i="1"/>
  <c r="A754" i="1"/>
  <c r="E753" i="1"/>
  <c r="D753" i="1"/>
  <c r="C753" i="1"/>
  <c r="B753" i="1"/>
  <c r="A753" i="1"/>
  <c r="E752" i="1"/>
  <c r="D752" i="1"/>
  <c r="C752" i="1"/>
  <c r="B752" i="1"/>
  <c r="A752" i="1"/>
  <c r="E751" i="1"/>
  <c r="D751" i="1"/>
  <c r="C751" i="1"/>
  <c r="B751" i="1"/>
  <c r="A751" i="1"/>
  <c r="E750" i="1"/>
  <c r="D750" i="1"/>
  <c r="C750" i="1"/>
  <c r="B750" i="1"/>
  <c r="A750" i="1"/>
  <c r="E749" i="1"/>
  <c r="D749" i="1"/>
  <c r="C749" i="1"/>
  <c r="B749" i="1"/>
  <c r="A749" i="1"/>
  <c r="E748" i="1"/>
  <c r="D748" i="1"/>
  <c r="C748" i="1"/>
  <c r="B748" i="1"/>
  <c r="A748" i="1"/>
  <c r="E747" i="1"/>
  <c r="D747" i="1"/>
  <c r="C747" i="1"/>
  <c r="B747" i="1"/>
  <c r="A747" i="1"/>
  <c r="E746" i="1"/>
  <c r="D746" i="1"/>
  <c r="C746" i="1"/>
  <c r="B746" i="1"/>
  <c r="A746" i="1"/>
  <c r="E745" i="1"/>
  <c r="D745" i="1"/>
  <c r="C745" i="1"/>
  <c r="B745" i="1"/>
  <c r="A745" i="1"/>
  <c r="E744" i="1"/>
  <c r="D744" i="1"/>
  <c r="C744" i="1"/>
  <c r="B744" i="1"/>
  <c r="A744" i="1"/>
  <c r="E743" i="1"/>
  <c r="D743" i="1"/>
  <c r="C743" i="1"/>
  <c r="B743" i="1"/>
  <c r="A743" i="1"/>
  <c r="E742" i="1"/>
  <c r="D742" i="1"/>
  <c r="C742" i="1"/>
  <c r="B742" i="1"/>
  <c r="A742" i="1"/>
  <c r="E741" i="1"/>
  <c r="D741" i="1"/>
  <c r="C741" i="1"/>
  <c r="B741" i="1"/>
  <c r="A741" i="1"/>
  <c r="E740" i="1"/>
  <c r="D740" i="1"/>
  <c r="C740" i="1"/>
  <c r="B740" i="1"/>
  <c r="A740" i="1"/>
  <c r="E739" i="1"/>
  <c r="D739" i="1"/>
  <c r="C739" i="1"/>
  <c r="B739" i="1"/>
  <c r="A739" i="1"/>
  <c r="E738" i="1"/>
  <c r="D738" i="1"/>
  <c r="C738" i="1"/>
  <c r="B738" i="1"/>
  <c r="A738" i="1"/>
  <c r="E737" i="1"/>
  <c r="D737" i="1"/>
  <c r="C737" i="1"/>
  <c r="B737" i="1"/>
  <c r="A737" i="1"/>
  <c r="E736" i="1"/>
  <c r="D736" i="1"/>
  <c r="C736" i="1"/>
  <c r="B736" i="1"/>
  <c r="A736" i="1"/>
  <c r="E735" i="1"/>
  <c r="D735" i="1"/>
  <c r="C735" i="1"/>
  <c r="B735" i="1"/>
  <c r="A735" i="1"/>
  <c r="E734" i="1"/>
  <c r="D734" i="1"/>
  <c r="C734" i="1"/>
  <c r="B734" i="1"/>
  <c r="A734" i="1"/>
  <c r="E733" i="1"/>
  <c r="D733" i="1"/>
  <c r="C733" i="1"/>
  <c r="B733" i="1"/>
  <c r="A733" i="1"/>
  <c r="E732" i="1"/>
  <c r="D732" i="1"/>
  <c r="C732" i="1"/>
  <c r="B732" i="1"/>
  <c r="A732" i="1"/>
  <c r="E731" i="1"/>
  <c r="D731" i="1"/>
  <c r="C731" i="1"/>
  <c r="B731" i="1"/>
  <c r="A731" i="1"/>
  <c r="E730" i="1"/>
  <c r="D730" i="1"/>
  <c r="C730" i="1"/>
  <c r="B730" i="1"/>
  <c r="A730" i="1"/>
  <c r="E729" i="1"/>
  <c r="D729" i="1"/>
  <c r="C729" i="1"/>
  <c r="B729" i="1"/>
  <c r="A729" i="1"/>
  <c r="E728" i="1"/>
  <c r="D728" i="1"/>
  <c r="C728" i="1"/>
  <c r="B728" i="1"/>
  <c r="A728" i="1"/>
  <c r="E727" i="1"/>
  <c r="D727" i="1"/>
  <c r="C727" i="1"/>
  <c r="B727" i="1"/>
  <c r="A727" i="1"/>
  <c r="E726" i="1"/>
  <c r="D726" i="1"/>
  <c r="C726" i="1"/>
  <c r="B726" i="1"/>
  <c r="A726" i="1"/>
  <c r="E725" i="1"/>
  <c r="D725" i="1"/>
  <c r="C725" i="1"/>
  <c r="B725" i="1"/>
  <c r="A725" i="1"/>
  <c r="E724" i="1"/>
  <c r="D724" i="1"/>
  <c r="C724" i="1"/>
  <c r="B724" i="1"/>
  <c r="A724" i="1"/>
  <c r="E723" i="1"/>
  <c r="D723" i="1"/>
  <c r="C723" i="1"/>
  <c r="B723" i="1"/>
  <c r="A723" i="1"/>
  <c r="E722" i="1"/>
  <c r="D722" i="1"/>
  <c r="C722" i="1"/>
  <c r="B722" i="1"/>
  <c r="A722" i="1"/>
  <c r="E721" i="1"/>
  <c r="D721" i="1"/>
  <c r="C721" i="1"/>
  <c r="B721" i="1"/>
  <c r="A721" i="1"/>
  <c r="E720" i="1"/>
  <c r="D720" i="1"/>
  <c r="C720" i="1"/>
  <c r="B720" i="1"/>
  <c r="A720" i="1"/>
  <c r="E719" i="1"/>
  <c r="D719" i="1"/>
  <c r="C719" i="1"/>
  <c r="B719" i="1"/>
  <c r="A719" i="1"/>
  <c r="E718" i="1"/>
  <c r="D718" i="1"/>
  <c r="C718" i="1"/>
  <c r="B718" i="1"/>
  <c r="A718" i="1"/>
  <c r="E717" i="1"/>
  <c r="D717" i="1"/>
  <c r="C717" i="1"/>
  <c r="B717" i="1"/>
  <c r="A717" i="1"/>
  <c r="E716" i="1"/>
  <c r="D716" i="1"/>
  <c r="C716" i="1"/>
  <c r="B716" i="1"/>
  <c r="A716" i="1"/>
  <c r="E715" i="1"/>
  <c r="D715" i="1"/>
  <c r="C715" i="1"/>
  <c r="B715" i="1"/>
  <c r="A715" i="1"/>
  <c r="E714" i="1"/>
  <c r="D714" i="1"/>
  <c r="C714" i="1"/>
  <c r="B714" i="1"/>
  <c r="A714" i="1"/>
  <c r="E713" i="1"/>
  <c r="D713" i="1"/>
  <c r="C713" i="1"/>
  <c r="B713" i="1"/>
  <c r="A713" i="1"/>
  <c r="E712" i="1"/>
  <c r="D712" i="1"/>
  <c r="C712" i="1"/>
  <c r="B712" i="1"/>
  <c r="A712" i="1"/>
  <c r="E711" i="1"/>
  <c r="D711" i="1"/>
  <c r="C711" i="1"/>
  <c r="B711" i="1"/>
  <c r="A711" i="1"/>
  <c r="E710" i="1"/>
  <c r="D710" i="1"/>
  <c r="C710" i="1"/>
  <c r="B710" i="1"/>
  <c r="A710" i="1"/>
  <c r="E709" i="1"/>
  <c r="D709" i="1"/>
  <c r="C709" i="1"/>
  <c r="B709" i="1"/>
  <c r="A709" i="1"/>
  <c r="E708" i="1"/>
  <c r="D708" i="1"/>
  <c r="C708" i="1"/>
  <c r="B708" i="1"/>
  <c r="A708" i="1"/>
  <c r="E707" i="1"/>
  <c r="D707" i="1"/>
  <c r="C707" i="1"/>
  <c r="B707" i="1"/>
  <c r="A707" i="1"/>
  <c r="E706" i="1"/>
  <c r="D706" i="1"/>
  <c r="C706" i="1"/>
  <c r="B706" i="1"/>
  <c r="A706" i="1"/>
  <c r="E705" i="1"/>
  <c r="D705" i="1"/>
  <c r="C705" i="1"/>
  <c r="B705" i="1"/>
  <c r="A705" i="1"/>
  <c r="E704" i="1"/>
  <c r="D704" i="1"/>
  <c r="C704" i="1"/>
  <c r="B704" i="1"/>
  <c r="A704" i="1"/>
  <c r="E703" i="1"/>
  <c r="D703" i="1"/>
  <c r="C703" i="1"/>
  <c r="B703" i="1"/>
  <c r="A703" i="1"/>
  <c r="E702" i="1"/>
  <c r="D702" i="1"/>
  <c r="C702" i="1"/>
  <c r="B702" i="1"/>
  <c r="A702" i="1"/>
  <c r="E701" i="1"/>
  <c r="D701" i="1"/>
  <c r="C701" i="1"/>
  <c r="B701" i="1"/>
  <c r="A701" i="1"/>
  <c r="E700" i="1"/>
  <c r="D700" i="1"/>
  <c r="C700" i="1"/>
  <c r="B700" i="1"/>
  <c r="A700" i="1"/>
  <c r="E699" i="1"/>
  <c r="D699" i="1"/>
  <c r="C699" i="1"/>
  <c r="B699" i="1"/>
  <c r="A699" i="1"/>
  <c r="E698" i="1"/>
  <c r="D698" i="1"/>
  <c r="C698" i="1"/>
  <c r="B698" i="1"/>
  <c r="A698" i="1"/>
  <c r="E697" i="1"/>
  <c r="D697" i="1"/>
  <c r="C697" i="1"/>
  <c r="B697" i="1"/>
  <c r="A697" i="1"/>
  <c r="E696" i="1"/>
  <c r="D696" i="1"/>
  <c r="C696" i="1"/>
  <c r="B696" i="1"/>
  <c r="A696" i="1"/>
  <c r="E695" i="1"/>
  <c r="D695" i="1"/>
  <c r="C695" i="1"/>
  <c r="B695" i="1"/>
  <c r="A695" i="1"/>
  <c r="E694" i="1"/>
  <c r="D694" i="1"/>
  <c r="C694" i="1"/>
  <c r="B694" i="1"/>
  <c r="A694" i="1"/>
  <c r="E693" i="1"/>
  <c r="D693" i="1"/>
  <c r="C693" i="1"/>
  <c r="B693" i="1"/>
  <c r="A693" i="1"/>
  <c r="E692" i="1"/>
  <c r="D692" i="1"/>
  <c r="C692" i="1"/>
  <c r="B692" i="1"/>
  <c r="A692" i="1"/>
  <c r="E691" i="1"/>
  <c r="D691" i="1"/>
  <c r="C691" i="1"/>
  <c r="B691" i="1"/>
  <c r="A691" i="1"/>
  <c r="E690" i="1"/>
  <c r="D690" i="1"/>
  <c r="C690" i="1"/>
  <c r="B690" i="1"/>
  <c r="A690" i="1"/>
  <c r="E689" i="1"/>
  <c r="D689" i="1"/>
  <c r="C689" i="1"/>
  <c r="B689" i="1"/>
  <c r="A689" i="1"/>
  <c r="E688" i="1"/>
  <c r="D688" i="1"/>
  <c r="C688" i="1"/>
  <c r="B688" i="1"/>
  <c r="A688" i="1"/>
  <c r="E687" i="1"/>
  <c r="D687" i="1"/>
  <c r="C687" i="1"/>
  <c r="B687" i="1"/>
  <c r="A687" i="1"/>
  <c r="E686" i="1"/>
  <c r="D686" i="1"/>
  <c r="C686" i="1"/>
  <c r="B686" i="1"/>
  <c r="A686" i="1"/>
  <c r="E685" i="1"/>
  <c r="D685" i="1"/>
  <c r="C685" i="1"/>
  <c r="B685" i="1"/>
  <c r="A685" i="1"/>
  <c r="E684" i="1"/>
  <c r="D684" i="1"/>
  <c r="C684" i="1"/>
  <c r="B684" i="1"/>
  <c r="A684" i="1"/>
  <c r="E683" i="1"/>
  <c r="D683" i="1"/>
  <c r="C683" i="1"/>
  <c r="B683" i="1"/>
  <c r="A683" i="1"/>
  <c r="E682" i="1"/>
  <c r="D682" i="1"/>
  <c r="C682" i="1"/>
  <c r="B682" i="1"/>
  <c r="A682" i="1"/>
  <c r="E681" i="1"/>
  <c r="D681" i="1"/>
  <c r="C681" i="1"/>
  <c r="B681" i="1"/>
  <c r="A681" i="1"/>
  <c r="E680" i="1"/>
  <c r="D680" i="1"/>
  <c r="C680" i="1"/>
  <c r="B680" i="1"/>
  <c r="A680" i="1"/>
  <c r="E679" i="1"/>
  <c r="D679" i="1"/>
  <c r="C679" i="1"/>
  <c r="B679" i="1"/>
  <c r="A679" i="1"/>
  <c r="E678" i="1"/>
  <c r="D678" i="1"/>
  <c r="C678" i="1"/>
  <c r="B678" i="1"/>
  <c r="A678" i="1"/>
  <c r="E677" i="1"/>
  <c r="D677" i="1"/>
  <c r="C677" i="1"/>
  <c r="B677" i="1"/>
  <c r="A677" i="1"/>
  <c r="E676" i="1"/>
  <c r="D676" i="1"/>
  <c r="C676" i="1"/>
  <c r="B676" i="1"/>
  <c r="A676" i="1"/>
  <c r="E675" i="1"/>
  <c r="D675" i="1"/>
  <c r="C675" i="1"/>
  <c r="B675" i="1"/>
  <c r="A675" i="1"/>
  <c r="E674" i="1"/>
  <c r="D674" i="1"/>
  <c r="C674" i="1"/>
  <c r="B674" i="1"/>
  <c r="A674" i="1"/>
  <c r="E673" i="1"/>
  <c r="D673" i="1"/>
  <c r="C673" i="1"/>
  <c r="B673" i="1"/>
  <c r="A673" i="1"/>
  <c r="E672" i="1"/>
  <c r="D672" i="1"/>
  <c r="C672" i="1"/>
  <c r="B672" i="1"/>
  <c r="A672" i="1"/>
  <c r="E671" i="1"/>
  <c r="D671" i="1"/>
  <c r="C671" i="1"/>
  <c r="B671" i="1"/>
  <c r="A671" i="1"/>
  <c r="E670" i="1"/>
  <c r="D670" i="1"/>
  <c r="C670" i="1"/>
  <c r="B670" i="1"/>
  <c r="A670" i="1"/>
  <c r="E669" i="1"/>
  <c r="D669" i="1"/>
  <c r="C669" i="1"/>
  <c r="B669" i="1"/>
  <c r="A669" i="1"/>
  <c r="E668" i="1"/>
  <c r="D668" i="1"/>
  <c r="C668" i="1"/>
  <c r="B668" i="1"/>
  <c r="A668" i="1"/>
  <c r="E667" i="1"/>
  <c r="D667" i="1"/>
  <c r="C667" i="1"/>
  <c r="B667" i="1"/>
  <c r="A667" i="1"/>
  <c r="E666" i="1"/>
  <c r="D666" i="1"/>
  <c r="C666" i="1"/>
  <c r="B666" i="1"/>
  <c r="A666" i="1"/>
  <c r="E665" i="1"/>
  <c r="D665" i="1"/>
  <c r="C665" i="1"/>
  <c r="B665" i="1"/>
  <c r="A665" i="1"/>
  <c r="E664" i="1"/>
  <c r="D664" i="1"/>
  <c r="C664" i="1"/>
  <c r="B664" i="1"/>
  <c r="A664" i="1"/>
  <c r="E663" i="1"/>
  <c r="D663" i="1"/>
  <c r="C663" i="1"/>
  <c r="B663" i="1"/>
  <c r="A663" i="1"/>
  <c r="E662" i="1"/>
  <c r="D662" i="1"/>
  <c r="C662" i="1"/>
  <c r="B662" i="1"/>
  <c r="A662" i="1"/>
  <c r="E661" i="1"/>
  <c r="D661" i="1"/>
  <c r="C661" i="1"/>
  <c r="B661" i="1"/>
  <c r="A661" i="1"/>
  <c r="E660" i="1"/>
  <c r="D660" i="1"/>
  <c r="C660" i="1"/>
  <c r="B660" i="1"/>
  <c r="A660" i="1"/>
  <c r="E659" i="1"/>
  <c r="D659" i="1"/>
  <c r="C659" i="1"/>
  <c r="B659" i="1"/>
  <c r="A659" i="1"/>
  <c r="E658" i="1"/>
  <c r="D658" i="1"/>
  <c r="C658" i="1"/>
  <c r="B658" i="1"/>
  <c r="A658" i="1"/>
  <c r="E657" i="1"/>
  <c r="D657" i="1"/>
  <c r="C657" i="1"/>
  <c r="B657" i="1"/>
  <c r="A657" i="1"/>
  <c r="E656" i="1"/>
  <c r="D656" i="1"/>
  <c r="C656" i="1"/>
  <c r="B656" i="1"/>
  <c r="A656" i="1"/>
  <c r="E655" i="1"/>
  <c r="D655" i="1"/>
  <c r="C655" i="1"/>
  <c r="B655" i="1"/>
  <c r="A655" i="1"/>
  <c r="E654" i="1"/>
  <c r="D654" i="1"/>
  <c r="C654" i="1"/>
  <c r="B654" i="1"/>
  <c r="A654" i="1"/>
  <c r="E653" i="1"/>
  <c r="D653" i="1"/>
  <c r="C653" i="1"/>
  <c r="B653" i="1"/>
  <c r="A653" i="1"/>
  <c r="E652" i="1"/>
  <c r="D652" i="1"/>
  <c r="C652" i="1"/>
  <c r="B652" i="1"/>
  <c r="A652" i="1"/>
  <c r="E651" i="1"/>
  <c r="D651" i="1"/>
  <c r="C651" i="1"/>
  <c r="B651" i="1"/>
  <c r="A651" i="1"/>
  <c r="E650" i="1"/>
  <c r="D650" i="1"/>
  <c r="C650" i="1"/>
  <c r="B650" i="1"/>
  <c r="A650" i="1"/>
  <c r="E649" i="1"/>
  <c r="D649" i="1"/>
  <c r="C649" i="1"/>
  <c r="B649" i="1"/>
  <c r="A649" i="1"/>
  <c r="E648" i="1"/>
  <c r="D648" i="1"/>
  <c r="C648" i="1"/>
  <c r="B648" i="1"/>
  <c r="A648" i="1"/>
  <c r="E647" i="1"/>
  <c r="D647" i="1"/>
  <c r="C647" i="1"/>
  <c r="B647" i="1"/>
  <c r="A647" i="1"/>
  <c r="E646" i="1"/>
  <c r="D646" i="1"/>
  <c r="C646" i="1"/>
  <c r="B646" i="1"/>
  <c r="A646" i="1"/>
  <c r="E645" i="1"/>
  <c r="D645" i="1"/>
  <c r="C645" i="1"/>
  <c r="B645" i="1"/>
  <c r="A645" i="1"/>
  <c r="E644" i="1"/>
  <c r="D644" i="1"/>
  <c r="C644" i="1"/>
  <c r="B644" i="1"/>
  <c r="A644" i="1"/>
  <c r="E643" i="1"/>
  <c r="D643" i="1"/>
  <c r="C643" i="1"/>
  <c r="B643" i="1"/>
  <c r="A643" i="1"/>
  <c r="E642" i="1"/>
  <c r="D642" i="1"/>
  <c r="C642" i="1"/>
  <c r="B642" i="1"/>
  <c r="A642" i="1"/>
  <c r="E641" i="1"/>
  <c r="D641" i="1"/>
  <c r="C641" i="1"/>
  <c r="B641" i="1"/>
  <c r="A641" i="1"/>
  <c r="E640" i="1"/>
  <c r="D640" i="1"/>
  <c r="C640" i="1"/>
  <c r="B640" i="1"/>
  <c r="A640" i="1"/>
  <c r="E639" i="1"/>
  <c r="D639" i="1"/>
  <c r="C639" i="1"/>
  <c r="B639" i="1"/>
  <c r="A639" i="1"/>
  <c r="E638" i="1"/>
  <c r="D638" i="1"/>
  <c r="C638" i="1"/>
  <c r="B638" i="1"/>
  <c r="A638" i="1"/>
  <c r="E637" i="1"/>
  <c r="D637" i="1"/>
  <c r="C637" i="1"/>
  <c r="B637" i="1"/>
  <c r="A637" i="1"/>
  <c r="E636" i="1"/>
  <c r="D636" i="1"/>
  <c r="C636" i="1"/>
  <c r="B636" i="1"/>
  <c r="A636" i="1"/>
  <c r="E635" i="1"/>
  <c r="D635" i="1"/>
  <c r="C635" i="1"/>
  <c r="B635" i="1"/>
  <c r="A635" i="1"/>
  <c r="E634" i="1"/>
  <c r="D634" i="1"/>
  <c r="C634" i="1"/>
  <c r="B634" i="1"/>
  <c r="A634" i="1"/>
  <c r="E633" i="1"/>
  <c r="D633" i="1"/>
  <c r="C633" i="1"/>
  <c r="B633" i="1"/>
  <c r="A633" i="1"/>
  <c r="E632" i="1"/>
  <c r="D632" i="1"/>
  <c r="C632" i="1"/>
  <c r="B632" i="1"/>
  <c r="A632" i="1"/>
  <c r="E631" i="1"/>
  <c r="D631" i="1"/>
  <c r="C631" i="1"/>
  <c r="B631" i="1"/>
  <c r="A631" i="1"/>
  <c r="E630" i="1"/>
  <c r="D630" i="1"/>
  <c r="C630" i="1"/>
  <c r="B630" i="1"/>
  <c r="A630" i="1"/>
  <c r="E629" i="1"/>
  <c r="D629" i="1"/>
  <c r="C629" i="1"/>
  <c r="B629" i="1"/>
  <c r="A629" i="1"/>
  <c r="E628" i="1"/>
  <c r="D628" i="1"/>
  <c r="C628" i="1"/>
  <c r="B628" i="1"/>
  <c r="A628" i="1"/>
  <c r="E627" i="1"/>
  <c r="D627" i="1"/>
  <c r="C627" i="1"/>
  <c r="B627" i="1"/>
  <c r="A627" i="1"/>
  <c r="E626" i="1"/>
  <c r="D626" i="1"/>
  <c r="C626" i="1"/>
  <c r="B626" i="1"/>
  <c r="A626" i="1"/>
  <c r="E625" i="1"/>
  <c r="D625" i="1"/>
  <c r="C625" i="1"/>
  <c r="B625" i="1"/>
  <c r="A625" i="1"/>
  <c r="E624" i="1"/>
  <c r="D624" i="1"/>
  <c r="C624" i="1"/>
  <c r="B624" i="1"/>
  <c r="A624" i="1"/>
  <c r="E623" i="1"/>
  <c r="D623" i="1"/>
  <c r="C623" i="1"/>
  <c r="B623" i="1"/>
  <c r="A623" i="1"/>
  <c r="E622" i="1"/>
  <c r="D622" i="1"/>
  <c r="C622" i="1"/>
  <c r="B622" i="1"/>
  <c r="A622" i="1"/>
  <c r="E621" i="1"/>
  <c r="D621" i="1"/>
  <c r="C621" i="1"/>
  <c r="B621" i="1"/>
  <c r="A621" i="1"/>
  <c r="E620" i="1"/>
  <c r="D620" i="1"/>
  <c r="C620" i="1"/>
  <c r="B620" i="1"/>
  <c r="A620" i="1"/>
  <c r="E619" i="1"/>
  <c r="D619" i="1"/>
  <c r="C619" i="1"/>
  <c r="B619" i="1"/>
  <c r="A619" i="1"/>
  <c r="E618" i="1"/>
  <c r="D618" i="1"/>
  <c r="C618" i="1"/>
  <c r="B618" i="1"/>
  <c r="A618" i="1"/>
  <c r="E617" i="1"/>
  <c r="D617" i="1"/>
  <c r="C617" i="1"/>
  <c r="B617" i="1"/>
  <c r="A617" i="1"/>
  <c r="E616" i="1"/>
  <c r="D616" i="1"/>
  <c r="C616" i="1"/>
  <c r="B616" i="1"/>
  <c r="A616" i="1"/>
  <c r="E615" i="1"/>
  <c r="D615" i="1"/>
  <c r="C615" i="1"/>
  <c r="B615" i="1"/>
  <c r="A615" i="1"/>
  <c r="E614" i="1"/>
  <c r="D614" i="1"/>
  <c r="C614" i="1"/>
  <c r="B614" i="1"/>
  <c r="A614" i="1"/>
  <c r="E613" i="1"/>
  <c r="D613" i="1"/>
  <c r="C613" i="1"/>
  <c r="B613" i="1"/>
  <c r="A613" i="1"/>
  <c r="E612" i="1"/>
  <c r="D612" i="1"/>
  <c r="C612" i="1"/>
  <c r="B612" i="1"/>
  <c r="A612" i="1"/>
  <c r="E611" i="1"/>
  <c r="D611" i="1"/>
  <c r="C611" i="1"/>
  <c r="B611" i="1"/>
  <c r="A611" i="1"/>
  <c r="E610" i="1"/>
  <c r="D610" i="1"/>
  <c r="C610" i="1"/>
  <c r="B610" i="1"/>
  <c r="A610" i="1"/>
  <c r="E609" i="1"/>
  <c r="D609" i="1"/>
  <c r="C609" i="1"/>
  <c r="B609" i="1"/>
  <c r="A609" i="1"/>
  <c r="E608" i="1"/>
  <c r="D608" i="1"/>
  <c r="C608" i="1"/>
  <c r="B608" i="1"/>
  <c r="A608" i="1"/>
  <c r="E607" i="1"/>
  <c r="D607" i="1"/>
  <c r="C607" i="1"/>
  <c r="B607" i="1"/>
  <c r="A607" i="1"/>
  <c r="E606" i="1"/>
  <c r="D606" i="1"/>
  <c r="C606" i="1"/>
  <c r="B606" i="1"/>
  <c r="A606" i="1"/>
  <c r="E605" i="1"/>
  <c r="D605" i="1"/>
  <c r="C605" i="1"/>
  <c r="B605" i="1"/>
  <c r="A605" i="1"/>
  <c r="E604" i="1"/>
  <c r="D604" i="1"/>
  <c r="C604" i="1"/>
  <c r="B604" i="1"/>
  <c r="A604" i="1"/>
  <c r="E603" i="1"/>
  <c r="D603" i="1"/>
  <c r="C603" i="1"/>
  <c r="B603" i="1"/>
  <c r="A603" i="1"/>
  <c r="E602" i="1"/>
  <c r="D602" i="1"/>
  <c r="C602" i="1"/>
  <c r="B602" i="1"/>
  <c r="A602" i="1"/>
  <c r="E601" i="1"/>
  <c r="D601" i="1"/>
  <c r="C601" i="1"/>
  <c r="B601" i="1"/>
  <c r="A601" i="1"/>
  <c r="E600" i="1"/>
  <c r="D600" i="1"/>
  <c r="C600" i="1"/>
  <c r="B600" i="1"/>
  <c r="A600" i="1"/>
  <c r="E599" i="1"/>
  <c r="D599" i="1"/>
  <c r="C599" i="1"/>
  <c r="B599" i="1"/>
  <c r="A599" i="1"/>
  <c r="E598" i="1"/>
  <c r="D598" i="1"/>
  <c r="C598" i="1"/>
  <c r="B598" i="1"/>
  <c r="A598" i="1"/>
  <c r="E597" i="1"/>
  <c r="D597" i="1"/>
  <c r="C597" i="1"/>
  <c r="B597" i="1"/>
  <c r="A597" i="1"/>
  <c r="E596" i="1"/>
  <c r="D596" i="1"/>
  <c r="C596" i="1"/>
  <c r="B596" i="1"/>
  <c r="A596" i="1"/>
  <c r="E595" i="1"/>
  <c r="D595" i="1"/>
  <c r="C595" i="1"/>
  <c r="B595" i="1"/>
  <c r="A595" i="1"/>
  <c r="E594" i="1"/>
  <c r="D594" i="1"/>
  <c r="C594" i="1"/>
  <c r="B594" i="1"/>
  <c r="A594" i="1"/>
  <c r="E593" i="1"/>
  <c r="D593" i="1"/>
  <c r="C593" i="1"/>
  <c r="B593" i="1"/>
  <c r="A593" i="1"/>
  <c r="E592" i="1"/>
  <c r="D592" i="1"/>
  <c r="C592" i="1"/>
  <c r="B592" i="1"/>
  <c r="A592" i="1"/>
  <c r="E591" i="1"/>
  <c r="D591" i="1"/>
  <c r="C591" i="1"/>
  <c r="B591" i="1"/>
  <c r="A591" i="1"/>
  <c r="E590" i="1"/>
  <c r="D590" i="1"/>
  <c r="C590" i="1"/>
  <c r="B590" i="1"/>
  <c r="A590" i="1"/>
  <c r="E589" i="1"/>
  <c r="D589" i="1"/>
  <c r="C589" i="1"/>
  <c r="B589" i="1"/>
  <c r="A589" i="1"/>
  <c r="E588" i="1"/>
  <c r="D588" i="1"/>
  <c r="C588" i="1"/>
  <c r="B588" i="1"/>
  <c r="A588" i="1"/>
  <c r="E587" i="1"/>
  <c r="D587" i="1"/>
  <c r="C587" i="1"/>
  <c r="B587" i="1"/>
  <c r="A587" i="1"/>
  <c r="E586" i="1"/>
  <c r="D586" i="1"/>
  <c r="C586" i="1"/>
  <c r="B586" i="1"/>
  <c r="A586" i="1"/>
  <c r="E585" i="1"/>
  <c r="D585" i="1"/>
  <c r="C585" i="1"/>
  <c r="B585" i="1"/>
  <c r="A585" i="1"/>
  <c r="E584" i="1"/>
  <c r="D584" i="1"/>
  <c r="C584" i="1"/>
  <c r="B584" i="1"/>
  <c r="A584" i="1"/>
  <c r="E583" i="1"/>
  <c r="D583" i="1"/>
  <c r="C583" i="1"/>
  <c r="B583" i="1"/>
  <c r="A583" i="1"/>
  <c r="E582" i="1"/>
  <c r="D582" i="1"/>
  <c r="C582" i="1"/>
  <c r="B582" i="1"/>
  <c r="A582" i="1"/>
  <c r="E581" i="1"/>
  <c r="D581" i="1"/>
  <c r="C581" i="1"/>
  <c r="B581" i="1"/>
  <c r="A581" i="1"/>
  <c r="E580" i="1"/>
  <c r="D580" i="1"/>
  <c r="C580" i="1"/>
  <c r="B580" i="1"/>
  <c r="A580" i="1"/>
  <c r="E579" i="1"/>
  <c r="D579" i="1"/>
  <c r="C579" i="1"/>
  <c r="B579" i="1"/>
  <c r="A579" i="1"/>
  <c r="E578" i="1"/>
  <c r="D578" i="1"/>
  <c r="C578" i="1"/>
  <c r="B578" i="1"/>
  <c r="A578" i="1"/>
  <c r="E577" i="1"/>
  <c r="D577" i="1"/>
  <c r="C577" i="1"/>
  <c r="B577" i="1"/>
  <c r="A577" i="1"/>
  <c r="E576" i="1"/>
  <c r="D576" i="1"/>
  <c r="C576" i="1"/>
  <c r="B576" i="1"/>
  <c r="A576" i="1"/>
  <c r="E575" i="1"/>
  <c r="D575" i="1"/>
  <c r="C575" i="1"/>
  <c r="B575" i="1"/>
  <c r="A575" i="1"/>
  <c r="E574" i="1"/>
  <c r="D574" i="1"/>
  <c r="C574" i="1"/>
  <c r="B574" i="1"/>
  <c r="A574" i="1"/>
  <c r="E573" i="1"/>
  <c r="D573" i="1"/>
  <c r="C573" i="1"/>
  <c r="B573" i="1"/>
  <c r="A573" i="1"/>
  <c r="E572" i="1"/>
  <c r="D572" i="1"/>
  <c r="C572" i="1"/>
  <c r="B572" i="1"/>
  <c r="A572" i="1"/>
  <c r="E571" i="1"/>
  <c r="D571" i="1"/>
  <c r="C571" i="1"/>
  <c r="B571" i="1"/>
  <c r="A571" i="1"/>
  <c r="E570" i="1"/>
  <c r="D570" i="1"/>
  <c r="C570" i="1"/>
  <c r="B570" i="1"/>
  <c r="A570" i="1"/>
  <c r="E569" i="1"/>
  <c r="D569" i="1"/>
  <c r="C569" i="1"/>
  <c r="B569" i="1"/>
  <c r="A569" i="1"/>
  <c r="E568" i="1"/>
  <c r="D568" i="1"/>
  <c r="C568" i="1"/>
  <c r="B568" i="1"/>
  <c r="A568" i="1"/>
  <c r="E567" i="1"/>
  <c r="D567" i="1"/>
  <c r="C567" i="1"/>
  <c r="B567" i="1"/>
  <c r="A567" i="1"/>
  <c r="E566" i="1"/>
  <c r="D566" i="1"/>
  <c r="C566" i="1"/>
  <c r="B566" i="1"/>
  <c r="A566" i="1"/>
  <c r="E565" i="1"/>
  <c r="D565" i="1"/>
  <c r="C565" i="1"/>
  <c r="B565" i="1"/>
  <c r="A565" i="1"/>
  <c r="E564" i="1"/>
  <c r="D564" i="1"/>
  <c r="C564" i="1"/>
  <c r="B564" i="1"/>
  <c r="A564" i="1"/>
  <c r="E563" i="1"/>
  <c r="D563" i="1"/>
  <c r="C563" i="1"/>
  <c r="B563" i="1"/>
  <c r="A563" i="1"/>
  <c r="E562" i="1"/>
  <c r="D562" i="1"/>
  <c r="C562" i="1"/>
  <c r="B562" i="1"/>
  <c r="A562" i="1"/>
  <c r="E561" i="1"/>
  <c r="D561" i="1"/>
  <c r="C561" i="1"/>
  <c r="B561" i="1"/>
  <c r="A561" i="1"/>
  <c r="E560" i="1"/>
  <c r="D560" i="1"/>
  <c r="C560" i="1"/>
  <c r="B560" i="1"/>
  <c r="A560" i="1"/>
  <c r="E559" i="1"/>
  <c r="D559" i="1"/>
  <c r="C559" i="1"/>
  <c r="B559" i="1"/>
  <c r="A559" i="1"/>
  <c r="E558" i="1"/>
  <c r="D558" i="1"/>
  <c r="C558" i="1"/>
  <c r="B558" i="1"/>
  <c r="A558" i="1"/>
  <c r="E557" i="1"/>
  <c r="D557" i="1"/>
  <c r="C557" i="1"/>
  <c r="B557" i="1"/>
  <c r="A557" i="1"/>
  <c r="E556" i="1"/>
  <c r="D556" i="1"/>
  <c r="C556" i="1"/>
  <c r="B556" i="1"/>
  <c r="A556" i="1"/>
  <c r="E555" i="1"/>
  <c r="D555" i="1"/>
  <c r="C555" i="1"/>
  <c r="B555" i="1"/>
  <c r="A555" i="1"/>
  <c r="E554" i="1"/>
  <c r="D554" i="1"/>
  <c r="C554" i="1"/>
  <c r="B554" i="1"/>
  <c r="A554" i="1"/>
  <c r="E553" i="1"/>
  <c r="D553" i="1"/>
  <c r="C553" i="1"/>
  <c r="B553" i="1"/>
  <c r="A553" i="1"/>
  <c r="E552" i="1"/>
  <c r="D552" i="1"/>
  <c r="C552" i="1"/>
  <c r="B552" i="1"/>
  <c r="A552" i="1"/>
  <c r="E551" i="1"/>
  <c r="D551" i="1"/>
  <c r="C551" i="1"/>
  <c r="B551" i="1"/>
  <c r="A551" i="1"/>
  <c r="E550" i="1"/>
  <c r="D550" i="1"/>
  <c r="C550" i="1"/>
  <c r="B550" i="1"/>
  <c r="A550" i="1"/>
  <c r="E549" i="1"/>
  <c r="D549" i="1"/>
  <c r="C549" i="1"/>
  <c r="B549" i="1"/>
  <c r="A549" i="1"/>
  <c r="E548" i="1"/>
  <c r="D548" i="1"/>
  <c r="C548" i="1"/>
  <c r="B548" i="1"/>
  <c r="A548" i="1"/>
  <c r="E547" i="1"/>
  <c r="D547" i="1"/>
  <c r="C547" i="1"/>
  <c r="B547" i="1"/>
  <c r="A547" i="1"/>
  <c r="E546" i="1"/>
  <c r="D546" i="1"/>
  <c r="C546" i="1"/>
  <c r="B546" i="1"/>
  <c r="A546" i="1"/>
  <c r="E545" i="1"/>
  <c r="D545" i="1"/>
  <c r="C545" i="1"/>
  <c r="B545" i="1"/>
  <c r="A545" i="1"/>
  <c r="E544" i="1"/>
  <c r="D544" i="1"/>
  <c r="C544" i="1"/>
  <c r="B544" i="1"/>
  <c r="A544" i="1"/>
  <c r="E543" i="1"/>
  <c r="D543" i="1"/>
  <c r="C543" i="1"/>
  <c r="B543" i="1"/>
  <c r="A543" i="1"/>
  <c r="E542" i="1"/>
  <c r="D542" i="1"/>
  <c r="C542" i="1"/>
  <c r="B542" i="1"/>
  <c r="A542" i="1"/>
  <c r="E541" i="1"/>
  <c r="D541" i="1"/>
  <c r="C541" i="1"/>
  <c r="B541" i="1"/>
  <c r="A541" i="1"/>
  <c r="E540" i="1"/>
  <c r="D540" i="1"/>
  <c r="C540" i="1"/>
  <c r="B540" i="1"/>
  <c r="A540" i="1"/>
  <c r="E539" i="1"/>
  <c r="D539" i="1"/>
  <c r="C539" i="1"/>
  <c r="B539" i="1"/>
  <c r="A539" i="1"/>
  <c r="E538" i="1"/>
  <c r="D538" i="1"/>
  <c r="C538" i="1"/>
  <c r="B538" i="1"/>
  <c r="A538" i="1"/>
  <c r="E537" i="1"/>
  <c r="D537" i="1"/>
  <c r="C537" i="1"/>
  <c r="B537" i="1"/>
  <c r="A537" i="1"/>
  <c r="E536" i="1"/>
  <c r="D536" i="1"/>
  <c r="C536" i="1"/>
  <c r="B536" i="1"/>
  <c r="A536" i="1"/>
  <c r="E535" i="1"/>
  <c r="D535" i="1"/>
  <c r="C535" i="1"/>
  <c r="B535" i="1"/>
  <c r="A535" i="1"/>
  <c r="E534" i="1"/>
  <c r="D534" i="1"/>
  <c r="C534" i="1"/>
  <c r="B534" i="1"/>
  <c r="A534" i="1"/>
  <c r="E533" i="1"/>
  <c r="D533" i="1"/>
  <c r="C533" i="1"/>
  <c r="B533" i="1"/>
  <c r="A533" i="1"/>
  <c r="E532" i="1"/>
  <c r="D532" i="1"/>
  <c r="C532" i="1"/>
  <c r="B532" i="1"/>
  <c r="A532" i="1"/>
  <c r="E531" i="1"/>
  <c r="D531" i="1"/>
  <c r="C531" i="1"/>
  <c r="B531" i="1"/>
  <c r="A531" i="1"/>
  <c r="E530" i="1"/>
  <c r="D530" i="1"/>
  <c r="C530" i="1"/>
  <c r="B530" i="1"/>
  <c r="A530" i="1"/>
  <c r="E529" i="1"/>
  <c r="D529" i="1"/>
  <c r="C529" i="1"/>
  <c r="B529" i="1"/>
  <c r="A529" i="1"/>
  <c r="E528" i="1"/>
  <c r="D528" i="1"/>
  <c r="C528" i="1"/>
  <c r="B528" i="1"/>
  <c r="A528" i="1"/>
  <c r="E527" i="1"/>
  <c r="D527" i="1"/>
  <c r="C527" i="1"/>
  <c r="B527" i="1"/>
  <c r="A527" i="1"/>
  <c r="E526" i="1"/>
  <c r="D526" i="1"/>
  <c r="C526" i="1"/>
  <c r="B526" i="1"/>
  <c r="A526" i="1"/>
  <c r="E525" i="1"/>
  <c r="D525" i="1"/>
  <c r="C525" i="1"/>
  <c r="B525" i="1"/>
  <c r="A525" i="1"/>
  <c r="E524" i="1"/>
  <c r="D524" i="1"/>
  <c r="C524" i="1"/>
  <c r="B524" i="1"/>
  <c r="A524" i="1"/>
  <c r="E523" i="1"/>
  <c r="D523" i="1"/>
  <c r="C523" i="1"/>
  <c r="B523" i="1"/>
  <c r="A523" i="1"/>
  <c r="E522" i="1"/>
  <c r="D522" i="1"/>
  <c r="C522" i="1"/>
  <c r="B522" i="1"/>
  <c r="A522" i="1"/>
  <c r="E521" i="1"/>
  <c r="D521" i="1"/>
  <c r="C521" i="1"/>
  <c r="B521" i="1"/>
  <c r="A521" i="1"/>
  <c r="E520" i="1"/>
  <c r="D520" i="1"/>
  <c r="C520" i="1"/>
  <c r="B520" i="1"/>
  <c r="A520" i="1"/>
  <c r="E519" i="1"/>
  <c r="D519" i="1"/>
  <c r="C519" i="1"/>
  <c r="B519" i="1"/>
  <c r="A519" i="1"/>
  <c r="E518" i="1"/>
  <c r="D518" i="1"/>
  <c r="C518" i="1"/>
  <c r="B518" i="1"/>
  <c r="A518" i="1"/>
  <c r="E517" i="1"/>
  <c r="D517" i="1"/>
  <c r="C517" i="1"/>
  <c r="B517" i="1"/>
  <c r="A517" i="1"/>
  <c r="E516" i="1"/>
  <c r="D516" i="1"/>
  <c r="C516" i="1"/>
  <c r="B516" i="1"/>
  <c r="A516" i="1"/>
  <c r="E515" i="1"/>
  <c r="D515" i="1"/>
  <c r="C515" i="1"/>
  <c r="B515" i="1"/>
  <c r="A515" i="1"/>
  <c r="E514" i="1"/>
  <c r="D514" i="1"/>
  <c r="C514" i="1"/>
  <c r="B514" i="1"/>
  <c r="A514" i="1"/>
  <c r="E513" i="1"/>
  <c r="D513" i="1"/>
  <c r="C513" i="1"/>
  <c r="B513" i="1"/>
  <c r="A513" i="1"/>
  <c r="E512" i="1"/>
  <c r="D512" i="1"/>
  <c r="C512" i="1"/>
  <c r="B512" i="1"/>
  <c r="A512" i="1"/>
  <c r="E511" i="1"/>
  <c r="D511" i="1"/>
  <c r="C511" i="1"/>
  <c r="B511" i="1"/>
  <c r="A511" i="1"/>
  <c r="E510" i="1"/>
  <c r="D510" i="1"/>
  <c r="C510" i="1"/>
  <c r="B510" i="1"/>
  <c r="A510" i="1"/>
  <c r="E509" i="1"/>
  <c r="D509" i="1"/>
  <c r="C509" i="1"/>
  <c r="B509" i="1"/>
  <c r="A509" i="1"/>
  <c r="E508" i="1"/>
  <c r="D508" i="1"/>
  <c r="C508" i="1"/>
  <c r="B508" i="1"/>
  <c r="A508" i="1"/>
  <c r="E507" i="1"/>
  <c r="D507" i="1"/>
  <c r="C507" i="1"/>
  <c r="B507" i="1"/>
  <c r="A507" i="1"/>
  <c r="E506" i="1"/>
  <c r="D506" i="1"/>
  <c r="C506" i="1"/>
  <c r="B506" i="1"/>
  <c r="A506" i="1"/>
  <c r="E505" i="1"/>
  <c r="D505" i="1"/>
  <c r="C505" i="1"/>
  <c r="B505" i="1"/>
  <c r="A505" i="1"/>
  <c r="E504" i="1"/>
  <c r="D504" i="1"/>
  <c r="C504" i="1"/>
  <c r="B504" i="1"/>
  <c r="A504" i="1"/>
  <c r="E503" i="1"/>
  <c r="D503" i="1"/>
  <c r="C503" i="1"/>
  <c r="B503" i="1"/>
  <c r="A503" i="1"/>
  <c r="E502" i="1"/>
  <c r="D502" i="1"/>
  <c r="C502" i="1"/>
  <c r="B502" i="1"/>
  <c r="A502" i="1"/>
  <c r="E501" i="1"/>
  <c r="D501" i="1"/>
  <c r="C501" i="1"/>
  <c r="B501" i="1"/>
  <c r="A501" i="1"/>
  <c r="E500" i="1"/>
  <c r="D500" i="1"/>
  <c r="C500" i="1"/>
  <c r="B500" i="1"/>
  <c r="A500" i="1"/>
  <c r="E499" i="1"/>
  <c r="D499" i="1"/>
  <c r="C499" i="1"/>
  <c r="B499" i="1"/>
  <c r="A499" i="1"/>
  <c r="E498" i="1"/>
  <c r="D498" i="1"/>
  <c r="C498" i="1"/>
  <c r="B498" i="1"/>
  <c r="A498" i="1"/>
  <c r="E497" i="1"/>
  <c r="D497" i="1"/>
  <c r="C497" i="1"/>
  <c r="B497" i="1"/>
  <c r="A497" i="1"/>
  <c r="E496" i="1"/>
  <c r="D496" i="1"/>
  <c r="C496" i="1"/>
  <c r="B496" i="1"/>
  <c r="A496" i="1"/>
  <c r="E495" i="1"/>
  <c r="D495" i="1"/>
  <c r="C495" i="1"/>
  <c r="B495" i="1"/>
  <c r="A495" i="1"/>
  <c r="E494" i="1"/>
  <c r="D494" i="1"/>
  <c r="C494" i="1"/>
  <c r="B494" i="1"/>
  <c r="A494" i="1"/>
  <c r="E493" i="1"/>
  <c r="D493" i="1"/>
  <c r="C493" i="1"/>
  <c r="B493" i="1"/>
  <c r="A493" i="1"/>
  <c r="E492" i="1"/>
  <c r="D492" i="1"/>
  <c r="C492" i="1"/>
  <c r="B492" i="1"/>
  <c r="A492" i="1"/>
  <c r="E491" i="1"/>
  <c r="D491" i="1"/>
  <c r="C491" i="1"/>
  <c r="B491" i="1"/>
  <c r="A491" i="1"/>
  <c r="E490" i="1"/>
  <c r="D490" i="1"/>
  <c r="C490" i="1"/>
  <c r="B490" i="1"/>
  <c r="A490" i="1"/>
  <c r="E489" i="1"/>
  <c r="D489" i="1"/>
  <c r="C489" i="1"/>
  <c r="B489" i="1"/>
  <c r="A489" i="1"/>
  <c r="E488" i="1"/>
  <c r="D488" i="1"/>
  <c r="C488" i="1"/>
  <c r="B488" i="1"/>
  <c r="A488" i="1"/>
  <c r="E487" i="1"/>
  <c r="D487" i="1"/>
  <c r="C487" i="1"/>
  <c r="B487" i="1"/>
  <c r="A487" i="1"/>
  <c r="E486" i="1"/>
  <c r="D486" i="1"/>
  <c r="C486" i="1"/>
  <c r="B486" i="1"/>
  <c r="A486" i="1"/>
  <c r="E485" i="1"/>
  <c r="D485" i="1"/>
  <c r="C485" i="1"/>
  <c r="B485" i="1"/>
  <c r="A485" i="1"/>
  <c r="E484" i="1"/>
  <c r="D484" i="1"/>
  <c r="C484" i="1"/>
  <c r="B484" i="1"/>
  <c r="A484" i="1"/>
  <c r="E483" i="1"/>
  <c r="D483" i="1"/>
  <c r="C483" i="1"/>
  <c r="B483" i="1"/>
  <c r="A483" i="1"/>
  <c r="E482" i="1"/>
  <c r="D482" i="1"/>
  <c r="C482" i="1"/>
  <c r="B482" i="1"/>
  <c r="A482" i="1"/>
  <c r="E481" i="1"/>
  <c r="D481" i="1"/>
  <c r="C481" i="1"/>
  <c r="B481" i="1"/>
  <c r="A481" i="1"/>
  <c r="E480" i="1"/>
  <c r="D480" i="1"/>
  <c r="C480" i="1"/>
  <c r="B480" i="1"/>
  <c r="A480" i="1"/>
  <c r="E479" i="1"/>
  <c r="D479" i="1"/>
  <c r="C479" i="1"/>
  <c r="B479" i="1"/>
  <c r="A479" i="1"/>
  <c r="E478" i="1"/>
  <c r="D478" i="1"/>
  <c r="C478" i="1"/>
  <c r="B478" i="1"/>
  <c r="A478" i="1"/>
  <c r="E477" i="1"/>
  <c r="D477" i="1"/>
  <c r="C477" i="1"/>
  <c r="B477" i="1"/>
  <c r="A477" i="1"/>
  <c r="E476" i="1"/>
  <c r="D476" i="1"/>
  <c r="C476" i="1"/>
  <c r="B476" i="1"/>
  <c r="A476" i="1"/>
  <c r="E475" i="1"/>
  <c r="D475" i="1"/>
  <c r="C475" i="1"/>
  <c r="B475" i="1"/>
  <c r="A475" i="1"/>
  <c r="E474" i="1"/>
  <c r="D474" i="1"/>
  <c r="C474" i="1"/>
  <c r="B474" i="1"/>
  <c r="A474" i="1"/>
  <c r="E473" i="1"/>
  <c r="D473" i="1"/>
  <c r="C473" i="1"/>
  <c r="B473" i="1"/>
  <c r="A473" i="1"/>
  <c r="E472" i="1"/>
  <c r="D472" i="1"/>
  <c r="C472" i="1"/>
  <c r="B472" i="1"/>
  <c r="A472" i="1"/>
  <c r="E471" i="1"/>
  <c r="D471" i="1"/>
  <c r="C471" i="1"/>
  <c r="B471" i="1"/>
  <c r="A471" i="1"/>
  <c r="E470" i="1"/>
  <c r="D470" i="1"/>
  <c r="C470" i="1"/>
  <c r="B470" i="1"/>
  <c r="A470" i="1"/>
  <c r="E469" i="1"/>
  <c r="D469" i="1"/>
  <c r="C469" i="1"/>
  <c r="B469" i="1"/>
  <c r="A469" i="1"/>
  <c r="E468" i="1"/>
  <c r="D468" i="1"/>
  <c r="C468" i="1"/>
  <c r="B468" i="1"/>
  <c r="A468" i="1"/>
  <c r="E467" i="1"/>
  <c r="D467" i="1"/>
  <c r="C467" i="1"/>
  <c r="B467" i="1"/>
  <c r="A467" i="1"/>
  <c r="E466" i="1"/>
  <c r="D466" i="1"/>
  <c r="C466" i="1"/>
  <c r="B466" i="1"/>
  <c r="A466" i="1"/>
  <c r="E465" i="1"/>
  <c r="D465" i="1"/>
  <c r="C465" i="1"/>
  <c r="B465" i="1"/>
  <c r="A465" i="1"/>
  <c r="E464" i="1"/>
  <c r="D464" i="1"/>
  <c r="C464" i="1"/>
  <c r="B464" i="1"/>
  <c r="A464" i="1"/>
  <c r="E463" i="1"/>
  <c r="D463" i="1"/>
  <c r="C463" i="1"/>
  <c r="B463" i="1"/>
  <c r="A463" i="1"/>
  <c r="E462" i="1"/>
  <c r="D462" i="1"/>
  <c r="C462" i="1"/>
  <c r="B462" i="1"/>
  <c r="A462" i="1"/>
  <c r="E461" i="1"/>
  <c r="D461" i="1"/>
  <c r="C461" i="1"/>
  <c r="B461" i="1"/>
  <c r="A461" i="1"/>
  <c r="E460" i="1"/>
  <c r="D460" i="1"/>
  <c r="C460" i="1"/>
  <c r="B460" i="1"/>
  <c r="A460" i="1"/>
  <c r="E459" i="1"/>
  <c r="D459" i="1"/>
  <c r="C459" i="1"/>
  <c r="B459" i="1"/>
  <c r="A459" i="1"/>
  <c r="E458" i="1"/>
  <c r="D458" i="1"/>
  <c r="C458" i="1"/>
  <c r="B458" i="1"/>
  <c r="A458" i="1"/>
  <c r="E457" i="1"/>
  <c r="D457" i="1"/>
  <c r="C457" i="1"/>
  <c r="B457" i="1"/>
  <c r="A457" i="1"/>
  <c r="E456" i="1"/>
  <c r="D456" i="1"/>
  <c r="C456" i="1"/>
  <c r="B456" i="1"/>
  <c r="A456" i="1"/>
  <c r="E455" i="1"/>
  <c r="D455" i="1"/>
  <c r="C455" i="1"/>
  <c r="B455" i="1"/>
  <c r="A455" i="1"/>
  <c r="E454" i="1"/>
  <c r="D454" i="1"/>
  <c r="C454" i="1"/>
  <c r="B454" i="1"/>
  <c r="A454" i="1"/>
  <c r="E453" i="1"/>
  <c r="D453" i="1"/>
  <c r="C453" i="1"/>
  <c r="B453" i="1"/>
  <c r="A453" i="1"/>
  <c r="E452" i="1"/>
  <c r="D452" i="1"/>
  <c r="C452" i="1"/>
  <c r="B452" i="1"/>
  <c r="A452" i="1"/>
  <c r="E451" i="1"/>
  <c r="D451" i="1"/>
  <c r="C451" i="1"/>
  <c r="B451" i="1"/>
  <c r="A451" i="1"/>
  <c r="E450" i="1"/>
  <c r="D450" i="1"/>
  <c r="C450" i="1"/>
  <c r="B450" i="1"/>
  <c r="A450" i="1"/>
  <c r="E449" i="1"/>
  <c r="D449" i="1"/>
  <c r="C449" i="1"/>
  <c r="B449" i="1"/>
  <c r="A449" i="1"/>
  <c r="E448" i="1"/>
  <c r="D448" i="1"/>
  <c r="C448" i="1"/>
  <c r="B448" i="1"/>
  <c r="A448" i="1"/>
  <c r="E447" i="1"/>
  <c r="D447" i="1"/>
  <c r="C447" i="1"/>
  <c r="B447" i="1"/>
  <c r="A447" i="1"/>
  <c r="E446" i="1"/>
  <c r="D446" i="1"/>
  <c r="C446" i="1"/>
  <c r="B446" i="1"/>
  <c r="A446" i="1"/>
  <c r="E445" i="1"/>
  <c r="D445" i="1"/>
  <c r="C445" i="1"/>
  <c r="B445" i="1"/>
  <c r="A445" i="1"/>
  <c r="E444" i="1"/>
  <c r="D444" i="1"/>
  <c r="C444" i="1"/>
  <c r="B444" i="1"/>
  <c r="A444" i="1"/>
  <c r="E443" i="1"/>
  <c r="D443" i="1"/>
  <c r="C443" i="1"/>
  <c r="B443" i="1"/>
  <c r="A443" i="1"/>
  <c r="E442" i="1"/>
  <c r="D442" i="1"/>
  <c r="C442" i="1"/>
  <c r="B442" i="1"/>
  <c r="A442" i="1"/>
  <c r="E441" i="1"/>
  <c r="D441" i="1"/>
  <c r="C441" i="1"/>
  <c r="B441" i="1"/>
  <c r="A441" i="1"/>
  <c r="E440" i="1"/>
  <c r="D440" i="1"/>
  <c r="C440" i="1"/>
  <c r="B440" i="1"/>
  <c r="A440" i="1"/>
  <c r="E439" i="1"/>
  <c r="D439" i="1"/>
  <c r="C439" i="1"/>
  <c r="B439" i="1"/>
  <c r="A439" i="1"/>
  <c r="E438" i="1"/>
  <c r="D438" i="1"/>
  <c r="C438" i="1"/>
  <c r="B438" i="1"/>
  <c r="A438" i="1"/>
  <c r="E437" i="1"/>
  <c r="D437" i="1"/>
  <c r="C437" i="1"/>
  <c r="B437" i="1"/>
  <c r="A437" i="1"/>
  <c r="E436" i="1"/>
  <c r="D436" i="1"/>
  <c r="C436" i="1"/>
  <c r="B436" i="1"/>
  <c r="A436" i="1"/>
  <c r="E435" i="1"/>
  <c r="D435" i="1"/>
  <c r="C435" i="1"/>
  <c r="B435" i="1"/>
  <c r="A435" i="1"/>
  <c r="E434" i="1"/>
  <c r="D434" i="1"/>
  <c r="C434" i="1"/>
  <c r="B434" i="1"/>
  <c r="A434" i="1"/>
  <c r="E433" i="1"/>
  <c r="D433" i="1"/>
  <c r="C433" i="1"/>
  <c r="B433" i="1"/>
  <c r="A433" i="1"/>
  <c r="E432" i="1"/>
  <c r="D432" i="1"/>
  <c r="C432" i="1"/>
  <c r="B432" i="1"/>
  <c r="A432" i="1"/>
  <c r="E431" i="1"/>
  <c r="D431" i="1"/>
  <c r="C431" i="1"/>
  <c r="B431" i="1"/>
  <c r="A431" i="1"/>
  <c r="E430" i="1"/>
  <c r="D430" i="1"/>
  <c r="C430" i="1"/>
  <c r="B430" i="1"/>
  <c r="A430" i="1"/>
  <c r="E429" i="1"/>
  <c r="D429" i="1"/>
  <c r="C429" i="1"/>
  <c r="B429" i="1"/>
  <c r="A429" i="1"/>
  <c r="E428" i="1"/>
  <c r="D428" i="1"/>
  <c r="C428" i="1"/>
  <c r="B428" i="1"/>
  <c r="A428" i="1"/>
  <c r="E427" i="1"/>
  <c r="D427" i="1"/>
  <c r="C427" i="1"/>
  <c r="B427" i="1"/>
  <c r="A427" i="1"/>
  <c r="E426" i="1"/>
  <c r="D426" i="1"/>
  <c r="C426" i="1"/>
  <c r="B426" i="1"/>
  <c r="A426" i="1"/>
  <c r="E425" i="1"/>
  <c r="D425" i="1"/>
  <c r="C425" i="1"/>
  <c r="B425" i="1"/>
  <c r="A425" i="1"/>
  <c r="E424" i="1"/>
  <c r="D424" i="1"/>
  <c r="C424" i="1"/>
  <c r="B424" i="1"/>
  <c r="A424" i="1"/>
  <c r="E423" i="1"/>
  <c r="D423" i="1"/>
  <c r="C423" i="1"/>
  <c r="B423" i="1"/>
  <c r="A423" i="1"/>
  <c r="E422" i="1"/>
  <c r="D422" i="1"/>
  <c r="C422" i="1"/>
  <c r="B422" i="1"/>
  <c r="A422" i="1"/>
  <c r="E421" i="1"/>
  <c r="D421" i="1"/>
  <c r="C421" i="1"/>
  <c r="B421" i="1"/>
  <c r="A421" i="1"/>
  <c r="E420" i="1"/>
  <c r="D420" i="1"/>
  <c r="C420" i="1"/>
  <c r="B420" i="1"/>
  <c r="A420" i="1"/>
  <c r="E419" i="1"/>
  <c r="D419" i="1"/>
  <c r="C419" i="1"/>
  <c r="B419" i="1"/>
  <c r="A419" i="1"/>
  <c r="E418" i="1"/>
  <c r="D418" i="1"/>
  <c r="C418" i="1"/>
  <c r="B418" i="1"/>
  <c r="A418" i="1"/>
  <c r="E417" i="1"/>
  <c r="D417" i="1"/>
  <c r="C417" i="1"/>
  <c r="B417" i="1"/>
  <c r="A417" i="1"/>
  <c r="E416" i="1"/>
  <c r="D416" i="1"/>
  <c r="C416" i="1"/>
  <c r="B416" i="1"/>
  <c r="A416" i="1"/>
  <c r="E415" i="1"/>
  <c r="D415" i="1"/>
  <c r="C415" i="1"/>
  <c r="B415" i="1"/>
  <c r="A415" i="1"/>
  <c r="E414" i="1"/>
  <c r="D414" i="1"/>
  <c r="C414" i="1"/>
  <c r="B414" i="1"/>
  <c r="A414" i="1"/>
  <c r="E413" i="1"/>
  <c r="D413" i="1"/>
  <c r="C413" i="1"/>
  <c r="B413" i="1"/>
  <c r="A413" i="1"/>
  <c r="E412" i="1"/>
  <c r="D412" i="1"/>
  <c r="C412" i="1"/>
  <c r="B412" i="1"/>
  <c r="A412" i="1"/>
  <c r="E411" i="1"/>
  <c r="D411" i="1"/>
  <c r="C411" i="1"/>
  <c r="B411" i="1"/>
  <c r="A411" i="1"/>
  <c r="E410" i="1"/>
  <c r="D410" i="1"/>
  <c r="C410" i="1"/>
  <c r="B410" i="1"/>
  <c r="A410" i="1"/>
  <c r="E409" i="1"/>
  <c r="D409" i="1"/>
  <c r="C409" i="1"/>
  <c r="B409" i="1"/>
  <c r="A409" i="1"/>
  <c r="E408" i="1"/>
  <c r="D408" i="1"/>
  <c r="C408" i="1"/>
  <c r="B408" i="1"/>
  <c r="A408" i="1"/>
  <c r="E407" i="1"/>
  <c r="D407" i="1"/>
  <c r="C407" i="1"/>
  <c r="B407" i="1"/>
  <c r="A407" i="1"/>
  <c r="E406" i="1"/>
  <c r="D406" i="1"/>
  <c r="C406" i="1"/>
  <c r="B406" i="1"/>
  <c r="A406" i="1"/>
  <c r="E405" i="1"/>
  <c r="D405" i="1"/>
  <c r="C405" i="1"/>
  <c r="B405" i="1"/>
  <c r="A405" i="1"/>
  <c r="E404" i="1"/>
  <c r="D404" i="1"/>
  <c r="C404" i="1"/>
  <c r="B404" i="1"/>
  <c r="A404" i="1"/>
  <c r="E403" i="1"/>
  <c r="D403" i="1"/>
  <c r="C403" i="1"/>
  <c r="B403" i="1"/>
  <c r="A403" i="1"/>
  <c r="E402" i="1"/>
  <c r="D402" i="1"/>
  <c r="C402" i="1"/>
  <c r="B402" i="1"/>
  <c r="A402" i="1"/>
  <c r="E401" i="1"/>
  <c r="D401" i="1"/>
  <c r="C401" i="1"/>
  <c r="B401" i="1"/>
  <c r="A401" i="1"/>
  <c r="E400" i="1"/>
  <c r="D400" i="1"/>
  <c r="C400" i="1"/>
  <c r="B400" i="1"/>
  <c r="A400" i="1"/>
  <c r="E399" i="1"/>
  <c r="D399" i="1"/>
  <c r="C399" i="1"/>
  <c r="B399" i="1"/>
  <c r="A399" i="1"/>
  <c r="E398" i="1"/>
  <c r="D398" i="1"/>
  <c r="C398" i="1"/>
  <c r="B398" i="1"/>
  <c r="A398" i="1"/>
  <c r="E397" i="1"/>
  <c r="D397" i="1"/>
  <c r="C397" i="1"/>
  <c r="B397" i="1"/>
  <c r="A397" i="1"/>
  <c r="E396" i="1"/>
  <c r="D396" i="1"/>
  <c r="C396" i="1"/>
  <c r="B396" i="1"/>
  <c r="A396" i="1"/>
  <c r="E395" i="1"/>
  <c r="D395" i="1"/>
  <c r="C395" i="1"/>
  <c r="B395" i="1"/>
  <c r="A395" i="1"/>
  <c r="E394" i="1"/>
  <c r="D394" i="1"/>
  <c r="C394" i="1"/>
  <c r="B394" i="1"/>
  <c r="A394" i="1"/>
  <c r="E393" i="1"/>
  <c r="D393" i="1"/>
  <c r="C393" i="1"/>
  <c r="B393" i="1"/>
  <c r="A393" i="1"/>
  <c r="E392" i="1"/>
  <c r="D392" i="1"/>
  <c r="C392" i="1"/>
  <c r="B392" i="1"/>
  <c r="A392" i="1"/>
  <c r="E391" i="1"/>
  <c r="D391" i="1"/>
  <c r="C391" i="1"/>
  <c r="B391" i="1"/>
  <c r="A391" i="1"/>
  <c r="E390" i="1"/>
  <c r="D390" i="1"/>
  <c r="C390" i="1"/>
  <c r="B390" i="1"/>
  <c r="A390" i="1"/>
  <c r="E389" i="1"/>
  <c r="D389" i="1"/>
  <c r="C389" i="1"/>
  <c r="B389" i="1"/>
  <c r="A389" i="1"/>
  <c r="E388" i="1"/>
  <c r="D388" i="1"/>
  <c r="C388" i="1"/>
  <c r="B388" i="1"/>
  <c r="A388" i="1"/>
  <c r="E387" i="1"/>
  <c r="D387" i="1"/>
  <c r="C387" i="1"/>
  <c r="B387" i="1"/>
  <c r="A387" i="1"/>
  <c r="E386" i="1"/>
  <c r="D386" i="1"/>
  <c r="C386" i="1"/>
  <c r="B386" i="1"/>
  <c r="A386" i="1"/>
  <c r="E385" i="1"/>
  <c r="D385" i="1"/>
  <c r="C385" i="1"/>
  <c r="B385" i="1"/>
  <c r="A385" i="1"/>
  <c r="E384" i="1"/>
  <c r="D384" i="1"/>
  <c r="C384" i="1"/>
  <c r="B384" i="1"/>
  <c r="A384" i="1"/>
  <c r="E383" i="1"/>
  <c r="D383" i="1"/>
  <c r="C383" i="1"/>
  <c r="B383" i="1"/>
  <c r="A383" i="1"/>
  <c r="E382" i="1"/>
  <c r="D382" i="1"/>
  <c r="C382" i="1"/>
  <c r="B382" i="1"/>
  <c r="A382" i="1"/>
  <c r="E381" i="1"/>
  <c r="D381" i="1"/>
  <c r="C381" i="1"/>
  <c r="B381" i="1"/>
  <c r="A381" i="1"/>
  <c r="E380" i="1"/>
  <c r="D380" i="1"/>
  <c r="C380" i="1"/>
  <c r="B380" i="1"/>
  <c r="A380" i="1"/>
  <c r="E379" i="1"/>
  <c r="D379" i="1"/>
  <c r="C379" i="1"/>
  <c r="B379" i="1"/>
  <c r="A379" i="1"/>
  <c r="E378" i="1"/>
  <c r="D378" i="1"/>
  <c r="C378" i="1"/>
  <c r="B378" i="1"/>
  <c r="A378" i="1"/>
  <c r="E377" i="1"/>
  <c r="D377" i="1"/>
  <c r="C377" i="1"/>
  <c r="B377" i="1"/>
  <c r="A377" i="1"/>
  <c r="E376" i="1"/>
  <c r="D376" i="1"/>
  <c r="C376" i="1"/>
  <c r="B376" i="1"/>
  <c r="A376" i="1"/>
  <c r="E375" i="1"/>
  <c r="D375" i="1"/>
  <c r="C375" i="1"/>
  <c r="B375" i="1"/>
  <c r="A375" i="1"/>
  <c r="E374" i="1"/>
  <c r="D374" i="1"/>
  <c r="C374" i="1"/>
  <c r="B374" i="1"/>
  <c r="A374" i="1"/>
  <c r="E373" i="1"/>
  <c r="D373" i="1"/>
  <c r="C373" i="1"/>
  <c r="B373" i="1"/>
  <c r="A373" i="1"/>
  <c r="E372" i="1"/>
  <c r="D372" i="1"/>
  <c r="C372" i="1"/>
  <c r="B372" i="1"/>
  <c r="A372" i="1"/>
  <c r="E371" i="1"/>
  <c r="D371" i="1"/>
  <c r="C371" i="1"/>
  <c r="B371" i="1"/>
  <c r="A371" i="1"/>
  <c r="E370" i="1"/>
  <c r="D370" i="1"/>
  <c r="C370" i="1"/>
  <c r="B370" i="1"/>
  <c r="A370" i="1"/>
  <c r="E369" i="1"/>
  <c r="D369" i="1"/>
  <c r="C369" i="1"/>
  <c r="B369" i="1"/>
  <c r="A369" i="1"/>
  <c r="E368" i="1"/>
  <c r="D368" i="1"/>
  <c r="C368" i="1"/>
  <c r="B368" i="1"/>
  <c r="A368" i="1"/>
  <c r="E367" i="1"/>
  <c r="D367" i="1"/>
  <c r="C367" i="1"/>
  <c r="B367" i="1"/>
  <c r="A367" i="1"/>
  <c r="E366" i="1"/>
  <c r="D366" i="1"/>
  <c r="C366" i="1"/>
  <c r="B366" i="1"/>
  <c r="A366" i="1"/>
  <c r="E365" i="1"/>
  <c r="D365" i="1"/>
  <c r="C365" i="1"/>
  <c r="B365" i="1"/>
  <c r="A365" i="1"/>
  <c r="E364" i="1"/>
  <c r="D364" i="1"/>
  <c r="C364" i="1"/>
  <c r="B364" i="1"/>
  <c r="A364" i="1"/>
  <c r="E363" i="1"/>
  <c r="D363" i="1"/>
  <c r="C363" i="1"/>
  <c r="B363" i="1"/>
  <c r="A363" i="1"/>
  <c r="E362" i="1"/>
  <c r="D362" i="1"/>
  <c r="C362" i="1"/>
  <c r="B362" i="1"/>
  <c r="A362" i="1"/>
  <c r="E361" i="1"/>
  <c r="D361" i="1"/>
  <c r="C361" i="1"/>
  <c r="B361" i="1"/>
  <c r="A361" i="1"/>
  <c r="E360" i="1"/>
  <c r="D360" i="1"/>
  <c r="C360" i="1"/>
  <c r="B360" i="1"/>
  <c r="A360" i="1"/>
  <c r="E359" i="1"/>
  <c r="D359" i="1"/>
  <c r="C359" i="1"/>
  <c r="B359" i="1"/>
  <c r="A359" i="1"/>
  <c r="E358" i="1"/>
  <c r="D358" i="1"/>
  <c r="C358" i="1"/>
  <c r="B358" i="1"/>
  <c r="A358" i="1"/>
  <c r="E357" i="1"/>
  <c r="D357" i="1"/>
  <c r="C357" i="1"/>
  <c r="B357" i="1"/>
  <c r="A357" i="1"/>
  <c r="E356" i="1"/>
  <c r="D356" i="1"/>
  <c r="C356" i="1"/>
  <c r="B356" i="1"/>
  <c r="A356" i="1"/>
  <c r="E355" i="1"/>
  <c r="D355" i="1"/>
  <c r="C355" i="1"/>
  <c r="B355" i="1"/>
  <c r="A355" i="1"/>
  <c r="E354" i="1"/>
  <c r="D354" i="1"/>
  <c r="C354" i="1"/>
  <c r="B354" i="1"/>
  <c r="A354" i="1"/>
  <c r="E353" i="1"/>
  <c r="D353" i="1"/>
  <c r="C353" i="1"/>
  <c r="B353" i="1"/>
  <c r="A353" i="1"/>
  <c r="E352" i="1"/>
  <c r="D352" i="1"/>
  <c r="C352" i="1"/>
  <c r="B352" i="1"/>
  <c r="A352" i="1"/>
  <c r="E351" i="1"/>
  <c r="D351" i="1"/>
  <c r="C351" i="1"/>
  <c r="B351" i="1"/>
  <c r="A351" i="1"/>
  <c r="E350" i="1"/>
  <c r="D350" i="1"/>
  <c r="C350" i="1"/>
  <c r="B350" i="1"/>
  <c r="A350" i="1"/>
  <c r="E349" i="1"/>
  <c r="D349" i="1"/>
  <c r="C349" i="1"/>
  <c r="B349" i="1"/>
  <c r="A349" i="1"/>
  <c r="E348" i="1"/>
  <c r="D348" i="1"/>
  <c r="C348" i="1"/>
  <c r="B348" i="1"/>
  <c r="A348" i="1"/>
  <c r="E347" i="1"/>
  <c r="D347" i="1"/>
  <c r="C347" i="1"/>
  <c r="B347" i="1"/>
  <c r="A347" i="1"/>
  <c r="E346" i="1"/>
  <c r="D346" i="1"/>
  <c r="C346" i="1"/>
  <c r="B346" i="1"/>
  <c r="A346" i="1"/>
  <c r="E345" i="1"/>
  <c r="D345" i="1"/>
  <c r="C345" i="1"/>
  <c r="B345" i="1"/>
  <c r="A345" i="1"/>
  <c r="E344" i="1"/>
  <c r="D344" i="1"/>
  <c r="C344" i="1"/>
  <c r="B344" i="1"/>
  <c r="A344" i="1"/>
  <c r="E343" i="1"/>
  <c r="D343" i="1"/>
  <c r="C343" i="1"/>
  <c r="B343" i="1"/>
  <c r="A343" i="1"/>
  <c r="E342" i="1"/>
  <c r="D342" i="1"/>
  <c r="C342" i="1"/>
  <c r="B342" i="1"/>
  <c r="A342" i="1"/>
  <c r="E341" i="1"/>
  <c r="D341" i="1"/>
  <c r="C341" i="1"/>
  <c r="B341" i="1"/>
  <c r="A341" i="1"/>
  <c r="E340" i="1"/>
  <c r="D340" i="1"/>
  <c r="C340" i="1"/>
  <c r="B340" i="1"/>
  <c r="A340" i="1"/>
  <c r="E339" i="1"/>
  <c r="D339" i="1"/>
  <c r="C339" i="1"/>
  <c r="B339" i="1"/>
  <c r="A339" i="1"/>
  <c r="E338" i="1"/>
  <c r="D338" i="1"/>
  <c r="C338" i="1"/>
  <c r="B338" i="1"/>
  <c r="A338" i="1"/>
  <c r="E337" i="1"/>
  <c r="D337" i="1"/>
  <c r="C337" i="1"/>
  <c r="B337" i="1"/>
  <c r="A337" i="1"/>
  <c r="E336" i="1"/>
  <c r="D336" i="1"/>
  <c r="C336" i="1"/>
  <c r="B336" i="1"/>
  <c r="A336" i="1"/>
  <c r="E335" i="1"/>
  <c r="D335" i="1"/>
  <c r="C335" i="1"/>
  <c r="B335" i="1"/>
  <c r="A335" i="1"/>
  <c r="E334" i="1"/>
  <c r="D334" i="1"/>
  <c r="C334" i="1"/>
  <c r="B334" i="1"/>
  <c r="A334" i="1"/>
  <c r="E333" i="1"/>
  <c r="D333" i="1"/>
  <c r="C333" i="1"/>
  <c r="B333" i="1"/>
  <c r="A333" i="1"/>
  <c r="E332" i="1"/>
  <c r="D332" i="1"/>
  <c r="C332" i="1"/>
  <c r="B332" i="1"/>
  <c r="A332" i="1"/>
  <c r="E331" i="1"/>
  <c r="D331" i="1"/>
  <c r="C331" i="1"/>
  <c r="B331" i="1"/>
  <c r="A331" i="1"/>
  <c r="E330" i="1"/>
  <c r="D330" i="1"/>
  <c r="C330" i="1"/>
  <c r="B330" i="1"/>
  <c r="A330" i="1"/>
  <c r="E329" i="1"/>
  <c r="D329" i="1"/>
  <c r="C329" i="1"/>
  <c r="B329" i="1"/>
  <c r="A329" i="1"/>
  <c r="E328" i="1"/>
  <c r="D328" i="1"/>
  <c r="C328" i="1"/>
  <c r="B328" i="1"/>
  <c r="A328" i="1"/>
  <c r="E327" i="1"/>
  <c r="D327" i="1"/>
  <c r="C327" i="1"/>
  <c r="B327" i="1"/>
  <c r="A327" i="1"/>
  <c r="E326" i="1"/>
  <c r="D326" i="1"/>
  <c r="C326" i="1"/>
  <c r="B326" i="1"/>
  <c r="A326" i="1"/>
  <c r="E325" i="1"/>
  <c r="D325" i="1"/>
  <c r="C325" i="1"/>
  <c r="B325" i="1"/>
  <c r="A325" i="1"/>
  <c r="E324" i="1"/>
  <c r="D324" i="1"/>
  <c r="C324" i="1"/>
  <c r="B324" i="1"/>
  <c r="A324" i="1"/>
  <c r="E323" i="1"/>
  <c r="D323" i="1"/>
  <c r="C323" i="1"/>
  <c r="B323" i="1"/>
  <c r="A323" i="1"/>
  <c r="E322" i="1"/>
  <c r="D322" i="1"/>
  <c r="C322" i="1"/>
  <c r="B322" i="1"/>
  <c r="A322" i="1"/>
  <c r="E321" i="1"/>
  <c r="D321" i="1"/>
  <c r="C321" i="1"/>
  <c r="B321" i="1"/>
  <c r="A321" i="1"/>
  <c r="E320" i="1"/>
  <c r="D320" i="1"/>
  <c r="C320" i="1"/>
  <c r="B320" i="1"/>
  <c r="A320" i="1"/>
  <c r="E319" i="1"/>
  <c r="D319" i="1"/>
  <c r="C319" i="1"/>
  <c r="B319" i="1"/>
  <c r="A319" i="1"/>
  <c r="E318" i="1"/>
  <c r="D318" i="1"/>
  <c r="C318" i="1"/>
  <c r="B318" i="1"/>
  <c r="A318" i="1"/>
  <c r="E317" i="1"/>
  <c r="D317" i="1"/>
  <c r="C317" i="1"/>
  <c r="B317" i="1"/>
  <c r="A317" i="1"/>
  <c r="E316" i="1"/>
  <c r="D316" i="1"/>
  <c r="C316" i="1"/>
  <c r="B316" i="1"/>
  <c r="A316" i="1"/>
  <c r="E315" i="1"/>
  <c r="D315" i="1"/>
  <c r="C315" i="1"/>
  <c r="B315" i="1"/>
  <c r="A315" i="1"/>
  <c r="E314" i="1"/>
  <c r="D314" i="1"/>
  <c r="C314" i="1"/>
  <c r="B314" i="1"/>
  <c r="A314" i="1"/>
  <c r="E313" i="1"/>
  <c r="D313" i="1"/>
  <c r="C313" i="1"/>
  <c r="B313" i="1"/>
  <c r="A313" i="1"/>
  <c r="E312" i="1"/>
  <c r="D312" i="1"/>
  <c r="C312" i="1"/>
  <c r="B312" i="1"/>
  <c r="A312" i="1"/>
  <c r="E311" i="1"/>
  <c r="D311" i="1"/>
  <c r="C311" i="1"/>
  <c r="B311" i="1"/>
  <c r="A311" i="1"/>
  <c r="E310" i="1"/>
  <c r="D310" i="1"/>
  <c r="C310" i="1"/>
  <c r="B310" i="1"/>
  <c r="A310" i="1"/>
  <c r="E309" i="1"/>
  <c r="D309" i="1"/>
  <c r="C309" i="1"/>
  <c r="B309" i="1"/>
  <c r="A309" i="1"/>
  <c r="E308" i="1"/>
  <c r="D308" i="1"/>
  <c r="C308" i="1"/>
  <c r="B308" i="1"/>
  <c r="A308" i="1"/>
  <c r="E307" i="1"/>
  <c r="D307" i="1"/>
  <c r="C307" i="1"/>
  <c r="B307" i="1"/>
  <c r="A307" i="1"/>
  <c r="E306" i="1"/>
  <c r="D306" i="1"/>
  <c r="C306" i="1"/>
  <c r="B306" i="1"/>
  <c r="A306" i="1"/>
  <c r="E305" i="1"/>
  <c r="D305" i="1"/>
  <c r="C305" i="1"/>
  <c r="B305" i="1"/>
  <c r="A305" i="1"/>
  <c r="E304" i="1"/>
  <c r="D304" i="1"/>
  <c r="C304" i="1"/>
  <c r="B304" i="1"/>
  <c r="A304" i="1"/>
  <c r="E303" i="1"/>
  <c r="D303" i="1"/>
  <c r="C303" i="1"/>
  <c r="B303" i="1"/>
  <c r="A303" i="1"/>
  <c r="E302" i="1"/>
  <c r="D302" i="1"/>
  <c r="C302" i="1"/>
  <c r="B302" i="1"/>
  <c r="A302" i="1"/>
  <c r="E301" i="1"/>
  <c r="D301" i="1"/>
  <c r="C301" i="1"/>
  <c r="B301" i="1"/>
  <c r="A301" i="1"/>
  <c r="E300" i="1"/>
  <c r="D300" i="1"/>
  <c r="C300" i="1"/>
  <c r="B300" i="1"/>
  <c r="A300" i="1"/>
  <c r="E299" i="1"/>
  <c r="D299" i="1"/>
  <c r="C299" i="1"/>
  <c r="B299" i="1"/>
  <c r="A299" i="1"/>
  <c r="E298" i="1"/>
  <c r="D298" i="1"/>
  <c r="C298" i="1"/>
  <c r="B298" i="1"/>
  <c r="A298" i="1"/>
  <c r="E297" i="1"/>
  <c r="D297" i="1"/>
  <c r="C297" i="1"/>
  <c r="B297" i="1"/>
  <c r="A297" i="1"/>
  <c r="E296" i="1"/>
  <c r="D296" i="1"/>
  <c r="C296" i="1"/>
  <c r="B296" i="1"/>
  <c r="A296" i="1"/>
  <c r="E295" i="1"/>
  <c r="D295" i="1"/>
  <c r="C295" i="1"/>
  <c r="B295" i="1"/>
  <c r="A295" i="1"/>
  <c r="E294" i="1"/>
  <c r="D294" i="1"/>
  <c r="C294" i="1"/>
  <c r="B294" i="1"/>
  <c r="A294" i="1"/>
  <c r="E293" i="1"/>
  <c r="D293" i="1"/>
  <c r="C293" i="1"/>
  <c r="B293" i="1"/>
  <c r="A293" i="1"/>
  <c r="E292" i="1"/>
  <c r="D292" i="1"/>
  <c r="C292" i="1"/>
  <c r="B292" i="1"/>
  <c r="A292" i="1"/>
  <c r="E291" i="1"/>
  <c r="D291" i="1"/>
  <c r="C291" i="1"/>
  <c r="B291" i="1"/>
  <c r="A291" i="1"/>
  <c r="E290" i="1"/>
  <c r="D290" i="1"/>
  <c r="C290" i="1"/>
  <c r="B290" i="1"/>
  <c r="A290" i="1"/>
  <c r="E289" i="1"/>
  <c r="D289" i="1"/>
  <c r="C289" i="1"/>
  <c r="B289" i="1"/>
  <c r="A289" i="1"/>
  <c r="E288" i="1"/>
  <c r="D288" i="1"/>
  <c r="C288" i="1"/>
  <c r="B288" i="1"/>
  <c r="A288" i="1"/>
  <c r="E287" i="1"/>
  <c r="D287" i="1"/>
  <c r="C287" i="1"/>
  <c r="B287" i="1"/>
  <c r="A287" i="1"/>
  <c r="E286" i="1"/>
  <c r="D286" i="1"/>
  <c r="C286" i="1"/>
  <c r="B286" i="1"/>
  <c r="A286" i="1"/>
  <c r="E285" i="1"/>
  <c r="D285" i="1"/>
  <c r="C285" i="1"/>
  <c r="B285" i="1"/>
  <c r="A285" i="1"/>
  <c r="E284" i="1"/>
  <c r="D284" i="1"/>
  <c r="C284" i="1"/>
  <c r="B284" i="1"/>
  <c r="A284" i="1"/>
  <c r="E283" i="1"/>
  <c r="D283" i="1"/>
  <c r="C283" i="1"/>
  <c r="B283" i="1"/>
  <c r="A283" i="1"/>
  <c r="E282" i="1"/>
  <c r="D282" i="1"/>
  <c r="C282" i="1"/>
  <c r="B282" i="1"/>
  <c r="A282" i="1"/>
  <c r="E281" i="1"/>
  <c r="D281" i="1"/>
  <c r="C281" i="1"/>
  <c r="B281" i="1"/>
  <c r="A281" i="1"/>
  <c r="E280" i="1"/>
  <c r="D280" i="1"/>
  <c r="C280" i="1"/>
  <c r="B280" i="1"/>
  <c r="A280" i="1"/>
  <c r="E279" i="1"/>
  <c r="D279" i="1"/>
  <c r="C279" i="1"/>
  <c r="B279" i="1"/>
  <c r="A279" i="1"/>
  <c r="E278" i="1"/>
  <c r="D278" i="1"/>
  <c r="C278" i="1"/>
  <c r="B278" i="1"/>
  <c r="A278" i="1"/>
  <c r="E277" i="1"/>
  <c r="D277" i="1"/>
  <c r="C277" i="1"/>
  <c r="B277" i="1"/>
  <c r="A277" i="1"/>
  <c r="E276" i="1"/>
  <c r="D276" i="1"/>
  <c r="C276" i="1"/>
  <c r="B276" i="1"/>
  <c r="A276" i="1"/>
  <c r="E275" i="1"/>
  <c r="D275" i="1"/>
  <c r="C275" i="1"/>
  <c r="B275" i="1"/>
  <c r="A275" i="1"/>
  <c r="E274" i="1"/>
  <c r="D274" i="1"/>
  <c r="C274" i="1"/>
  <c r="B274" i="1"/>
  <c r="A274" i="1"/>
  <c r="E273" i="1"/>
  <c r="D273" i="1"/>
  <c r="C273" i="1"/>
  <c r="B273" i="1"/>
  <c r="A273" i="1"/>
  <c r="E272" i="1"/>
  <c r="D272" i="1"/>
  <c r="C272" i="1"/>
  <c r="B272" i="1"/>
  <c r="A272" i="1"/>
  <c r="E271" i="1"/>
  <c r="D271" i="1"/>
  <c r="C271" i="1"/>
  <c r="B271" i="1"/>
  <c r="A271" i="1"/>
  <c r="E270" i="1"/>
  <c r="D270" i="1"/>
  <c r="C270" i="1"/>
  <c r="B270" i="1"/>
  <c r="A270" i="1"/>
  <c r="E269" i="1"/>
  <c r="D269" i="1"/>
  <c r="C269" i="1"/>
  <c r="B269" i="1"/>
  <c r="A269" i="1"/>
  <c r="E268" i="1"/>
  <c r="D268" i="1"/>
  <c r="C268" i="1"/>
  <c r="B268" i="1"/>
  <c r="A268" i="1"/>
  <c r="E267" i="1"/>
  <c r="D267" i="1"/>
  <c r="C267" i="1"/>
  <c r="B267" i="1"/>
  <c r="A267" i="1"/>
  <c r="E266" i="1"/>
  <c r="D266" i="1"/>
  <c r="C266" i="1"/>
  <c r="B266" i="1"/>
  <c r="A266" i="1"/>
  <c r="E265" i="1"/>
  <c r="D265" i="1"/>
  <c r="C265" i="1"/>
  <c r="B265" i="1"/>
  <c r="A265" i="1"/>
  <c r="E264" i="1"/>
  <c r="D264" i="1"/>
  <c r="C264" i="1"/>
  <c r="B264" i="1"/>
  <c r="A264" i="1"/>
  <c r="E263" i="1"/>
  <c r="D263" i="1"/>
  <c r="C263" i="1"/>
  <c r="B263" i="1"/>
  <c r="A263" i="1"/>
  <c r="E262" i="1"/>
  <c r="D262" i="1"/>
  <c r="C262" i="1"/>
  <c r="B262" i="1"/>
  <c r="A262" i="1"/>
  <c r="E261" i="1"/>
  <c r="D261" i="1"/>
  <c r="C261" i="1"/>
  <c r="B261" i="1"/>
  <c r="A261" i="1"/>
  <c r="E260" i="1"/>
  <c r="D260" i="1"/>
  <c r="C260" i="1"/>
  <c r="B260" i="1"/>
  <c r="A260" i="1"/>
  <c r="E259" i="1"/>
  <c r="D259" i="1"/>
  <c r="C259" i="1"/>
  <c r="B259" i="1"/>
  <c r="A259" i="1"/>
  <c r="E258" i="1"/>
  <c r="D258" i="1"/>
  <c r="C258" i="1"/>
  <c r="B258" i="1"/>
  <c r="A258" i="1"/>
  <c r="E257" i="1"/>
  <c r="D257" i="1"/>
  <c r="C257" i="1"/>
  <c r="B257" i="1"/>
  <c r="A257" i="1"/>
  <c r="E256" i="1"/>
  <c r="D256" i="1"/>
  <c r="C256" i="1"/>
  <c r="B256" i="1"/>
  <c r="A256" i="1"/>
  <c r="E255" i="1"/>
  <c r="D255" i="1"/>
  <c r="C255" i="1"/>
  <c r="B255" i="1"/>
  <c r="A255" i="1"/>
  <c r="E254" i="1"/>
  <c r="D254" i="1"/>
  <c r="C254" i="1"/>
  <c r="B254" i="1"/>
  <c r="A254" i="1"/>
  <c r="E253" i="1"/>
  <c r="D253" i="1"/>
  <c r="C253" i="1"/>
  <c r="B253" i="1"/>
  <c r="A253" i="1"/>
  <c r="E252" i="1"/>
  <c r="D252" i="1"/>
  <c r="C252" i="1"/>
  <c r="B252" i="1"/>
  <c r="A252" i="1"/>
  <c r="E251" i="1"/>
  <c r="D251" i="1"/>
  <c r="C251" i="1"/>
  <c r="B251" i="1"/>
  <c r="A251" i="1"/>
  <c r="E250" i="1"/>
  <c r="D250" i="1"/>
  <c r="C250" i="1"/>
  <c r="B250" i="1"/>
  <c r="A250" i="1"/>
  <c r="E249" i="1"/>
  <c r="D249" i="1"/>
  <c r="C249" i="1"/>
  <c r="B249" i="1"/>
  <c r="A249" i="1"/>
  <c r="E248" i="1"/>
  <c r="D248" i="1"/>
  <c r="C248" i="1"/>
  <c r="B248" i="1"/>
  <c r="A248" i="1"/>
  <c r="E247" i="1"/>
  <c r="D247" i="1"/>
  <c r="C247" i="1"/>
  <c r="B247" i="1"/>
  <c r="A247" i="1"/>
  <c r="E246" i="1"/>
  <c r="D246" i="1"/>
  <c r="C246" i="1"/>
  <c r="B246" i="1"/>
  <c r="A246" i="1"/>
  <c r="E245" i="1"/>
  <c r="D245" i="1"/>
  <c r="C245" i="1"/>
  <c r="B245" i="1"/>
  <c r="A245" i="1"/>
  <c r="E244" i="1"/>
  <c r="D244" i="1"/>
  <c r="C244" i="1"/>
  <c r="B244" i="1"/>
  <c r="A244" i="1"/>
  <c r="E243" i="1"/>
  <c r="D243" i="1"/>
  <c r="C243" i="1"/>
  <c r="B243" i="1"/>
  <c r="A243" i="1"/>
  <c r="E242" i="1"/>
  <c r="D242" i="1"/>
  <c r="C242" i="1"/>
  <c r="B242" i="1"/>
  <c r="A242" i="1"/>
  <c r="E241" i="1"/>
  <c r="D241" i="1"/>
  <c r="C241" i="1"/>
  <c r="B241" i="1"/>
  <c r="A241" i="1"/>
  <c r="E240" i="1"/>
  <c r="D240" i="1"/>
  <c r="C240" i="1"/>
  <c r="B240" i="1"/>
  <c r="A240" i="1"/>
  <c r="E239" i="1"/>
  <c r="D239" i="1"/>
  <c r="C239" i="1"/>
  <c r="B239" i="1"/>
  <c r="A239" i="1"/>
  <c r="E238" i="1"/>
  <c r="D238" i="1"/>
  <c r="C238" i="1"/>
  <c r="B238" i="1"/>
  <c r="A238" i="1"/>
  <c r="E237" i="1"/>
  <c r="D237" i="1"/>
  <c r="C237" i="1"/>
  <c r="B237" i="1"/>
  <c r="A237" i="1"/>
  <c r="E236" i="1"/>
  <c r="D236" i="1"/>
  <c r="C236" i="1"/>
  <c r="B236" i="1"/>
  <c r="A236" i="1"/>
  <c r="E235" i="1"/>
  <c r="D235" i="1"/>
  <c r="C235" i="1"/>
  <c r="B235" i="1"/>
  <c r="A235" i="1"/>
  <c r="E234" i="1"/>
  <c r="D234" i="1"/>
  <c r="C234" i="1"/>
  <c r="B234" i="1"/>
  <c r="A234" i="1"/>
  <c r="E233" i="1"/>
  <c r="D233" i="1"/>
  <c r="C233" i="1"/>
  <c r="B233" i="1"/>
  <c r="A233" i="1"/>
  <c r="E232" i="1"/>
  <c r="D232" i="1"/>
  <c r="C232" i="1"/>
  <c r="B232" i="1"/>
  <c r="A232" i="1"/>
  <c r="E231" i="1"/>
  <c r="D231" i="1"/>
  <c r="C231" i="1"/>
  <c r="B231" i="1"/>
  <c r="A231" i="1"/>
  <c r="E230" i="1"/>
  <c r="D230" i="1"/>
  <c r="C230" i="1"/>
  <c r="B230" i="1"/>
  <c r="A230" i="1"/>
  <c r="E229" i="1"/>
  <c r="D229" i="1"/>
  <c r="C229" i="1"/>
  <c r="B229" i="1"/>
  <c r="A229" i="1"/>
  <c r="E228" i="1"/>
  <c r="D228" i="1"/>
  <c r="C228" i="1"/>
  <c r="B228" i="1"/>
  <c r="A228" i="1"/>
  <c r="E227" i="1"/>
  <c r="D227" i="1"/>
  <c r="C227" i="1"/>
  <c r="B227" i="1"/>
  <c r="A227" i="1"/>
  <c r="E226" i="1"/>
  <c r="D226" i="1"/>
  <c r="C226" i="1"/>
  <c r="B226" i="1"/>
  <c r="A226" i="1"/>
  <c r="E225" i="1"/>
  <c r="D225" i="1"/>
  <c r="C225" i="1"/>
  <c r="B225" i="1"/>
  <c r="A225" i="1"/>
  <c r="E224" i="1"/>
  <c r="D224" i="1"/>
  <c r="C224" i="1"/>
  <c r="B224" i="1"/>
  <c r="A224" i="1"/>
  <c r="E223" i="1"/>
  <c r="D223" i="1"/>
  <c r="C223" i="1"/>
  <c r="B223" i="1"/>
  <c r="A223" i="1"/>
  <c r="E222" i="1"/>
  <c r="D222" i="1"/>
  <c r="C222" i="1"/>
  <c r="B222" i="1"/>
  <c r="A222" i="1"/>
  <c r="E221" i="1"/>
  <c r="D221" i="1"/>
  <c r="C221" i="1"/>
  <c r="B221" i="1"/>
  <c r="A221" i="1"/>
  <c r="E220" i="1"/>
  <c r="D220" i="1"/>
  <c r="C220" i="1"/>
  <c r="B220" i="1"/>
  <c r="A220" i="1"/>
  <c r="E219" i="1"/>
  <c r="D219" i="1"/>
  <c r="C219" i="1"/>
  <c r="B219" i="1"/>
  <c r="A219" i="1"/>
  <c r="E218" i="1"/>
  <c r="D218" i="1"/>
  <c r="C218" i="1"/>
  <c r="B218" i="1"/>
  <c r="A218" i="1"/>
  <c r="E217" i="1"/>
  <c r="D217" i="1"/>
  <c r="C217" i="1"/>
  <c r="B217" i="1"/>
  <c r="A217" i="1"/>
  <c r="E216" i="1"/>
  <c r="D216" i="1"/>
  <c r="C216" i="1"/>
  <c r="B216" i="1"/>
  <c r="A216" i="1"/>
  <c r="E215" i="1"/>
  <c r="D215" i="1"/>
  <c r="C215" i="1"/>
  <c r="B215" i="1"/>
  <c r="A215" i="1"/>
  <c r="E214" i="1"/>
  <c r="D214" i="1"/>
  <c r="C214" i="1"/>
  <c r="B214" i="1"/>
  <c r="A214" i="1"/>
  <c r="E213" i="1"/>
  <c r="D213" i="1"/>
  <c r="C213" i="1"/>
  <c r="B213" i="1"/>
  <c r="A213" i="1"/>
  <c r="E212" i="1"/>
  <c r="D212" i="1"/>
  <c r="C212" i="1"/>
  <c r="B212" i="1"/>
  <c r="A212" i="1"/>
  <c r="E211" i="1"/>
  <c r="D211" i="1"/>
  <c r="C211" i="1"/>
  <c r="B211" i="1"/>
  <c r="A211" i="1"/>
  <c r="E210" i="1"/>
  <c r="D210" i="1"/>
  <c r="C210" i="1"/>
  <c r="B210" i="1"/>
  <c r="A210" i="1"/>
  <c r="E209" i="1"/>
  <c r="D209" i="1"/>
  <c r="C209" i="1"/>
  <c r="B209" i="1"/>
  <c r="A209" i="1"/>
  <c r="E208" i="1"/>
  <c r="D208" i="1"/>
  <c r="C208" i="1"/>
  <c r="B208" i="1"/>
  <c r="A208" i="1"/>
  <c r="E207" i="1"/>
  <c r="D207" i="1"/>
  <c r="C207" i="1"/>
  <c r="B207" i="1"/>
  <c r="A207" i="1"/>
  <c r="E206" i="1"/>
  <c r="D206" i="1"/>
  <c r="C206" i="1"/>
  <c r="B206" i="1"/>
  <c r="A206" i="1"/>
  <c r="E205" i="1"/>
  <c r="D205" i="1"/>
  <c r="C205" i="1"/>
  <c r="B205" i="1"/>
  <c r="A205" i="1"/>
  <c r="E204" i="1"/>
  <c r="D204" i="1"/>
  <c r="C204" i="1"/>
  <c r="B204" i="1"/>
  <c r="A204" i="1"/>
  <c r="E203" i="1"/>
  <c r="D203" i="1"/>
  <c r="C203" i="1"/>
  <c r="B203" i="1"/>
  <c r="A203" i="1"/>
  <c r="E202" i="1"/>
  <c r="D202" i="1"/>
  <c r="C202" i="1"/>
  <c r="B202" i="1"/>
  <c r="A202" i="1"/>
  <c r="E201" i="1"/>
  <c r="D201" i="1"/>
  <c r="C201" i="1"/>
  <c r="B201" i="1"/>
  <c r="A201" i="1"/>
  <c r="E200" i="1"/>
  <c r="D200" i="1"/>
  <c r="C200" i="1"/>
  <c r="B200" i="1"/>
  <c r="A200" i="1"/>
  <c r="E199" i="1"/>
  <c r="D199" i="1"/>
  <c r="C199" i="1"/>
  <c r="B199" i="1"/>
  <c r="A199" i="1"/>
  <c r="E198" i="1"/>
  <c r="D198" i="1"/>
  <c r="C198" i="1"/>
  <c r="B198" i="1"/>
  <c r="A198" i="1"/>
  <c r="E197" i="1"/>
  <c r="D197" i="1"/>
  <c r="C197" i="1"/>
  <c r="B197" i="1"/>
  <c r="A197" i="1"/>
  <c r="E196" i="1"/>
  <c r="D196" i="1"/>
  <c r="C196" i="1"/>
  <c r="B196" i="1"/>
  <c r="A196" i="1"/>
  <c r="E195" i="1"/>
  <c r="D195" i="1"/>
  <c r="C195" i="1"/>
  <c r="B195" i="1"/>
  <c r="A195" i="1"/>
  <c r="E194" i="1"/>
  <c r="D194" i="1"/>
  <c r="C194" i="1"/>
  <c r="B194" i="1"/>
  <c r="A194" i="1"/>
  <c r="E193" i="1"/>
  <c r="D193" i="1"/>
  <c r="C193" i="1"/>
  <c r="B193" i="1"/>
  <c r="A193" i="1"/>
  <c r="E192" i="1"/>
  <c r="D192" i="1"/>
  <c r="C192" i="1"/>
  <c r="B192" i="1"/>
  <c r="A192" i="1"/>
  <c r="E191" i="1"/>
  <c r="D191" i="1"/>
  <c r="C191" i="1"/>
  <c r="B191" i="1"/>
  <c r="A191" i="1"/>
  <c r="E190" i="1"/>
  <c r="D190" i="1"/>
  <c r="C190" i="1"/>
  <c r="B190" i="1"/>
  <c r="A190" i="1"/>
  <c r="E189" i="1"/>
  <c r="D189" i="1"/>
  <c r="C189" i="1"/>
  <c r="B189" i="1"/>
  <c r="A189" i="1"/>
  <c r="E188" i="1"/>
  <c r="D188" i="1"/>
  <c r="C188" i="1"/>
  <c r="B188" i="1"/>
  <c r="A188" i="1"/>
  <c r="E187" i="1"/>
  <c r="D187" i="1"/>
  <c r="C187" i="1"/>
  <c r="B187" i="1"/>
  <c r="A187" i="1"/>
  <c r="E186" i="1"/>
  <c r="D186" i="1"/>
  <c r="C186" i="1"/>
  <c r="B186" i="1"/>
  <c r="A186" i="1"/>
  <c r="E185" i="1"/>
  <c r="D185" i="1"/>
  <c r="C185" i="1"/>
  <c r="B185" i="1"/>
  <c r="A185" i="1"/>
  <c r="E184" i="1"/>
  <c r="D184" i="1"/>
  <c r="C184" i="1"/>
  <c r="B184" i="1"/>
  <c r="A184" i="1"/>
  <c r="I179" i="1"/>
  <c r="H179" i="1"/>
  <c r="G179" i="1"/>
  <c r="F179" i="1"/>
  <c r="E179" i="1"/>
  <c r="D179" i="1"/>
  <c r="C179" i="1"/>
  <c r="B179" i="1"/>
  <c r="A179" i="1"/>
  <c r="I178" i="1"/>
  <c r="H178" i="1"/>
  <c r="G178" i="1"/>
  <c r="F178" i="1"/>
  <c r="E178" i="1"/>
  <c r="D178" i="1"/>
  <c r="C178" i="1"/>
  <c r="B178" i="1"/>
  <c r="A178" i="1"/>
  <c r="I177" i="1"/>
  <c r="H177" i="1"/>
  <c r="G177" i="1"/>
  <c r="F177" i="1"/>
  <c r="E177" i="1"/>
  <c r="D177" i="1"/>
  <c r="C177" i="1"/>
  <c r="B177" i="1"/>
  <c r="A177" i="1"/>
  <c r="I176" i="1"/>
  <c r="H176" i="1"/>
  <c r="G176" i="1"/>
  <c r="F176" i="1"/>
  <c r="E176" i="1"/>
  <c r="D176" i="1"/>
  <c r="C176" i="1"/>
  <c r="B176" i="1"/>
  <c r="A176" i="1"/>
  <c r="I175" i="1"/>
  <c r="H175" i="1"/>
  <c r="G175" i="1"/>
  <c r="F175" i="1"/>
  <c r="E175" i="1"/>
  <c r="D175" i="1"/>
  <c r="C175" i="1"/>
  <c r="B175" i="1"/>
  <c r="A175" i="1"/>
  <c r="I174" i="1"/>
  <c r="H174" i="1"/>
  <c r="G174" i="1"/>
  <c r="F174" i="1"/>
  <c r="E174" i="1"/>
  <c r="D174" i="1"/>
  <c r="C174" i="1"/>
  <c r="B174" i="1"/>
  <c r="A174" i="1"/>
  <c r="I173" i="1"/>
  <c r="H173" i="1"/>
  <c r="G173" i="1"/>
  <c r="F173" i="1"/>
  <c r="E173" i="1"/>
  <c r="D173" i="1"/>
  <c r="C173" i="1"/>
  <c r="B173" i="1"/>
  <c r="A173" i="1"/>
  <c r="I172" i="1"/>
  <c r="H172" i="1"/>
  <c r="G172" i="1"/>
  <c r="F172" i="1"/>
  <c r="E172" i="1"/>
  <c r="D172" i="1"/>
  <c r="C172" i="1"/>
  <c r="B172" i="1"/>
  <c r="A172" i="1"/>
  <c r="I171" i="1"/>
  <c r="H171" i="1"/>
  <c r="G171" i="1"/>
  <c r="F171" i="1"/>
  <c r="E171" i="1"/>
  <c r="D171" i="1"/>
  <c r="C171" i="1"/>
  <c r="B171" i="1"/>
  <c r="A171" i="1"/>
  <c r="I170" i="1"/>
  <c r="H170" i="1"/>
  <c r="G170" i="1"/>
  <c r="F170" i="1"/>
  <c r="E170" i="1"/>
  <c r="D170" i="1"/>
  <c r="C170" i="1"/>
  <c r="B170" i="1"/>
  <c r="A170" i="1"/>
  <c r="I169" i="1"/>
  <c r="H169" i="1"/>
  <c r="G169" i="1"/>
  <c r="F169" i="1"/>
  <c r="E169" i="1"/>
  <c r="D169" i="1"/>
  <c r="C169" i="1"/>
  <c r="B169" i="1"/>
  <c r="A169" i="1"/>
  <c r="I168" i="1"/>
  <c r="H168" i="1"/>
  <c r="G168" i="1"/>
  <c r="F168" i="1"/>
  <c r="E168" i="1"/>
  <c r="D168" i="1"/>
  <c r="C168" i="1"/>
  <c r="B168" i="1"/>
  <c r="A168" i="1"/>
  <c r="I167" i="1"/>
  <c r="H167" i="1"/>
  <c r="G167" i="1"/>
  <c r="F167" i="1"/>
  <c r="E167" i="1"/>
  <c r="D167" i="1"/>
  <c r="C167" i="1"/>
  <c r="B167" i="1"/>
  <c r="A167" i="1"/>
  <c r="I166" i="1"/>
  <c r="H166" i="1"/>
  <c r="G166" i="1"/>
  <c r="F166" i="1"/>
  <c r="E166" i="1"/>
  <c r="D166" i="1"/>
  <c r="C166" i="1"/>
  <c r="B166" i="1"/>
  <c r="A166" i="1"/>
  <c r="I165" i="1"/>
  <c r="H165" i="1"/>
  <c r="G165" i="1"/>
  <c r="F165" i="1"/>
  <c r="E165" i="1"/>
  <c r="D165" i="1"/>
  <c r="C165" i="1"/>
  <c r="B165" i="1"/>
  <c r="A165" i="1"/>
  <c r="I164" i="1"/>
  <c r="H164" i="1"/>
  <c r="G164" i="1"/>
  <c r="F164" i="1"/>
  <c r="E164" i="1"/>
  <c r="D164" i="1"/>
  <c r="C164" i="1"/>
  <c r="B164" i="1"/>
  <c r="A164" i="1"/>
  <c r="I163" i="1"/>
  <c r="H163" i="1"/>
  <c r="G163" i="1"/>
  <c r="F163" i="1"/>
  <c r="E163" i="1"/>
  <c r="D163" i="1"/>
  <c r="C163" i="1"/>
  <c r="B163" i="1"/>
  <c r="A163" i="1"/>
  <c r="I162" i="1"/>
  <c r="H162" i="1"/>
  <c r="G162" i="1"/>
  <c r="F162" i="1"/>
  <c r="E162" i="1"/>
  <c r="D162" i="1"/>
  <c r="C162" i="1"/>
  <c r="B162" i="1"/>
  <c r="A162" i="1"/>
  <c r="I161" i="1"/>
  <c r="H161" i="1"/>
  <c r="G161" i="1"/>
  <c r="F161" i="1"/>
  <c r="E161" i="1"/>
  <c r="D161" i="1"/>
  <c r="C161" i="1"/>
  <c r="B161" i="1"/>
  <c r="A161" i="1"/>
  <c r="I160" i="1"/>
  <c r="H160" i="1"/>
  <c r="G160" i="1"/>
  <c r="F160" i="1"/>
  <c r="E160" i="1"/>
  <c r="D160" i="1"/>
  <c r="C160" i="1"/>
  <c r="B160" i="1"/>
  <c r="A160" i="1"/>
  <c r="I159" i="1"/>
  <c r="H159" i="1"/>
  <c r="G159" i="1"/>
  <c r="F159" i="1"/>
  <c r="E159" i="1"/>
  <c r="D159" i="1"/>
  <c r="C159" i="1"/>
  <c r="B159" i="1"/>
  <c r="A159" i="1"/>
  <c r="I158" i="1"/>
  <c r="H158" i="1"/>
  <c r="G158" i="1"/>
  <c r="F158" i="1"/>
  <c r="E158" i="1"/>
  <c r="D158" i="1"/>
  <c r="C158" i="1"/>
  <c r="B158" i="1"/>
  <c r="A158" i="1"/>
  <c r="I157" i="1"/>
  <c r="H157" i="1"/>
  <c r="G157" i="1"/>
  <c r="F157" i="1"/>
  <c r="E157" i="1"/>
  <c r="D157" i="1"/>
  <c r="C157" i="1"/>
  <c r="B157" i="1"/>
  <c r="A157" i="1"/>
  <c r="I156" i="1"/>
  <c r="H156" i="1"/>
  <c r="G156" i="1"/>
  <c r="F156" i="1"/>
  <c r="E156" i="1"/>
  <c r="D156" i="1"/>
  <c r="C156" i="1"/>
  <c r="B156" i="1"/>
  <c r="A156" i="1"/>
  <c r="I155" i="1"/>
  <c r="H155" i="1"/>
  <c r="G155" i="1"/>
  <c r="F155" i="1"/>
  <c r="E155" i="1"/>
  <c r="D155" i="1"/>
  <c r="C155" i="1"/>
  <c r="B155" i="1"/>
  <c r="A155" i="1"/>
  <c r="I154" i="1"/>
  <c r="H154" i="1"/>
  <c r="G154" i="1"/>
  <c r="F154" i="1"/>
  <c r="E154" i="1"/>
  <c r="D154" i="1"/>
  <c r="C154" i="1"/>
  <c r="B154" i="1"/>
  <c r="A154" i="1"/>
  <c r="I153" i="1"/>
  <c r="H153" i="1"/>
  <c r="G153" i="1"/>
  <c r="F153" i="1"/>
  <c r="E153" i="1"/>
  <c r="D153" i="1"/>
  <c r="C153" i="1"/>
  <c r="B153" i="1"/>
  <c r="A153" i="1"/>
  <c r="I152" i="1"/>
  <c r="H152" i="1"/>
  <c r="G152" i="1"/>
  <c r="F152" i="1"/>
  <c r="E152" i="1"/>
  <c r="D152" i="1"/>
  <c r="C152" i="1"/>
  <c r="B152" i="1"/>
  <c r="A152" i="1"/>
  <c r="I151" i="1"/>
  <c r="H151" i="1"/>
  <c r="G151" i="1"/>
  <c r="F151" i="1"/>
  <c r="E151" i="1"/>
  <c r="D151" i="1"/>
  <c r="C151" i="1"/>
  <c r="B151" i="1"/>
  <c r="A151" i="1"/>
  <c r="I150" i="1"/>
  <c r="H150" i="1"/>
  <c r="G150" i="1"/>
  <c r="F150" i="1"/>
  <c r="E150" i="1"/>
  <c r="D150" i="1"/>
  <c r="C150" i="1"/>
  <c r="B150" i="1"/>
  <c r="A150" i="1"/>
  <c r="I149" i="1"/>
  <c r="H149" i="1"/>
  <c r="G149" i="1"/>
  <c r="F149" i="1"/>
  <c r="E149" i="1"/>
  <c r="D149" i="1"/>
  <c r="C149" i="1"/>
  <c r="B149" i="1"/>
  <c r="A149" i="1"/>
  <c r="I148" i="1"/>
  <c r="H148" i="1"/>
  <c r="G148" i="1"/>
  <c r="F148" i="1"/>
  <c r="E148" i="1"/>
  <c r="D148" i="1"/>
  <c r="C148" i="1"/>
  <c r="B148" i="1"/>
  <c r="A148" i="1"/>
  <c r="I147" i="1"/>
  <c r="H147" i="1"/>
  <c r="G147" i="1"/>
  <c r="F147" i="1"/>
  <c r="E147" i="1"/>
  <c r="D147" i="1"/>
  <c r="C147" i="1"/>
  <c r="B147" i="1"/>
  <c r="A147" i="1"/>
  <c r="I146" i="1"/>
  <c r="H146" i="1"/>
  <c r="G146" i="1"/>
  <c r="F146" i="1"/>
  <c r="E146" i="1"/>
  <c r="D146" i="1"/>
  <c r="C146" i="1"/>
  <c r="B146" i="1"/>
  <c r="A146" i="1"/>
  <c r="I145" i="1"/>
  <c r="H145" i="1"/>
  <c r="G145" i="1"/>
  <c r="F145" i="1"/>
  <c r="E145" i="1"/>
  <c r="D145" i="1"/>
  <c r="C145" i="1"/>
  <c r="B145" i="1"/>
  <c r="A145" i="1"/>
  <c r="I144" i="1"/>
  <c r="H144" i="1"/>
  <c r="G144" i="1"/>
  <c r="F144" i="1"/>
  <c r="E144" i="1"/>
  <c r="D144" i="1"/>
  <c r="C144" i="1"/>
  <c r="B144" i="1"/>
  <c r="A144" i="1"/>
  <c r="I143" i="1"/>
  <c r="H143" i="1"/>
  <c r="G143" i="1"/>
  <c r="F143" i="1"/>
  <c r="E143" i="1"/>
  <c r="D143" i="1"/>
  <c r="C143" i="1"/>
  <c r="B143" i="1"/>
  <c r="A143" i="1"/>
  <c r="I142" i="1"/>
  <c r="H142" i="1"/>
  <c r="G142" i="1"/>
  <c r="F142" i="1"/>
  <c r="E142" i="1"/>
  <c r="D142" i="1"/>
  <c r="C142" i="1"/>
  <c r="B142" i="1"/>
  <c r="A142" i="1"/>
  <c r="I141" i="1"/>
  <c r="H141" i="1"/>
  <c r="G141" i="1"/>
  <c r="F141" i="1"/>
  <c r="E141" i="1"/>
  <c r="D141" i="1"/>
  <c r="C141" i="1"/>
  <c r="B141" i="1"/>
  <c r="A141" i="1"/>
  <c r="I140" i="1"/>
  <c r="H140" i="1"/>
  <c r="G140" i="1"/>
  <c r="F140" i="1"/>
  <c r="E140" i="1"/>
  <c r="D140" i="1"/>
  <c r="C140" i="1"/>
  <c r="B140" i="1"/>
  <c r="A140" i="1"/>
  <c r="I139" i="1"/>
  <c r="H139" i="1"/>
  <c r="G139" i="1"/>
  <c r="F139" i="1"/>
  <c r="E139" i="1"/>
  <c r="D139" i="1"/>
  <c r="C139" i="1"/>
  <c r="B139" i="1"/>
  <c r="A139" i="1"/>
  <c r="I138" i="1"/>
  <c r="H138" i="1"/>
  <c r="G138" i="1"/>
  <c r="F138" i="1"/>
  <c r="E138" i="1"/>
  <c r="D138" i="1"/>
  <c r="C138" i="1"/>
  <c r="B138" i="1"/>
  <c r="A138" i="1"/>
  <c r="I137" i="1"/>
  <c r="H137" i="1"/>
  <c r="G137" i="1"/>
  <c r="F137" i="1"/>
  <c r="E137" i="1"/>
  <c r="D137" i="1"/>
  <c r="C137" i="1"/>
  <c r="B137" i="1"/>
  <c r="A137" i="1"/>
  <c r="I136" i="1"/>
  <c r="H136" i="1"/>
  <c r="G136" i="1"/>
  <c r="F136" i="1"/>
  <c r="E136" i="1"/>
  <c r="D136" i="1"/>
  <c r="C136" i="1"/>
  <c r="B136" i="1"/>
  <c r="A136" i="1"/>
  <c r="I135" i="1"/>
  <c r="H135" i="1"/>
  <c r="G135" i="1"/>
  <c r="F135" i="1"/>
  <c r="E135" i="1"/>
  <c r="D135" i="1"/>
  <c r="C135" i="1"/>
  <c r="B135" i="1"/>
  <c r="A135" i="1"/>
  <c r="I134" i="1"/>
  <c r="H134" i="1"/>
  <c r="G134" i="1"/>
  <c r="F134" i="1"/>
  <c r="E134" i="1"/>
  <c r="D134" i="1"/>
  <c r="C134" i="1"/>
  <c r="B134" i="1"/>
  <c r="A134" i="1"/>
  <c r="I133" i="1"/>
  <c r="H133" i="1"/>
  <c r="G133" i="1"/>
  <c r="F133" i="1"/>
  <c r="E133" i="1"/>
  <c r="D133" i="1"/>
  <c r="C133" i="1"/>
  <c r="B133" i="1"/>
  <c r="A133" i="1"/>
  <c r="I132" i="1"/>
  <c r="H132" i="1"/>
  <c r="G132" i="1"/>
  <c r="F132" i="1"/>
  <c r="E132" i="1"/>
  <c r="D132" i="1"/>
  <c r="C132" i="1"/>
  <c r="B132" i="1"/>
  <c r="A132" i="1"/>
  <c r="I131" i="1"/>
  <c r="H131" i="1"/>
  <c r="G131" i="1"/>
  <c r="F131" i="1"/>
  <c r="E131" i="1"/>
  <c r="D131" i="1"/>
  <c r="C131" i="1"/>
  <c r="B131" i="1"/>
  <c r="A131" i="1"/>
  <c r="I130" i="1"/>
  <c r="H130" i="1"/>
  <c r="G130" i="1"/>
  <c r="F130" i="1"/>
  <c r="E130" i="1"/>
  <c r="D130" i="1"/>
  <c r="C130" i="1"/>
  <c r="B130" i="1"/>
  <c r="A130" i="1"/>
  <c r="I129" i="1"/>
  <c r="H129" i="1"/>
  <c r="G129" i="1"/>
  <c r="F129" i="1"/>
  <c r="E129" i="1"/>
  <c r="D129" i="1"/>
  <c r="C129" i="1"/>
  <c r="B129" i="1"/>
  <c r="A129" i="1"/>
  <c r="I128" i="1"/>
  <c r="H128" i="1"/>
  <c r="G128" i="1"/>
  <c r="F128" i="1"/>
  <c r="E128" i="1"/>
  <c r="D128" i="1"/>
  <c r="C128" i="1"/>
  <c r="B128" i="1"/>
  <c r="A128" i="1"/>
  <c r="I127" i="1"/>
  <c r="H127" i="1"/>
  <c r="G127" i="1"/>
  <c r="F127" i="1"/>
  <c r="E127" i="1"/>
  <c r="D127" i="1"/>
  <c r="C127" i="1"/>
  <c r="B127" i="1"/>
  <c r="A127" i="1"/>
  <c r="I126" i="1"/>
  <c r="H126" i="1"/>
  <c r="G126" i="1"/>
  <c r="F126" i="1"/>
  <c r="E126" i="1"/>
  <c r="D126" i="1"/>
  <c r="C126" i="1"/>
  <c r="B126" i="1"/>
  <c r="A126" i="1"/>
  <c r="I125" i="1"/>
  <c r="H125" i="1"/>
  <c r="G125" i="1"/>
  <c r="F125" i="1"/>
  <c r="E125" i="1"/>
  <c r="D125" i="1"/>
  <c r="C125" i="1"/>
  <c r="B125" i="1"/>
  <c r="A125" i="1"/>
  <c r="I124" i="1"/>
  <c r="H124" i="1"/>
  <c r="G124" i="1"/>
  <c r="F124" i="1"/>
  <c r="E124" i="1"/>
  <c r="D124" i="1"/>
  <c r="C124" i="1"/>
  <c r="B124" i="1"/>
  <c r="A124" i="1"/>
  <c r="I123" i="1"/>
  <c r="H123" i="1"/>
  <c r="G123" i="1"/>
  <c r="F123" i="1"/>
  <c r="E123" i="1"/>
  <c r="D123" i="1"/>
  <c r="C123" i="1"/>
  <c r="B123" i="1"/>
  <c r="A123" i="1"/>
  <c r="I122" i="1"/>
  <c r="H122" i="1"/>
  <c r="G122" i="1"/>
  <c r="F122" i="1"/>
  <c r="E122" i="1"/>
  <c r="D122" i="1"/>
  <c r="C122" i="1"/>
  <c r="B122" i="1"/>
  <c r="A122" i="1"/>
  <c r="E121" i="1"/>
  <c r="D121" i="1"/>
  <c r="C121" i="1"/>
  <c r="B121" i="1"/>
  <c r="A121" i="1"/>
  <c r="E120" i="1"/>
  <c r="D120" i="1"/>
  <c r="C120" i="1"/>
  <c r="B120" i="1"/>
  <c r="A120" i="1"/>
  <c r="E119" i="1"/>
  <c r="D119" i="1"/>
  <c r="C119" i="1"/>
  <c r="B119" i="1"/>
  <c r="A119" i="1"/>
  <c r="E118" i="1"/>
  <c r="D118" i="1"/>
  <c r="C118" i="1"/>
  <c r="B118" i="1"/>
  <c r="A118" i="1"/>
  <c r="E117" i="1"/>
  <c r="D117" i="1"/>
  <c r="C117" i="1"/>
  <c r="B117" i="1"/>
  <c r="A117" i="1"/>
  <c r="E116" i="1"/>
  <c r="D116" i="1"/>
  <c r="C116" i="1"/>
  <c r="B116" i="1"/>
  <c r="A116" i="1"/>
  <c r="E115" i="1"/>
  <c r="D115" i="1"/>
  <c r="C115" i="1"/>
  <c r="B115" i="1"/>
  <c r="A115" i="1"/>
  <c r="E114" i="1"/>
  <c r="D114" i="1"/>
  <c r="C114" i="1"/>
  <c r="B114" i="1"/>
  <c r="A114" i="1"/>
  <c r="E113" i="1"/>
  <c r="D113" i="1"/>
  <c r="C113" i="1"/>
  <c r="B113" i="1"/>
  <c r="A113" i="1"/>
  <c r="E112" i="1"/>
  <c r="D112" i="1"/>
  <c r="C112" i="1"/>
  <c r="B112" i="1"/>
  <c r="A112" i="1"/>
  <c r="E111" i="1"/>
  <c r="D111" i="1"/>
  <c r="C111" i="1"/>
  <c r="B111" i="1"/>
  <c r="A111" i="1"/>
  <c r="E110" i="1"/>
  <c r="D110" i="1"/>
  <c r="C110" i="1"/>
  <c r="B110" i="1"/>
  <c r="A110" i="1"/>
  <c r="E109" i="1"/>
  <c r="D109" i="1"/>
  <c r="C109" i="1"/>
  <c r="B109" i="1"/>
  <c r="A109" i="1"/>
  <c r="E108" i="1"/>
  <c r="D108" i="1"/>
  <c r="C108" i="1"/>
  <c r="B108" i="1"/>
  <c r="A108" i="1"/>
  <c r="E107" i="1"/>
  <c r="D107" i="1"/>
  <c r="C107" i="1"/>
  <c r="B107" i="1"/>
  <c r="A107" i="1"/>
  <c r="E106" i="1"/>
  <c r="D106" i="1"/>
  <c r="C106" i="1"/>
  <c r="B106" i="1"/>
  <c r="A106" i="1"/>
  <c r="E105" i="1"/>
  <c r="D105" i="1"/>
  <c r="C105" i="1"/>
  <c r="B105" i="1"/>
  <c r="A105" i="1"/>
  <c r="E104" i="1"/>
  <c r="D104" i="1"/>
  <c r="C104" i="1"/>
  <c r="B104" i="1"/>
  <c r="A104" i="1"/>
  <c r="E103" i="1"/>
  <c r="D103" i="1"/>
  <c r="C103" i="1"/>
  <c r="B103" i="1"/>
  <c r="A103" i="1"/>
  <c r="E102" i="1"/>
  <c r="D102" i="1"/>
  <c r="C102" i="1"/>
  <c r="B102" i="1"/>
  <c r="A102" i="1"/>
  <c r="E101" i="1"/>
  <c r="D101" i="1"/>
  <c r="C101" i="1"/>
  <c r="B101" i="1"/>
  <c r="A101" i="1"/>
  <c r="E100" i="1"/>
  <c r="D100" i="1"/>
  <c r="C100" i="1"/>
  <c r="B100" i="1"/>
  <c r="A100" i="1"/>
  <c r="E99" i="1"/>
  <c r="D99" i="1"/>
  <c r="C99" i="1"/>
  <c r="B99" i="1"/>
  <c r="A99" i="1"/>
  <c r="E98" i="1"/>
  <c r="D98" i="1"/>
  <c r="C98" i="1"/>
  <c r="B98" i="1"/>
  <c r="A98" i="1"/>
  <c r="E97" i="1"/>
  <c r="D97" i="1"/>
  <c r="C97" i="1"/>
  <c r="B97" i="1"/>
  <c r="A97" i="1"/>
  <c r="E96" i="1"/>
  <c r="D96" i="1"/>
  <c r="C96" i="1"/>
  <c r="B96" i="1"/>
  <c r="A96" i="1"/>
  <c r="E95" i="1"/>
  <c r="D95" i="1"/>
  <c r="C95" i="1"/>
  <c r="B95" i="1"/>
  <c r="A95" i="1"/>
  <c r="E94" i="1"/>
  <c r="D94" i="1"/>
  <c r="C94" i="1"/>
  <c r="B94" i="1"/>
  <c r="A94" i="1"/>
  <c r="E93" i="1"/>
  <c r="D93" i="1"/>
  <c r="C93" i="1"/>
  <c r="B93" i="1"/>
  <c r="A93" i="1"/>
  <c r="E92" i="1"/>
  <c r="D92" i="1"/>
  <c r="C92" i="1"/>
  <c r="B92" i="1"/>
  <c r="A92" i="1"/>
  <c r="E91" i="1"/>
  <c r="D91" i="1"/>
  <c r="C91" i="1"/>
  <c r="B91" i="1"/>
  <c r="A91" i="1"/>
  <c r="E90" i="1"/>
  <c r="D90" i="1"/>
  <c r="C90" i="1"/>
  <c r="B90" i="1"/>
  <c r="A90" i="1"/>
  <c r="E89" i="1"/>
  <c r="D89" i="1"/>
  <c r="C89" i="1"/>
  <c r="B89" i="1"/>
  <c r="A89" i="1"/>
  <c r="E88" i="1"/>
  <c r="D88" i="1"/>
  <c r="C88" i="1"/>
  <c r="B88" i="1"/>
  <c r="A88" i="1"/>
  <c r="E87" i="1"/>
  <c r="D87" i="1"/>
  <c r="C87" i="1"/>
  <c r="B87" i="1"/>
  <c r="A87" i="1"/>
  <c r="E86" i="1"/>
  <c r="D86" i="1"/>
  <c r="C86" i="1"/>
  <c r="B86" i="1"/>
  <c r="A86" i="1"/>
  <c r="E85" i="1"/>
  <c r="D85" i="1"/>
  <c r="C85" i="1"/>
  <c r="B85" i="1"/>
  <c r="A85" i="1"/>
  <c r="E84" i="1"/>
  <c r="D84" i="1"/>
  <c r="C84" i="1"/>
  <c r="B84" i="1"/>
  <c r="A84" i="1"/>
  <c r="E83" i="1"/>
  <c r="D83" i="1"/>
  <c r="C83" i="1"/>
  <c r="B83" i="1"/>
  <c r="A83" i="1"/>
  <c r="E82" i="1"/>
  <c r="D82" i="1"/>
  <c r="C82" i="1"/>
  <c r="B82" i="1"/>
  <c r="A82" i="1"/>
  <c r="E81" i="1"/>
  <c r="D81" i="1"/>
  <c r="C81" i="1"/>
  <c r="B81" i="1"/>
  <c r="A81" i="1"/>
  <c r="E80" i="1"/>
  <c r="D80" i="1"/>
  <c r="C80" i="1"/>
  <c r="B80" i="1"/>
  <c r="A80" i="1"/>
  <c r="E79" i="1"/>
  <c r="D79" i="1"/>
  <c r="C79" i="1"/>
  <c r="B79" i="1"/>
  <c r="A79" i="1"/>
  <c r="E78" i="1"/>
  <c r="D78" i="1"/>
  <c r="C78" i="1"/>
  <c r="B78" i="1"/>
  <c r="A78" i="1"/>
  <c r="E77" i="1"/>
  <c r="D77" i="1"/>
  <c r="C77" i="1"/>
  <c r="B77" i="1"/>
  <c r="A77" i="1"/>
  <c r="E76" i="1"/>
  <c r="D76" i="1"/>
  <c r="C76" i="1"/>
  <c r="B76" i="1"/>
  <c r="A76" i="1"/>
  <c r="E75" i="1"/>
  <c r="D75" i="1"/>
  <c r="C75" i="1"/>
  <c r="B75" i="1"/>
  <c r="A75" i="1"/>
  <c r="E74" i="1"/>
  <c r="D74" i="1"/>
  <c r="C74" i="1"/>
  <c r="B74" i="1"/>
  <c r="A74" i="1"/>
  <c r="E73" i="1"/>
  <c r="D73" i="1"/>
  <c r="C73" i="1"/>
  <c r="B73" i="1"/>
  <c r="A73" i="1"/>
  <c r="E72" i="1"/>
  <c r="D72" i="1"/>
  <c r="C72" i="1"/>
  <c r="B72" i="1"/>
  <c r="A72" i="1"/>
  <c r="E71" i="1"/>
  <c r="D71" i="1"/>
  <c r="C71" i="1"/>
  <c r="B71" i="1"/>
  <c r="A71" i="1"/>
  <c r="E70" i="1"/>
  <c r="D70" i="1"/>
  <c r="C70" i="1"/>
  <c r="B70" i="1"/>
  <c r="A70" i="1"/>
  <c r="E69" i="1"/>
  <c r="D69" i="1"/>
  <c r="C69" i="1"/>
  <c r="B69" i="1"/>
  <c r="A69" i="1"/>
  <c r="E68" i="1"/>
  <c r="D68" i="1"/>
  <c r="C68" i="1"/>
  <c r="B68" i="1"/>
  <c r="A68" i="1"/>
  <c r="E67" i="1"/>
  <c r="D67" i="1"/>
  <c r="C67" i="1"/>
  <c r="B67" i="1"/>
  <c r="A67" i="1"/>
  <c r="E66" i="1"/>
  <c r="D66" i="1"/>
  <c r="C66" i="1"/>
  <c r="B66" i="1"/>
  <c r="A66" i="1"/>
  <c r="E65" i="1"/>
  <c r="D65" i="1"/>
  <c r="C65" i="1"/>
  <c r="B65" i="1"/>
  <c r="A65" i="1"/>
  <c r="E64" i="1"/>
  <c r="D64" i="1"/>
  <c r="C64" i="1"/>
  <c r="B64" i="1"/>
  <c r="A64" i="1"/>
  <c r="E63" i="1"/>
  <c r="D63" i="1"/>
  <c r="C63" i="1"/>
  <c r="B63" i="1"/>
  <c r="A63" i="1"/>
  <c r="E62" i="1"/>
  <c r="D62" i="1"/>
  <c r="C62" i="1"/>
  <c r="B62" i="1"/>
  <c r="A62" i="1"/>
  <c r="E61" i="1"/>
  <c r="D61" i="1"/>
  <c r="C61" i="1"/>
  <c r="B61" i="1"/>
  <c r="A61" i="1"/>
  <c r="E60" i="1"/>
  <c r="D60" i="1"/>
  <c r="C60" i="1"/>
  <c r="B60" i="1"/>
  <c r="A60" i="1"/>
  <c r="E59" i="1"/>
  <c r="D59" i="1"/>
  <c r="C59" i="1"/>
  <c r="B59" i="1"/>
  <c r="A59" i="1"/>
  <c r="E58" i="1"/>
  <c r="D58" i="1"/>
  <c r="C58" i="1"/>
  <c r="B58" i="1"/>
  <c r="A58" i="1"/>
  <c r="E57" i="1"/>
  <c r="D57" i="1"/>
  <c r="C57" i="1"/>
  <c r="B57" i="1"/>
  <c r="A57" i="1"/>
  <c r="E56" i="1"/>
  <c r="D56" i="1"/>
  <c r="C56" i="1"/>
  <c r="B56" i="1"/>
  <c r="A56" i="1"/>
  <c r="E55" i="1"/>
  <c r="D55" i="1"/>
  <c r="C55" i="1"/>
  <c r="B55" i="1"/>
  <c r="A55" i="1"/>
  <c r="E54" i="1"/>
  <c r="D54" i="1"/>
  <c r="C54" i="1"/>
  <c r="B54" i="1"/>
  <c r="A54" i="1"/>
  <c r="E53" i="1"/>
  <c r="D53" i="1"/>
  <c r="C53" i="1"/>
  <c r="B53" i="1"/>
  <c r="A53" i="1"/>
  <c r="E52" i="1"/>
  <c r="D52" i="1"/>
  <c r="C52" i="1"/>
  <c r="B52" i="1"/>
  <c r="A52" i="1"/>
  <c r="E51" i="1"/>
  <c r="D51" i="1"/>
  <c r="C51" i="1"/>
  <c r="B51" i="1"/>
  <c r="A51" i="1"/>
  <c r="E50" i="1"/>
  <c r="D50" i="1"/>
  <c r="C50" i="1"/>
  <c r="B50" i="1"/>
  <c r="A50" i="1"/>
  <c r="E49" i="1"/>
  <c r="D49" i="1"/>
  <c r="C49" i="1"/>
  <c r="B49" i="1"/>
  <c r="A49" i="1"/>
  <c r="E48" i="1"/>
  <c r="D48" i="1"/>
  <c r="C48" i="1"/>
  <c r="B48" i="1"/>
  <c r="A48" i="1"/>
  <c r="E47" i="1"/>
  <c r="D47" i="1"/>
  <c r="C47" i="1"/>
  <c r="B47" i="1"/>
  <c r="A47" i="1"/>
  <c r="E46" i="1"/>
  <c r="D46" i="1"/>
  <c r="C46" i="1"/>
  <c r="B46" i="1"/>
  <c r="A46" i="1"/>
  <c r="E45" i="1"/>
  <c r="D45" i="1"/>
  <c r="C45" i="1"/>
  <c r="B45" i="1"/>
  <c r="A45" i="1"/>
  <c r="E44" i="1"/>
  <c r="D44" i="1"/>
  <c r="C44" i="1"/>
  <c r="B44" i="1"/>
  <c r="A44" i="1"/>
  <c r="E43" i="1"/>
  <c r="D43" i="1"/>
  <c r="C43" i="1"/>
  <c r="B43" i="1"/>
  <c r="A43" i="1"/>
  <c r="E42" i="1"/>
  <c r="D42" i="1"/>
  <c r="C42" i="1"/>
  <c r="B42" i="1"/>
  <c r="A42" i="1"/>
  <c r="E41" i="1"/>
  <c r="D41" i="1"/>
  <c r="C41" i="1"/>
  <c r="B41" i="1"/>
  <c r="A41" i="1"/>
  <c r="E40" i="1"/>
  <c r="D40" i="1"/>
  <c r="C40" i="1"/>
  <c r="B40" i="1"/>
  <c r="A40" i="1"/>
  <c r="E39" i="1"/>
  <c r="D39" i="1"/>
  <c r="C39" i="1"/>
  <c r="B39" i="1"/>
  <c r="A39" i="1"/>
  <c r="E38" i="1"/>
  <c r="D38" i="1"/>
  <c r="C38" i="1"/>
  <c r="B38" i="1"/>
  <c r="A38" i="1"/>
  <c r="E37" i="1"/>
  <c r="D37" i="1"/>
  <c r="C37" i="1"/>
  <c r="B37" i="1"/>
  <c r="A37" i="1"/>
  <c r="E36" i="1"/>
  <c r="D36" i="1"/>
  <c r="C36" i="1"/>
  <c r="B36" i="1"/>
  <c r="A36" i="1"/>
  <c r="E35" i="1"/>
  <c r="D35" i="1"/>
  <c r="C35" i="1"/>
  <c r="B35" i="1"/>
  <c r="A35" i="1"/>
  <c r="E34" i="1"/>
  <c r="D34" i="1"/>
  <c r="C34" i="1"/>
  <c r="B34" i="1"/>
  <c r="A34" i="1"/>
  <c r="E33" i="1"/>
  <c r="D33" i="1"/>
  <c r="C33" i="1"/>
  <c r="B33" i="1"/>
  <c r="A33" i="1"/>
  <c r="E32" i="1"/>
  <c r="D32" i="1"/>
  <c r="C32" i="1"/>
  <c r="B32" i="1"/>
  <c r="A32" i="1"/>
  <c r="E31" i="1"/>
  <c r="D31" i="1"/>
  <c r="C31" i="1"/>
  <c r="B31" i="1"/>
  <c r="A31" i="1"/>
  <c r="E30" i="1"/>
  <c r="D30" i="1"/>
  <c r="C30" i="1"/>
  <c r="B30" i="1"/>
  <c r="A30" i="1"/>
  <c r="E29" i="1"/>
  <c r="D29" i="1"/>
  <c r="C29" i="1"/>
  <c r="B29" i="1"/>
  <c r="A29" i="1"/>
  <c r="E28" i="1"/>
  <c r="D28" i="1"/>
  <c r="C28" i="1"/>
  <c r="B28" i="1"/>
  <c r="A28" i="1"/>
  <c r="E27" i="1"/>
  <c r="D27" i="1"/>
  <c r="C27" i="1"/>
  <c r="B27" i="1"/>
  <c r="A27" i="1"/>
  <c r="E26" i="1"/>
  <c r="D26" i="1"/>
  <c r="C26" i="1"/>
  <c r="B26" i="1"/>
  <c r="A26" i="1"/>
  <c r="E25" i="1"/>
  <c r="D25" i="1"/>
  <c r="C25" i="1"/>
  <c r="B25" i="1"/>
  <c r="A25" i="1"/>
  <c r="E24" i="1"/>
  <c r="D24" i="1"/>
  <c r="C24" i="1"/>
  <c r="B24" i="1"/>
  <c r="A24" i="1"/>
  <c r="E23" i="1"/>
  <c r="D23" i="1"/>
  <c r="C23" i="1"/>
  <c r="B23" i="1"/>
  <c r="A23" i="1"/>
  <c r="E22" i="1"/>
  <c r="D22" i="1"/>
  <c r="C22" i="1"/>
  <c r="B22" i="1"/>
  <c r="A22" i="1"/>
  <c r="E21" i="1"/>
  <c r="D21" i="1"/>
  <c r="C21" i="1"/>
  <c r="B21" i="1"/>
  <c r="A21" i="1"/>
  <c r="E20" i="1"/>
  <c r="D20" i="1"/>
  <c r="C20" i="1"/>
  <c r="B20" i="1"/>
  <c r="A20" i="1"/>
  <c r="E19" i="1"/>
  <c r="D19" i="1"/>
  <c r="C19" i="1"/>
  <c r="B19" i="1"/>
  <c r="A19" i="1"/>
  <c r="E18" i="1"/>
  <c r="D18" i="1"/>
  <c r="C18" i="1"/>
  <c r="B18" i="1"/>
  <c r="A18" i="1"/>
  <c r="E17" i="1"/>
  <c r="D17" i="1"/>
  <c r="C17" i="1"/>
  <c r="B17" i="1"/>
  <c r="A17" i="1"/>
  <c r="E16" i="1"/>
  <c r="D16" i="1"/>
  <c r="C16" i="1"/>
  <c r="B16" i="1"/>
  <c r="A16" i="1"/>
  <c r="E15" i="1"/>
  <c r="D15" i="1"/>
  <c r="C15" i="1"/>
  <c r="B15" i="1"/>
  <c r="A15" i="1"/>
  <c r="E14" i="1"/>
  <c r="D14" i="1"/>
  <c r="C14" i="1"/>
  <c r="B14" i="1"/>
  <c r="A14" i="1"/>
  <c r="E13" i="1"/>
  <c r="D13" i="1"/>
  <c r="C13" i="1"/>
  <c r="B13" i="1"/>
  <c r="A13" i="1"/>
  <c r="E12" i="1"/>
  <c r="D12" i="1"/>
  <c r="C12" i="1"/>
  <c r="B12" i="1"/>
  <c r="A12" i="1"/>
  <c r="E11" i="1"/>
  <c r="D11" i="1"/>
  <c r="C11" i="1"/>
  <c r="B11" i="1"/>
  <c r="A11" i="1"/>
  <c r="E10" i="1"/>
  <c r="D10" i="1"/>
  <c r="C10" i="1"/>
  <c r="B10" i="1"/>
  <c r="A10" i="1"/>
  <c r="E9" i="1"/>
  <c r="D9" i="1"/>
  <c r="C9" i="1"/>
  <c r="B9" i="1"/>
  <c r="A9" i="1"/>
  <c r="E8" i="1"/>
  <c r="D8" i="1"/>
  <c r="C8" i="1"/>
  <c r="B8" i="1"/>
  <c r="A8" i="1"/>
  <c r="L1" i="1"/>
  <c r="J1" i="1"/>
  <c r="M1" i="1" s="1"/>
  <c r="I1" i="1"/>
  <c r="I2650" i="2"/>
  <c r="I2648" i="2"/>
  <c r="I2646" i="2"/>
  <c r="I2644" i="2"/>
  <c r="I2642" i="2"/>
  <c r="I2640" i="2"/>
  <c r="I2638" i="2"/>
  <c r="I2636" i="2"/>
  <c r="I2634" i="2"/>
  <c r="I2632" i="2"/>
  <c r="I2630" i="2"/>
  <c r="I2628" i="2"/>
  <c r="I2626" i="2"/>
  <c r="I2624" i="2"/>
  <c r="I2622" i="2"/>
  <c r="I2620" i="2"/>
  <c r="I2618" i="2"/>
  <c r="I2616" i="2"/>
  <c r="I2614" i="2"/>
  <c r="I2612" i="2"/>
  <c r="I2610" i="2"/>
  <c r="I2608" i="2"/>
  <c r="I2606" i="2"/>
  <c r="I2604" i="2"/>
  <c r="I2602" i="2"/>
  <c r="I2600" i="2"/>
  <c r="I2598" i="2"/>
  <c r="I2596" i="2"/>
  <c r="I2594" i="2"/>
  <c r="I2592" i="2"/>
  <c r="I2590" i="2"/>
  <c r="I2588" i="2"/>
  <c r="I2586" i="2"/>
  <c r="I2584" i="2"/>
  <c r="I2582" i="2"/>
  <c r="I2580" i="2"/>
  <c r="I2578" i="2"/>
  <c r="I2576" i="2"/>
  <c r="I2574" i="2"/>
  <c r="I2572" i="2"/>
  <c r="I2570" i="2"/>
  <c r="I2568" i="2"/>
  <c r="I2566" i="2"/>
  <c r="I2564" i="2"/>
  <c r="I2562" i="2"/>
  <c r="I2560" i="2"/>
  <c r="I2558" i="2"/>
  <c r="I2556" i="2"/>
  <c r="I2554" i="2"/>
  <c r="I2552" i="2"/>
  <c r="I2550" i="2"/>
  <c r="I2548" i="2"/>
  <c r="I2546" i="2"/>
  <c r="I2544" i="2"/>
  <c r="I2542" i="2"/>
  <c r="I2540" i="2"/>
  <c r="I2538" i="2"/>
  <c r="I2536" i="2"/>
  <c r="I2534" i="2"/>
  <c r="I2532" i="2"/>
  <c r="I2530" i="2"/>
  <c r="I2528" i="2"/>
  <c r="I2526" i="2"/>
  <c r="I2524" i="2"/>
  <c r="I2522" i="2"/>
  <c r="I2520" i="2"/>
  <c r="I2518" i="2"/>
  <c r="I2516" i="2"/>
  <c r="I2514" i="2"/>
  <c r="I2512" i="2"/>
  <c r="I2510" i="2"/>
  <c r="I2508" i="2"/>
  <c r="I2506" i="2"/>
  <c r="I2504" i="2"/>
  <c r="I2502" i="2"/>
  <c r="I2500" i="2"/>
  <c r="I2498" i="2"/>
  <c r="I2496" i="2"/>
  <c r="I2494" i="2"/>
  <c r="I2492" i="2"/>
  <c r="I2490" i="2"/>
  <c r="I2488" i="2"/>
  <c r="I2486" i="2"/>
  <c r="I2484" i="2"/>
  <c r="I2482" i="2"/>
  <c r="I2480" i="2"/>
  <c r="I2478" i="2"/>
  <c r="I2476" i="2"/>
  <c r="I2474" i="2"/>
  <c r="I2472" i="2"/>
  <c r="I2470" i="2"/>
  <c r="I2468" i="2"/>
  <c r="I2466" i="2"/>
  <c r="I2464" i="2"/>
  <c r="I2462" i="2"/>
  <c r="I2460" i="2"/>
  <c r="I2458" i="2"/>
  <c r="I2456" i="2"/>
  <c r="I2454" i="2"/>
  <c r="I2452" i="2"/>
  <c r="I2450" i="2"/>
  <c r="I2448" i="2"/>
  <c r="I2446" i="2"/>
  <c r="I2444" i="2"/>
  <c r="I2442" i="2"/>
  <c r="I2440" i="2"/>
  <c r="I2438" i="2"/>
  <c r="I2436" i="2"/>
  <c r="I2434" i="2"/>
  <c r="I2432" i="2"/>
  <c r="I2430" i="2"/>
  <c r="I2428" i="2"/>
  <c r="H2650" i="2"/>
  <c r="H2648" i="2"/>
  <c r="H2646" i="2"/>
  <c r="H2644" i="2"/>
  <c r="H2642" i="2"/>
  <c r="H2640" i="2"/>
  <c r="H2638" i="2"/>
  <c r="H2636" i="2"/>
  <c r="H2634" i="2"/>
  <c r="H2632" i="2"/>
  <c r="H2630" i="2"/>
  <c r="H2628" i="2"/>
  <c r="H2626" i="2"/>
  <c r="H2624" i="2"/>
  <c r="H2622" i="2"/>
  <c r="H2620" i="2"/>
  <c r="H2618" i="2"/>
  <c r="H2616" i="2"/>
  <c r="H2614" i="2"/>
  <c r="H2612" i="2"/>
  <c r="H2610" i="2"/>
  <c r="H2608" i="2"/>
  <c r="H2606" i="2"/>
  <c r="H2604" i="2"/>
  <c r="H2602" i="2"/>
  <c r="H2600" i="2"/>
  <c r="H2598" i="2"/>
  <c r="H2596" i="2"/>
  <c r="H2594" i="2"/>
  <c r="H2592" i="2"/>
  <c r="H2590" i="2"/>
  <c r="H2588" i="2"/>
  <c r="H2586" i="2"/>
  <c r="H2584" i="2"/>
  <c r="H2582" i="2"/>
  <c r="H2580" i="2"/>
  <c r="H2578" i="2"/>
  <c r="H2576" i="2"/>
  <c r="H2574" i="2"/>
  <c r="H2572" i="2"/>
  <c r="H2570" i="2"/>
  <c r="H2568" i="2"/>
  <c r="H2566" i="2"/>
  <c r="H2564" i="2"/>
  <c r="H2562" i="2"/>
  <c r="H2560" i="2"/>
  <c r="H2558" i="2"/>
  <c r="H2556" i="2"/>
  <c r="H2554" i="2"/>
  <c r="H2552" i="2"/>
  <c r="H2550" i="2"/>
  <c r="H2548" i="2"/>
  <c r="H2546" i="2"/>
  <c r="H2544" i="2"/>
  <c r="H2542" i="2"/>
  <c r="H2540" i="2"/>
  <c r="H2538" i="2"/>
  <c r="H2536" i="2"/>
  <c r="H2534" i="2"/>
  <c r="H2532" i="2"/>
  <c r="H2530" i="2"/>
  <c r="H2528" i="2"/>
  <c r="H2526" i="2"/>
  <c r="H2524" i="2"/>
  <c r="H2522" i="2"/>
  <c r="H2520" i="2"/>
  <c r="H2518" i="2"/>
  <c r="H2516" i="2"/>
  <c r="H2514" i="2"/>
  <c r="H2512" i="2"/>
  <c r="H2510" i="2"/>
  <c r="H2508" i="2"/>
  <c r="H2506" i="2"/>
  <c r="H2504" i="2"/>
  <c r="H2502" i="2"/>
  <c r="H2500" i="2"/>
  <c r="H2498" i="2"/>
  <c r="H2496" i="2"/>
  <c r="H2494" i="2"/>
  <c r="H2492" i="2"/>
  <c r="H2490" i="2"/>
  <c r="H2488" i="2"/>
  <c r="H2486" i="2"/>
  <c r="H2484" i="2"/>
  <c r="H2482" i="2"/>
  <c r="H2480" i="2"/>
  <c r="H2478" i="2"/>
  <c r="H2476" i="2"/>
  <c r="G2650" i="2"/>
  <c r="G2648" i="2"/>
  <c r="G2646" i="2"/>
  <c r="G2644" i="2"/>
  <c r="G2642" i="2"/>
  <c r="G2640" i="2"/>
  <c r="G2638" i="2"/>
  <c r="G2636" i="2"/>
  <c r="G2634" i="2"/>
  <c r="G2632" i="2"/>
  <c r="G2630" i="2"/>
  <c r="G2628" i="2"/>
  <c r="G2626" i="2"/>
  <c r="G2624" i="2"/>
  <c r="G2622" i="2"/>
  <c r="G2620" i="2"/>
  <c r="G2618" i="2"/>
  <c r="G2616" i="2"/>
  <c r="G2614" i="2"/>
  <c r="G2612" i="2"/>
  <c r="G2610" i="2"/>
  <c r="G2608" i="2"/>
  <c r="G2606" i="2"/>
  <c r="G2604" i="2"/>
  <c r="G2602" i="2"/>
  <c r="G2600" i="2"/>
  <c r="G2598" i="2"/>
  <c r="G2596" i="2"/>
  <c r="G2594" i="2"/>
  <c r="G2592" i="2"/>
  <c r="G2590" i="2"/>
  <c r="G2588" i="2"/>
  <c r="G2586" i="2"/>
  <c r="G2584" i="2"/>
  <c r="G2582" i="2"/>
  <c r="G2580" i="2"/>
  <c r="G2578" i="2"/>
  <c r="G2576" i="2"/>
  <c r="G2574" i="2"/>
  <c r="G2572" i="2"/>
  <c r="G2570" i="2"/>
  <c r="G2568" i="2"/>
  <c r="G2566" i="2"/>
  <c r="G2564" i="2"/>
  <c r="G2562" i="2"/>
  <c r="G2560" i="2"/>
  <c r="G2558" i="2"/>
  <c r="G2556" i="2"/>
  <c r="G2554" i="2"/>
  <c r="G2552" i="2"/>
  <c r="G2550" i="2"/>
  <c r="G2548" i="2"/>
  <c r="G2546" i="2"/>
  <c r="G2544" i="2"/>
  <c r="G2542" i="2"/>
  <c r="G2540" i="2"/>
  <c r="G2538" i="2"/>
  <c r="G2536" i="2"/>
  <c r="G2534" i="2"/>
  <c r="G2532" i="2"/>
  <c r="G2530" i="2"/>
  <c r="G2528" i="2"/>
  <c r="G2526" i="2"/>
  <c r="G2524" i="2"/>
  <c r="G2522" i="2"/>
  <c r="G2520" i="2"/>
  <c r="G2518" i="2"/>
  <c r="G2516" i="2"/>
  <c r="G2514" i="2"/>
  <c r="G2512" i="2"/>
  <c r="G2510" i="2"/>
  <c r="G2508" i="2"/>
  <c r="G2506" i="2"/>
  <c r="G2504" i="2"/>
  <c r="G2502" i="2"/>
  <c r="G2500" i="2"/>
  <c r="G2498" i="2"/>
  <c r="G2496" i="2"/>
  <c r="G2494" i="2"/>
  <c r="G2492" i="2"/>
  <c r="G2490" i="2"/>
  <c r="G2488" i="2"/>
  <c r="G2486" i="2"/>
  <c r="G2484" i="2"/>
  <c r="G2482" i="2"/>
  <c r="G2480" i="2"/>
  <c r="G2478" i="2"/>
  <c r="G2476" i="2"/>
  <c r="F2649" i="2"/>
  <c r="F2647" i="2"/>
  <c r="F2645" i="2"/>
  <c r="F2643" i="2"/>
  <c r="F2641" i="2"/>
  <c r="F2639" i="2"/>
  <c r="F2637" i="2"/>
  <c r="F2635" i="2"/>
  <c r="F2633" i="2"/>
  <c r="F2631" i="2"/>
  <c r="F2629" i="2"/>
  <c r="F2627" i="2"/>
  <c r="F2625" i="2"/>
  <c r="F2623" i="2"/>
  <c r="F2621" i="2"/>
  <c r="F2619" i="2"/>
  <c r="F2617" i="2"/>
  <c r="F2615" i="2"/>
  <c r="F2613" i="2"/>
  <c r="F2611" i="2"/>
  <c r="F2609" i="2"/>
  <c r="F2607" i="2"/>
  <c r="F2605" i="2"/>
  <c r="F2603" i="2"/>
  <c r="F2601" i="2"/>
  <c r="F2599" i="2"/>
  <c r="F2597" i="2"/>
  <c r="F2595" i="2"/>
  <c r="F2593" i="2"/>
  <c r="F2591" i="2"/>
  <c r="F2589" i="2"/>
  <c r="F2587" i="2"/>
  <c r="F2585" i="2"/>
  <c r="F2583" i="2"/>
  <c r="F2581" i="2"/>
  <c r="F2579" i="2"/>
  <c r="F2577" i="2"/>
  <c r="F2575" i="2"/>
  <c r="F2573" i="2"/>
  <c r="F2571" i="2"/>
  <c r="F2569" i="2"/>
  <c r="F2567" i="2"/>
  <c r="F2565" i="2"/>
  <c r="F2563" i="2"/>
  <c r="F2561" i="2"/>
  <c r="F2559" i="2"/>
  <c r="F2557" i="2"/>
  <c r="F2555" i="2"/>
  <c r="F2553" i="2"/>
  <c r="F2551" i="2"/>
  <c r="F2549" i="2"/>
  <c r="F2547" i="2"/>
  <c r="F2545" i="2"/>
  <c r="F2543" i="2"/>
  <c r="F2541" i="2"/>
  <c r="F2539" i="2"/>
  <c r="F2537" i="2"/>
  <c r="F2535" i="2"/>
  <c r="F2533" i="2"/>
  <c r="F2531" i="2"/>
  <c r="F2529" i="2"/>
  <c r="F2527" i="2"/>
  <c r="F2525" i="2"/>
  <c r="F2523" i="2"/>
  <c r="F2521" i="2"/>
  <c r="F2519" i="2"/>
  <c r="F2517" i="2"/>
  <c r="F2515" i="2"/>
  <c r="F2513" i="2"/>
  <c r="F2511" i="2"/>
  <c r="F2509" i="2"/>
  <c r="F2507" i="2"/>
  <c r="F2505" i="2"/>
  <c r="F2503" i="2"/>
  <c r="F2501" i="2"/>
  <c r="F2499" i="2"/>
  <c r="F2497" i="2"/>
  <c r="F2495" i="2"/>
  <c r="F2493" i="2"/>
  <c r="F2491" i="2"/>
  <c r="F2489" i="2"/>
  <c r="F2487" i="2"/>
  <c r="F2485" i="2"/>
  <c r="F2483" i="2"/>
  <c r="F2481" i="2"/>
  <c r="F2479" i="2"/>
  <c r="F2477" i="2"/>
  <c r="F2475" i="2"/>
  <c r="F2473" i="2"/>
  <c r="F2471" i="2"/>
  <c r="F2469" i="2"/>
  <c r="F2467" i="2"/>
  <c r="F2465" i="2"/>
  <c r="F2463" i="2"/>
  <c r="F2461" i="2"/>
  <c r="F2459" i="2"/>
  <c r="F2457" i="2"/>
  <c r="F2455" i="2"/>
  <c r="F2453" i="2"/>
  <c r="F2451" i="2"/>
  <c r="F2449" i="2"/>
  <c r="F2447" i="2"/>
  <c r="F2445" i="2"/>
  <c r="F2443" i="2"/>
  <c r="F2441" i="2"/>
  <c r="F2439" i="2"/>
  <c r="F2437" i="2"/>
  <c r="F2435" i="2"/>
  <c r="F2433" i="2"/>
  <c r="F2431" i="2"/>
  <c r="F2429" i="2"/>
  <c r="F2427" i="2"/>
  <c r="F2425" i="2"/>
  <c r="F2423" i="2"/>
  <c r="F2421" i="2"/>
  <c r="F2419" i="2"/>
  <c r="F2417" i="2"/>
  <c r="F2415" i="2"/>
  <c r="F2413" i="2"/>
  <c r="F2411" i="2"/>
  <c r="F2409" i="2"/>
  <c r="F2407" i="2"/>
  <c r="F2405" i="2"/>
  <c r="F2403" i="2"/>
  <c r="F2401" i="2"/>
  <c r="F2399" i="2"/>
  <c r="F2397" i="2"/>
  <c r="F2650" i="2"/>
  <c r="F2646" i="2"/>
  <c r="F2642" i="2"/>
  <c r="F2638" i="2"/>
  <c r="F2634" i="2"/>
  <c r="F2630" i="2"/>
  <c r="F2626" i="2"/>
  <c r="F2622" i="2"/>
  <c r="F2618" i="2"/>
  <c r="F2614" i="2"/>
  <c r="F2610" i="2"/>
  <c r="F2606" i="2"/>
  <c r="F2602" i="2"/>
  <c r="F2598" i="2"/>
  <c r="F2594" i="2"/>
  <c r="F2590" i="2"/>
  <c r="F2586" i="2"/>
  <c r="F2582" i="2"/>
  <c r="F2578" i="2"/>
  <c r="F2574" i="2"/>
  <c r="F2570" i="2"/>
  <c r="F2566" i="2"/>
  <c r="F2562" i="2"/>
  <c r="F2558" i="2"/>
  <c r="F2554" i="2"/>
  <c r="F2550" i="2"/>
  <c r="F2546" i="2"/>
  <c r="F2542" i="2"/>
  <c r="F2538" i="2"/>
  <c r="F2534" i="2"/>
  <c r="F2530" i="2"/>
  <c r="F2526" i="2"/>
  <c r="F2522" i="2"/>
  <c r="F2518" i="2"/>
  <c r="F2514" i="2"/>
  <c r="F2510" i="2"/>
  <c r="F2506" i="2"/>
  <c r="F2502" i="2"/>
  <c r="F2498" i="2"/>
  <c r="F2494" i="2"/>
  <c r="F2490" i="2"/>
  <c r="F2486" i="2"/>
  <c r="F2482" i="2"/>
  <c r="F2478" i="2"/>
  <c r="H2474" i="2"/>
  <c r="F2472" i="2"/>
  <c r="H2469" i="2"/>
  <c r="H2466" i="2"/>
  <c r="F2464" i="2"/>
  <c r="H2461" i="2"/>
  <c r="H2458" i="2"/>
  <c r="F2456" i="2"/>
  <c r="H2453" i="2"/>
  <c r="H2450" i="2"/>
  <c r="F2448" i="2"/>
  <c r="H2445" i="2"/>
  <c r="H2442" i="2"/>
  <c r="F2440" i="2"/>
  <c r="H2437" i="2"/>
  <c r="H2434" i="2"/>
  <c r="F2432" i="2"/>
  <c r="H2429" i="2"/>
  <c r="I2426" i="2"/>
  <c r="H2424" i="2"/>
  <c r="G2422" i="2"/>
  <c r="F2420" i="2"/>
  <c r="I2417" i="2"/>
  <c r="H2415" i="2"/>
  <c r="G2413" i="2"/>
  <c r="I2410" i="2"/>
  <c r="H2408" i="2"/>
  <c r="G2406" i="2"/>
  <c r="F2404" i="2"/>
  <c r="I2401" i="2"/>
  <c r="H2399" i="2"/>
  <c r="G2397" i="2"/>
  <c r="F2395" i="2"/>
  <c r="F2393" i="2"/>
  <c r="F2391" i="2"/>
  <c r="F2389" i="2"/>
  <c r="F2387" i="2"/>
  <c r="F2385" i="2"/>
  <c r="F2383" i="2"/>
  <c r="F2381" i="2"/>
  <c r="F2379" i="2"/>
  <c r="F2377" i="2"/>
  <c r="F2375" i="2"/>
  <c r="F2373" i="2"/>
  <c r="F2371" i="2"/>
  <c r="F2369" i="2"/>
  <c r="F2367" i="2"/>
  <c r="F2365" i="2"/>
  <c r="F2363" i="2"/>
  <c r="F2361" i="2"/>
  <c r="F2359" i="2"/>
  <c r="F2357" i="2"/>
  <c r="F2355" i="2"/>
  <c r="F2353" i="2"/>
  <c r="F2351" i="2"/>
  <c r="F2349" i="2"/>
  <c r="F2347" i="2"/>
  <c r="F2345" i="2"/>
  <c r="F2343" i="2"/>
  <c r="F2341" i="2"/>
  <c r="F2339" i="2"/>
  <c r="F2337" i="2"/>
  <c r="F2335" i="2"/>
  <c r="F2333" i="2"/>
  <c r="F2331" i="2"/>
  <c r="F2329" i="2"/>
  <c r="F2327" i="2"/>
  <c r="F2325" i="2"/>
  <c r="F2323" i="2"/>
  <c r="F2321" i="2"/>
  <c r="F2319" i="2"/>
  <c r="F2317" i="2"/>
  <c r="F2315" i="2"/>
  <c r="F2313" i="2"/>
  <c r="F2311" i="2"/>
  <c r="F2309" i="2"/>
  <c r="F2307" i="2"/>
  <c r="F2305" i="2"/>
  <c r="F2303" i="2"/>
  <c r="F2301" i="2"/>
  <c r="F2299" i="2"/>
  <c r="F2297" i="2"/>
  <c r="F2295" i="2"/>
  <c r="I2649" i="2"/>
  <c r="I2645" i="2"/>
  <c r="I2641" i="2"/>
  <c r="I2637" i="2"/>
  <c r="I2633" i="2"/>
  <c r="I2629" i="2"/>
  <c r="I2625" i="2"/>
  <c r="I2621" i="2"/>
  <c r="I2617" i="2"/>
  <c r="I2613" i="2"/>
  <c r="I2609" i="2"/>
  <c r="I2605" i="2"/>
  <c r="I2601" i="2"/>
  <c r="I2597" i="2"/>
  <c r="I2593" i="2"/>
  <c r="I2589" i="2"/>
  <c r="I2585" i="2"/>
  <c r="I2581" i="2"/>
  <c r="I2577" i="2"/>
  <c r="I2573" i="2"/>
  <c r="I2569" i="2"/>
  <c r="I2565" i="2"/>
  <c r="I2561" i="2"/>
  <c r="I2557" i="2"/>
  <c r="I2553" i="2"/>
  <c r="I2549" i="2"/>
  <c r="I2545" i="2"/>
  <c r="I2541" i="2"/>
  <c r="I2537" i="2"/>
  <c r="I2533" i="2"/>
  <c r="I2529" i="2"/>
  <c r="I2525" i="2"/>
  <c r="I2521" i="2"/>
  <c r="I2517" i="2"/>
  <c r="I2513" i="2"/>
  <c r="I2509" i="2"/>
  <c r="I2505" i="2"/>
  <c r="I2501" i="2"/>
  <c r="I2497" i="2"/>
  <c r="I2493" i="2"/>
  <c r="I2489" i="2"/>
  <c r="I2485" i="2"/>
  <c r="I2481" i="2"/>
  <c r="I2477" i="2"/>
  <c r="G2474" i="2"/>
  <c r="I2471" i="2"/>
  <c r="G2469" i="2"/>
  <c r="G2466" i="2"/>
  <c r="I2463" i="2"/>
  <c r="G2461" i="2"/>
  <c r="G2458" i="2"/>
  <c r="I2455" i="2"/>
  <c r="G2453" i="2"/>
  <c r="G2450" i="2"/>
  <c r="I2447" i="2"/>
  <c r="G2445" i="2"/>
  <c r="G2442" i="2"/>
  <c r="I2439" i="2"/>
  <c r="G2437" i="2"/>
  <c r="G2434" i="2"/>
  <c r="I2431" i="2"/>
  <c r="G2429" i="2"/>
  <c r="H2426" i="2"/>
  <c r="G2424" i="2"/>
  <c r="F2422" i="2"/>
  <c r="I2419" i="2"/>
  <c r="H2417" i="2"/>
  <c r="G2415" i="2"/>
  <c r="I2412" i="2"/>
  <c r="H2410" i="2"/>
  <c r="G2408" i="2"/>
  <c r="F2406" i="2"/>
  <c r="I2403" i="2"/>
  <c r="H2401" i="2"/>
  <c r="G2399" i="2"/>
  <c r="I2396" i="2"/>
  <c r="I2394" i="2"/>
  <c r="I2392" i="2"/>
  <c r="I2390" i="2"/>
  <c r="I2388" i="2"/>
  <c r="I2386" i="2"/>
  <c r="I2384" i="2"/>
  <c r="I2382" i="2"/>
  <c r="I2380" i="2"/>
  <c r="I2378" i="2"/>
  <c r="I2376" i="2"/>
  <c r="I2374" i="2"/>
  <c r="I2372" i="2"/>
  <c r="I2370" i="2"/>
  <c r="I2368" i="2"/>
  <c r="I2366" i="2"/>
  <c r="I2364" i="2"/>
  <c r="I2362" i="2"/>
  <c r="I2360" i="2"/>
  <c r="I2358" i="2"/>
  <c r="I2356" i="2"/>
  <c r="I2354" i="2"/>
  <c r="I2352" i="2"/>
  <c r="I2350" i="2"/>
  <c r="I2348" i="2"/>
  <c r="I2346" i="2"/>
  <c r="I2344" i="2"/>
  <c r="I2342" i="2"/>
  <c r="I2340" i="2"/>
  <c r="I2338" i="2"/>
  <c r="I2336" i="2"/>
  <c r="I2334" i="2"/>
  <c r="I2332" i="2"/>
  <c r="I2330" i="2"/>
  <c r="I2328" i="2"/>
  <c r="I2326" i="2"/>
  <c r="I2324" i="2"/>
  <c r="H2649" i="2"/>
  <c r="H2645" i="2"/>
  <c r="H2641" i="2"/>
  <c r="H2637" i="2"/>
  <c r="H2633" i="2"/>
  <c r="H2629" i="2"/>
  <c r="H2625" i="2"/>
  <c r="H2621" i="2"/>
  <c r="H2617" i="2"/>
  <c r="H2613" i="2"/>
  <c r="H2609" i="2"/>
  <c r="H2605" i="2"/>
  <c r="H2601" i="2"/>
  <c r="H2597" i="2"/>
  <c r="H2593" i="2"/>
  <c r="H2589" i="2"/>
  <c r="H2585" i="2"/>
  <c r="H2581" i="2"/>
  <c r="H2577" i="2"/>
  <c r="H2573" i="2"/>
  <c r="H2569" i="2"/>
  <c r="H2565" i="2"/>
  <c r="H2561" i="2"/>
  <c r="H2557" i="2"/>
  <c r="H2553" i="2"/>
  <c r="H2549" i="2"/>
  <c r="H2545" i="2"/>
  <c r="H2541" i="2"/>
  <c r="H2537" i="2"/>
  <c r="H2533" i="2"/>
  <c r="H2529" i="2"/>
  <c r="H2525" i="2"/>
  <c r="H2521" i="2"/>
  <c r="H2517" i="2"/>
  <c r="H2513" i="2"/>
  <c r="H2509" i="2"/>
  <c r="H2505" i="2"/>
  <c r="H2501" i="2"/>
  <c r="H2497" i="2"/>
  <c r="H2493" i="2"/>
  <c r="H2489" i="2"/>
  <c r="H2485" i="2"/>
  <c r="H2481" i="2"/>
  <c r="H2477" i="2"/>
  <c r="F2474" i="2"/>
  <c r="H2471" i="2"/>
  <c r="H2468" i="2"/>
  <c r="F2466" i="2"/>
  <c r="H2463" i="2"/>
  <c r="H2460" i="2"/>
  <c r="F2458" i="2"/>
  <c r="H2455" i="2"/>
  <c r="H2452" i="2"/>
  <c r="F2450" i="2"/>
  <c r="H2447" i="2"/>
  <c r="H2444" i="2"/>
  <c r="F2442" i="2"/>
  <c r="H2439" i="2"/>
  <c r="H2436" i="2"/>
  <c r="F2434" i="2"/>
  <c r="H2431" i="2"/>
  <c r="H2428" i="2"/>
  <c r="G2426" i="2"/>
  <c r="F2424" i="2"/>
  <c r="I2421" i="2"/>
  <c r="H2419" i="2"/>
  <c r="G2417" i="2"/>
  <c r="I2414" i="2"/>
  <c r="H2412" i="2"/>
  <c r="G2410" i="2"/>
  <c r="F2408" i="2"/>
  <c r="I2405" i="2"/>
  <c r="H2403" i="2"/>
  <c r="G2401" i="2"/>
  <c r="I2398" i="2"/>
  <c r="H2396" i="2"/>
  <c r="H2394" i="2"/>
  <c r="H2392" i="2"/>
  <c r="H2390" i="2"/>
  <c r="H2388" i="2"/>
  <c r="H2386" i="2"/>
  <c r="H2384" i="2"/>
  <c r="H2382" i="2"/>
  <c r="H2380" i="2"/>
  <c r="H2378" i="2"/>
  <c r="H2376" i="2"/>
  <c r="H2374" i="2"/>
  <c r="H2372" i="2"/>
  <c r="H2370" i="2"/>
  <c r="H2368" i="2"/>
  <c r="H2366" i="2"/>
  <c r="H2364" i="2"/>
  <c r="H2362" i="2"/>
  <c r="H2360" i="2"/>
  <c r="H2358" i="2"/>
  <c r="H2356" i="2"/>
  <c r="H2354" i="2"/>
  <c r="H2352" i="2"/>
  <c r="H2350" i="2"/>
  <c r="H2348" i="2"/>
  <c r="H2346" i="2"/>
  <c r="H2344" i="2"/>
  <c r="H2342" i="2"/>
  <c r="H2340" i="2"/>
  <c r="H2338" i="2"/>
  <c r="H2336" i="2"/>
  <c r="H2334" i="2"/>
  <c r="H2332" i="2"/>
  <c r="H2330" i="2"/>
  <c r="H2328" i="2"/>
  <c r="H2326" i="2"/>
  <c r="H2324" i="2"/>
  <c r="G2647" i="2"/>
  <c r="G2643" i="2"/>
  <c r="G2639" i="2"/>
  <c r="G2635" i="2"/>
  <c r="G2631" i="2"/>
  <c r="G2627" i="2"/>
  <c r="G2623" i="2"/>
  <c r="G2619" i="2"/>
  <c r="G2615" i="2"/>
  <c r="G2611" i="2"/>
  <c r="G2607" i="2"/>
  <c r="G2603" i="2"/>
  <c r="G2599" i="2"/>
  <c r="G2595" i="2"/>
  <c r="G2591" i="2"/>
  <c r="G2587" i="2"/>
  <c r="G2583" i="2"/>
  <c r="G2579" i="2"/>
  <c r="G2575" i="2"/>
  <c r="G2571" i="2"/>
  <c r="G2567" i="2"/>
  <c r="G2563" i="2"/>
  <c r="G2559" i="2"/>
  <c r="G2555" i="2"/>
  <c r="G2551" i="2"/>
  <c r="G2547" i="2"/>
  <c r="G2543" i="2"/>
  <c r="G2539" i="2"/>
  <c r="G2535" i="2"/>
  <c r="G2531" i="2"/>
  <c r="G2527" i="2"/>
  <c r="G2523" i="2"/>
  <c r="G2519" i="2"/>
  <c r="G2515" i="2"/>
  <c r="G2511" i="2"/>
  <c r="G2507" i="2"/>
  <c r="G2503" i="2"/>
  <c r="G2499" i="2"/>
  <c r="G2495" i="2"/>
  <c r="G2491" i="2"/>
  <c r="G2487" i="2"/>
  <c r="G2483" i="2"/>
  <c r="G2479" i="2"/>
  <c r="G2475" i="2"/>
  <c r="G2472" i="2"/>
  <c r="I2469" i="2"/>
  <c r="G2467" i="2"/>
  <c r="G2464" i="2"/>
  <c r="I2461" i="2"/>
  <c r="G2459" i="2"/>
  <c r="G2456" i="2"/>
  <c r="I2453" i="2"/>
  <c r="G2451" i="2"/>
  <c r="G2448" i="2"/>
  <c r="I2445" i="2"/>
  <c r="G2443" i="2"/>
  <c r="G2440" i="2"/>
  <c r="I2437" i="2"/>
  <c r="G2435" i="2"/>
  <c r="G2432" i="2"/>
  <c r="I2429" i="2"/>
  <c r="G2427" i="2"/>
  <c r="I2424" i="2"/>
  <c r="H2422" i="2"/>
  <c r="G2420" i="2"/>
  <c r="F2418" i="2"/>
  <c r="I2415" i="2"/>
  <c r="H2413" i="2"/>
  <c r="G2411" i="2"/>
  <c r="I2408" i="2"/>
  <c r="H2406" i="2"/>
  <c r="G2404" i="2"/>
  <c r="F2402" i="2"/>
  <c r="I2399" i="2"/>
  <c r="H2397" i="2"/>
  <c r="G2395" i="2"/>
  <c r="G2393" i="2"/>
  <c r="G2391" i="2"/>
  <c r="G2389" i="2"/>
  <c r="G2387" i="2"/>
  <c r="G2385" i="2"/>
  <c r="G2383" i="2"/>
  <c r="G2381" i="2"/>
  <c r="G2379" i="2"/>
  <c r="G2377" i="2"/>
  <c r="G2375" i="2"/>
  <c r="G2373" i="2"/>
  <c r="G2371" i="2"/>
  <c r="G2369" i="2"/>
  <c r="G2367" i="2"/>
  <c r="G2365" i="2"/>
  <c r="G2363" i="2"/>
  <c r="G2361" i="2"/>
  <c r="G2359" i="2"/>
  <c r="G2357" i="2"/>
  <c r="G2355" i="2"/>
  <c r="G2353" i="2"/>
  <c r="G2351" i="2"/>
  <c r="G2349" i="2"/>
  <c r="G2347" i="2"/>
  <c r="G2345" i="2"/>
  <c r="G2343" i="2"/>
  <c r="G2341" i="2"/>
  <c r="G2339" i="2"/>
  <c r="G2337" i="2"/>
  <c r="G2335" i="2"/>
  <c r="G2333" i="2"/>
  <c r="G2331" i="2"/>
  <c r="G2329" i="2"/>
  <c r="G2327" i="2"/>
  <c r="G2325" i="2"/>
  <c r="G2323" i="2"/>
  <c r="G2321" i="2"/>
  <c r="G2319" i="2"/>
  <c r="G2317" i="2"/>
  <c r="G2315" i="2"/>
  <c r="G2313" i="2"/>
  <c r="G2311" i="2"/>
  <c r="G2309" i="2"/>
  <c r="G2307" i="2"/>
  <c r="G2305" i="2"/>
  <c r="G2303" i="2"/>
  <c r="G2301" i="2"/>
  <c r="G2299" i="2"/>
  <c r="G2297" i="2"/>
  <c r="G2295" i="2"/>
  <c r="G2293" i="2"/>
  <c r="G2291" i="2"/>
  <c r="G2289" i="2"/>
  <c r="G2287" i="2"/>
  <c r="G2285" i="2"/>
  <c r="G2283" i="2"/>
  <c r="G2281" i="2"/>
  <c r="G2279" i="2"/>
  <c r="G2277" i="2"/>
  <c r="G2275" i="2"/>
  <c r="G2273" i="2"/>
  <c r="G2271" i="2"/>
  <c r="G2269" i="2"/>
  <c r="G2267" i="2"/>
  <c r="G2265" i="2"/>
  <c r="G2263" i="2"/>
  <c r="G2261" i="2"/>
  <c r="G2259" i="2"/>
  <c r="G2257" i="2"/>
  <c r="G2255" i="2"/>
  <c r="G2253" i="2"/>
  <c r="G2251" i="2"/>
  <c r="G2249" i="2"/>
  <c r="G2247" i="2"/>
  <c r="G2245" i="2"/>
  <c r="G2243" i="2"/>
  <c r="G2241" i="2"/>
  <c r="G2239" i="2"/>
  <c r="G2237" i="2"/>
  <c r="G2235" i="2"/>
  <c r="G2233" i="2"/>
  <c r="G2231" i="2"/>
  <c r="G2229" i="2"/>
  <c r="G2227" i="2"/>
  <c r="G2225" i="2"/>
  <c r="G2223" i="2"/>
  <c r="G2221" i="2"/>
  <c r="G2219" i="2"/>
  <c r="G2217" i="2"/>
  <c r="G2649" i="2"/>
  <c r="G2641" i="2"/>
  <c r="G2633" i="2"/>
  <c r="G2625" i="2"/>
  <c r="G2617" i="2"/>
  <c r="G2609" i="2"/>
  <c r="G2601" i="2"/>
  <c r="G2593" i="2"/>
  <c r="G2585" i="2"/>
  <c r="G2577" i="2"/>
  <c r="G2569" i="2"/>
  <c r="G2561" i="2"/>
  <c r="G2553" i="2"/>
  <c r="G2545" i="2"/>
  <c r="G2537" i="2"/>
  <c r="G2529" i="2"/>
  <c r="G2521" i="2"/>
  <c r="G2513" i="2"/>
  <c r="G2505" i="2"/>
  <c r="G2497" i="2"/>
  <c r="G2489" i="2"/>
  <c r="G2481" i="2"/>
  <c r="I2473" i="2"/>
  <c r="G2468" i="2"/>
  <c r="G2463" i="2"/>
  <c r="I2457" i="2"/>
  <c r="G2452" i="2"/>
  <c r="G2447" i="2"/>
  <c r="I2441" i="2"/>
  <c r="G2436" i="2"/>
  <c r="G2431" i="2"/>
  <c r="F2426" i="2"/>
  <c r="H2421" i="2"/>
  <c r="I2416" i="2"/>
  <c r="G2412" i="2"/>
  <c r="I2407" i="2"/>
  <c r="G2403" i="2"/>
  <c r="H2398" i="2"/>
  <c r="G2394" i="2"/>
  <c r="G2390" i="2"/>
  <c r="G2386" i="2"/>
  <c r="G2382" i="2"/>
  <c r="G2378" i="2"/>
  <c r="G2374" i="2"/>
  <c r="G2370" i="2"/>
  <c r="G2366" i="2"/>
  <c r="G2362" i="2"/>
  <c r="G2358" i="2"/>
  <c r="G2354" i="2"/>
  <c r="G2350" i="2"/>
  <c r="G2346" i="2"/>
  <c r="G2342" i="2"/>
  <c r="G2338" i="2"/>
  <c r="G2334" i="2"/>
  <c r="G2330" i="2"/>
  <c r="G2326" i="2"/>
  <c r="I2322" i="2"/>
  <c r="G2320" i="2"/>
  <c r="I2317" i="2"/>
  <c r="I2314" i="2"/>
  <c r="G2312" i="2"/>
  <c r="I2309" i="2"/>
  <c r="I2306" i="2"/>
  <c r="G2304" i="2"/>
  <c r="I2301" i="2"/>
  <c r="I2298" i="2"/>
  <c r="G2296" i="2"/>
  <c r="I2293" i="2"/>
  <c r="H2291" i="2"/>
  <c r="F2289" i="2"/>
  <c r="I2286" i="2"/>
  <c r="H2284" i="2"/>
  <c r="G2282" i="2"/>
  <c r="F2280" i="2"/>
  <c r="I2277" i="2"/>
  <c r="H2275" i="2"/>
  <c r="F2273" i="2"/>
  <c r="I2270" i="2"/>
  <c r="H2268" i="2"/>
  <c r="G2266" i="2"/>
  <c r="F2264" i="2"/>
  <c r="I2261" i="2"/>
  <c r="H2259" i="2"/>
  <c r="F2257" i="2"/>
  <c r="I2254" i="2"/>
  <c r="H2252" i="2"/>
  <c r="G2250" i="2"/>
  <c r="F2248" i="2"/>
  <c r="I2245" i="2"/>
  <c r="H2243" i="2"/>
  <c r="F2241" i="2"/>
  <c r="I2238" i="2"/>
  <c r="H2236" i="2"/>
  <c r="G2234" i="2"/>
  <c r="F2232" i="2"/>
  <c r="I2229" i="2"/>
  <c r="H2227" i="2"/>
  <c r="F2225" i="2"/>
  <c r="I2222" i="2"/>
  <c r="H2220" i="2"/>
  <c r="G2218" i="2"/>
  <c r="F2216" i="2"/>
  <c r="F2214" i="2"/>
  <c r="F2212" i="2"/>
  <c r="F2210" i="2"/>
  <c r="F2208" i="2"/>
  <c r="F2206" i="2"/>
  <c r="F2204" i="2"/>
  <c r="F2202" i="2"/>
  <c r="F2200" i="2"/>
  <c r="F2198" i="2"/>
  <c r="F2196" i="2"/>
  <c r="F2194" i="2"/>
  <c r="F2192" i="2"/>
  <c r="F2190" i="2"/>
  <c r="F2188" i="2"/>
  <c r="F2186" i="2"/>
  <c r="F2184" i="2"/>
  <c r="F2182" i="2"/>
  <c r="F2180" i="2"/>
  <c r="F2178" i="2"/>
  <c r="F2176" i="2"/>
  <c r="F2174" i="2"/>
  <c r="F2172" i="2"/>
  <c r="F2170" i="2"/>
  <c r="F2168" i="2"/>
  <c r="F2166" i="2"/>
  <c r="F2648" i="2"/>
  <c r="F2640" i="2"/>
  <c r="F2632" i="2"/>
  <c r="F2624" i="2"/>
  <c r="F2616" i="2"/>
  <c r="F2608" i="2"/>
  <c r="F2600" i="2"/>
  <c r="F2592" i="2"/>
  <c r="F2584" i="2"/>
  <c r="F2576" i="2"/>
  <c r="F2568" i="2"/>
  <c r="F2560" i="2"/>
  <c r="F2552" i="2"/>
  <c r="F2544" i="2"/>
  <c r="F2536" i="2"/>
  <c r="F2528" i="2"/>
  <c r="F2520" i="2"/>
  <c r="F2512" i="2"/>
  <c r="F2504" i="2"/>
  <c r="F2496" i="2"/>
  <c r="F2488" i="2"/>
  <c r="F2480" i="2"/>
  <c r="H2473" i="2"/>
  <c r="F2468" i="2"/>
  <c r="H2462" i="2"/>
  <c r="H2457" i="2"/>
  <c r="F2452" i="2"/>
  <c r="H2446" i="2"/>
  <c r="H2441" i="2"/>
  <c r="F2436" i="2"/>
  <c r="H2430" i="2"/>
  <c r="I2425" i="2"/>
  <c r="G2421" i="2"/>
  <c r="H2416" i="2"/>
  <c r="F2412" i="2"/>
  <c r="H2407" i="2"/>
  <c r="I2402" i="2"/>
  <c r="G2398" i="2"/>
  <c r="F2394" i="2"/>
  <c r="F2390" i="2"/>
  <c r="F2386" i="2"/>
  <c r="F2382" i="2"/>
  <c r="F2378" i="2"/>
  <c r="F2374" i="2"/>
  <c r="F2370" i="2"/>
  <c r="F2366" i="2"/>
  <c r="F2362" i="2"/>
  <c r="F2358" i="2"/>
  <c r="F2354" i="2"/>
  <c r="F2350" i="2"/>
  <c r="F2346" i="2"/>
  <c r="F2342" i="2"/>
  <c r="F2338" i="2"/>
  <c r="F2334" i="2"/>
  <c r="F2330" i="2"/>
  <c r="F2326" i="2"/>
  <c r="H2322" i="2"/>
  <c r="F2320" i="2"/>
  <c r="H2317" i="2"/>
  <c r="H2314" i="2"/>
  <c r="F2312" i="2"/>
  <c r="H2309" i="2"/>
  <c r="H2306" i="2"/>
  <c r="F2304" i="2"/>
  <c r="H2301" i="2"/>
  <c r="H2298" i="2"/>
  <c r="F2296" i="2"/>
  <c r="H2293" i="2"/>
  <c r="F2291" i="2"/>
  <c r="I2288" i="2"/>
  <c r="H2286" i="2"/>
  <c r="G2284" i="2"/>
  <c r="F2282" i="2"/>
  <c r="I2279" i="2"/>
  <c r="H2277" i="2"/>
  <c r="F2275" i="2"/>
  <c r="I2272" i="2"/>
  <c r="H2270" i="2"/>
  <c r="G2268" i="2"/>
  <c r="F2266" i="2"/>
  <c r="I2263" i="2"/>
  <c r="H2261" i="2"/>
  <c r="F2259" i="2"/>
  <c r="I2256" i="2"/>
  <c r="H2254" i="2"/>
  <c r="G2252" i="2"/>
  <c r="F2250" i="2"/>
  <c r="I2247" i="2"/>
  <c r="H2245" i="2"/>
  <c r="F2243" i="2"/>
  <c r="I2240" i="2"/>
  <c r="H2238" i="2"/>
  <c r="G2236" i="2"/>
  <c r="F2234" i="2"/>
  <c r="I2231" i="2"/>
  <c r="H2229" i="2"/>
  <c r="F2227" i="2"/>
  <c r="I2224" i="2"/>
  <c r="H2222" i="2"/>
  <c r="G2220" i="2"/>
  <c r="F2218" i="2"/>
  <c r="I2215" i="2"/>
  <c r="I2213" i="2"/>
  <c r="I2211" i="2"/>
  <c r="I2209" i="2"/>
  <c r="I2207" i="2"/>
  <c r="I2205" i="2"/>
  <c r="I2203" i="2"/>
  <c r="I2201" i="2"/>
  <c r="I2199" i="2"/>
  <c r="I2197" i="2"/>
  <c r="I2195" i="2"/>
  <c r="I2193" i="2"/>
  <c r="I2191" i="2"/>
  <c r="I2189" i="2"/>
  <c r="I2187" i="2"/>
  <c r="I2185" i="2"/>
  <c r="I2183" i="2"/>
  <c r="I2181" i="2"/>
  <c r="I2179" i="2"/>
  <c r="I2177" i="2"/>
  <c r="I2175" i="2"/>
  <c r="I2173" i="2"/>
  <c r="I2171" i="2"/>
  <c r="I2169" i="2"/>
  <c r="I2167" i="2"/>
  <c r="I2165" i="2"/>
  <c r="I2647" i="2"/>
  <c r="I2639" i="2"/>
  <c r="I2631" i="2"/>
  <c r="I2623" i="2"/>
  <c r="I2615" i="2"/>
  <c r="I2607" i="2"/>
  <c r="I2599" i="2"/>
  <c r="I2591" i="2"/>
  <c r="I2583" i="2"/>
  <c r="I2575" i="2"/>
  <c r="I2567" i="2"/>
  <c r="I2559" i="2"/>
  <c r="I2551" i="2"/>
  <c r="I2543" i="2"/>
  <c r="I2535" i="2"/>
  <c r="I2527" i="2"/>
  <c r="I2519" i="2"/>
  <c r="I2511" i="2"/>
  <c r="I2503" i="2"/>
  <c r="I2495" i="2"/>
  <c r="I2487" i="2"/>
  <c r="I2479" i="2"/>
  <c r="G2473" i="2"/>
  <c r="I2467" i="2"/>
  <c r="G2462" i="2"/>
  <c r="G2457" i="2"/>
  <c r="I2451" i="2"/>
  <c r="G2446" i="2"/>
  <c r="G2441" i="2"/>
  <c r="I2435" i="2"/>
  <c r="G2430" i="2"/>
  <c r="H2425" i="2"/>
  <c r="I2420" i="2"/>
  <c r="G2416" i="2"/>
  <c r="I2411" i="2"/>
  <c r="G2407" i="2"/>
  <c r="H2402" i="2"/>
  <c r="F2398" i="2"/>
  <c r="I2393" i="2"/>
  <c r="I2389" i="2"/>
  <c r="I2385" i="2"/>
  <c r="I2381" i="2"/>
  <c r="I2377" i="2"/>
  <c r="I2373" i="2"/>
  <c r="I2369" i="2"/>
  <c r="I2365" i="2"/>
  <c r="I2361" i="2"/>
  <c r="I2357" i="2"/>
  <c r="I2353" i="2"/>
  <c r="I2349" i="2"/>
  <c r="I2345" i="2"/>
  <c r="I2341" i="2"/>
  <c r="I2337" i="2"/>
  <c r="I2333" i="2"/>
  <c r="I2329" i="2"/>
  <c r="I2325" i="2"/>
  <c r="G2322" i="2"/>
  <c r="I2319" i="2"/>
  <c r="I2316" i="2"/>
  <c r="G2314" i="2"/>
  <c r="I2311" i="2"/>
  <c r="I2308" i="2"/>
  <c r="G2306" i="2"/>
  <c r="I2303" i="2"/>
  <c r="I2300" i="2"/>
  <c r="G2298" i="2"/>
  <c r="I2295" i="2"/>
  <c r="F2293" i="2"/>
  <c r="I2290" i="2"/>
  <c r="H2288" i="2"/>
  <c r="G2286" i="2"/>
  <c r="F2284" i="2"/>
  <c r="I2281" i="2"/>
  <c r="H2279" i="2"/>
  <c r="F2277" i="2"/>
  <c r="I2274" i="2"/>
  <c r="H2272" i="2"/>
  <c r="G2270" i="2"/>
  <c r="F2268" i="2"/>
  <c r="I2265" i="2"/>
  <c r="H2263" i="2"/>
  <c r="F2261" i="2"/>
  <c r="I2258" i="2"/>
  <c r="H2256" i="2"/>
  <c r="G2254" i="2"/>
  <c r="F2252" i="2"/>
  <c r="I2249" i="2"/>
  <c r="H2247" i="2"/>
  <c r="F2245" i="2"/>
  <c r="I2242" i="2"/>
  <c r="H2240" i="2"/>
  <c r="G2238" i="2"/>
  <c r="F2236" i="2"/>
  <c r="I2233" i="2"/>
  <c r="H2231" i="2"/>
  <c r="F2229" i="2"/>
  <c r="I2226" i="2"/>
  <c r="H2224" i="2"/>
  <c r="G2222" i="2"/>
  <c r="F2220" i="2"/>
  <c r="I2217" i="2"/>
  <c r="H2215" i="2"/>
  <c r="H2213" i="2"/>
  <c r="H2211" i="2"/>
  <c r="H2209" i="2"/>
  <c r="H2207" i="2"/>
  <c r="H2205" i="2"/>
  <c r="H2203" i="2"/>
  <c r="H2201" i="2"/>
  <c r="H2199" i="2"/>
  <c r="H2197" i="2"/>
  <c r="H2195" i="2"/>
  <c r="H2193" i="2"/>
  <c r="H2191" i="2"/>
  <c r="H2189" i="2"/>
  <c r="H2187" i="2"/>
  <c r="H2185" i="2"/>
  <c r="H2183" i="2"/>
  <c r="H2181" i="2"/>
  <c r="H2179" i="2"/>
  <c r="H2177" i="2"/>
  <c r="H2175" i="2"/>
  <c r="H2173" i="2"/>
  <c r="H2171" i="2"/>
  <c r="H2169" i="2"/>
  <c r="H2167" i="2"/>
  <c r="H2165" i="2"/>
  <c r="H2643" i="2"/>
  <c r="H2635" i="2"/>
  <c r="H2627" i="2"/>
  <c r="H2619" i="2"/>
  <c r="H2611" i="2"/>
  <c r="H2603" i="2"/>
  <c r="H2595" i="2"/>
  <c r="H2587" i="2"/>
  <c r="H2579" i="2"/>
  <c r="H2571" i="2"/>
  <c r="H2563" i="2"/>
  <c r="H2555" i="2"/>
  <c r="H2547" i="2"/>
  <c r="H2539" i="2"/>
  <c r="H2531" i="2"/>
  <c r="H2523" i="2"/>
  <c r="H2515" i="2"/>
  <c r="H2507" i="2"/>
  <c r="H2499" i="2"/>
  <c r="H2491" i="2"/>
  <c r="H2483" i="2"/>
  <c r="H2475" i="2"/>
  <c r="F2470" i="2"/>
  <c r="H2464" i="2"/>
  <c r="H2459" i="2"/>
  <c r="F2454" i="2"/>
  <c r="H2448" i="2"/>
  <c r="H2443" i="2"/>
  <c r="F2438" i="2"/>
  <c r="H2432" i="2"/>
  <c r="H2427" i="2"/>
  <c r="I2422" i="2"/>
  <c r="G2418" i="2"/>
  <c r="I2413" i="2"/>
  <c r="G2409" i="2"/>
  <c r="H2404" i="2"/>
  <c r="F2400" i="2"/>
  <c r="H2395" i="2"/>
  <c r="H2391" i="2"/>
  <c r="H2387" i="2"/>
  <c r="H2383" i="2"/>
  <c r="H2379" i="2"/>
  <c r="H2375" i="2"/>
  <c r="H2371" i="2"/>
  <c r="H2367" i="2"/>
  <c r="H2363" i="2"/>
  <c r="H2359" i="2"/>
  <c r="H2355" i="2"/>
  <c r="H2351" i="2"/>
  <c r="H2347" i="2"/>
  <c r="H2343" i="2"/>
  <c r="H2339" i="2"/>
  <c r="H2335" i="2"/>
  <c r="H2331" i="2"/>
  <c r="H2327" i="2"/>
  <c r="H2323" i="2"/>
  <c r="H2320" i="2"/>
  <c r="F2318" i="2"/>
  <c r="H2315" i="2"/>
  <c r="H2312" i="2"/>
  <c r="F2310" i="2"/>
  <c r="H2307" i="2"/>
  <c r="H2304" i="2"/>
  <c r="F2302" i="2"/>
  <c r="H2299" i="2"/>
  <c r="H2296" i="2"/>
  <c r="F2294" i="2"/>
  <c r="I2291" i="2"/>
  <c r="H2289" i="2"/>
  <c r="F2287" i="2"/>
  <c r="I2284" i="2"/>
  <c r="H2282" i="2"/>
  <c r="G2280" i="2"/>
  <c r="F2278" i="2"/>
  <c r="I2275" i="2"/>
  <c r="H2273" i="2"/>
  <c r="F2271" i="2"/>
  <c r="I2268" i="2"/>
  <c r="H2266" i="2"/>
  <c r="G2264" i="2"/>
  <c r="F2262" i="2"/>
  <c r="I2259" i="2"/>
  <c r="H2257" i="2"/>
  <c r="F2255" i="2"/>
  <c r="I2252" i="2"/>
  <c r="H2250" i="2"/>
  <c r="G2248" i="2"/>
  <c r="F2246" i="2"/>
  <c r="I2243" i="2"/>
  <c r="H2241" i="2"/>
  <c r="F2239" i="2"/>
  <c r="I2236" i="2"/>
  <c r="H2234" i="2"/>
  <c r="G2232" i="2"/>
  <c r="F2230" i="2"/>
  <c r="I2227" i="2"/>
  <c r="H2225" i="2"/>
  <c r="F2223" i="2"/>
  <c r="I2220" i="2"/>
  <c r="H2218" i="2"/>
  <c r="G2216" i="2"/>
  <c r="G2214" i="2"/>
  <c r="G2212" i="2"/>
  <c r="G2210" i="2"/>
  <c r="G2208" i="2"/>
  <c r="G2206" i="2"/>
  <c r="G2204" i="2"/>
  <c r="G2202" i="2"/>
  <c r="G2200" i="2"/>
  <c r="G2198" i="2"/>
  <c r="G2196" i="2"/>
  <c r="G2194" i="2"/>
  <c r="G2192" i="2"/>
  <c r="G2190" i="2"/>
  <c r="G2188" i="2"/>
  <c r="G2186" i="2"/>
  <c r="G2184" i="2"/>
  <c r="G2182" i="2"/>
  <c r="G2180" i="2"/>
  <c r="G2178" i="2"/>
  <c r="G2176" i="2"/>
  <c r="G2174" i="2"/>
  <c r="G2172" i="2"/>
  <c r="G2170" i="2"/>
  <c r="G2168" i="2"/>
  <c r="G2166" i="2"/>
  <c r="G2164" i="2"/>
  <c r="G2162" i="2"/>
  <c r="G2160" i="2"/>
  <c r="G2158" i="2"/>
  <c r="G2156" i="2"/>
  <c r="G2154" i="2"/>
  <c r="G2152" i="2"/>
  <c r="G2150" i="2"/>
  <c r="G2148" i="2"/>
  <c r="G2146" i="2"/>
  <c r="G2144" i="2"/>
  <c r="G2142" i="2"/>
  <c r="G2140" i="2"/>
  <c r="G2138" i="2"/>
  <c r="G2136" i="2"/>
  <c r="G2134" i="2"/>
  <c r="G2132" i="2"/>
  <c r="G2130" i="2"/>
  <c r="G2128" i="2"/>
  <c r="G2126" i="2"/>
  <c r="G2124" i="2"/>
  <c r="G2122" i="2"/>
  <c r="G2120" i="2"/>
  <c r="G2118" i="2"/>
  <c r="G2116" i="2"/>
  <c r="G2114" i="2"/>
  <c r="G2112" i="2"/>
  <c r="G2110" i="2"/>
  <c r="G2108" i="2"/>
  <c r="G2106" i="2"/>
  <c r="G2104" i="2"/>
  <c r="G2102" i="2"/>
  <c r="G2100" i="2"/>
  <c r="G2098" i="2"/>
  <c r="G2096" i="2"/>
  <c r="G2094" i="2"/>
  <c r="G2092" i="2"/>
  <c r="G2090" i="2"/>
  <c r="G2088" i="2"/>
  <c r="G2086" i="2"/>
  <c r="G2084" i="2"/>
  <c r="G2082" i="2"/>
  <c r="G2080" i="2"/>
  <c r="G2078" i="2"/>
  <c r="G2076" i="2"/>
  <c r="G2074" i="2"/>
  <c r="G2072" i="2"/>
  <c r="G2070" i="2"/>
  <c r="G2068" i="2"/>
  <c r="G2066" i="2"/>
  <c r="G2064" i="2"/>
  <c r="G2062" i="2"/>
  <c r="G2060" i="2"/>
  <c r="G2058" i="2"/>
  <c r="G2056" i="2"/>
  <c r="G2054" i="2"/>
  <c r="G2052" i="2"/>
  <c r="G2050" i="2"/>
  <c r="G2048" i="2"/>
  <c r="G2046" i="2"/>
  <c r="G2044" i="2"/>
  <c r="G2042" i="2"/>
  <c r="G2040" i="2"/>
  <c r="G2038" i="2"/>
  <c r="G2036" i="2"/>
  <c r="G2034" i="2"/>
  <c r="G2032" i="2"/>
  <c r="H2647" i="2"/>
  <c r="H2631" i="2"/>
  <c r="H2615" i="2"/>
  <c r="H2599" i="2"/>
  <c r="H2583" i="2"/>
  <c r="H2567" i="2"/>
  <c r="H2551" i="2"/>
  <c r="H2535" i="2"/>
  <c r="H2519" i="2"/>
  <c r="H2503" i="2"/>
  <c r="H2487" i="2"/>
  <c r="H2472" i="2"/>
  <c r="F2462" i="2"/>
  <c r="H2451" i="2"/>
  <c r="H2440" i="2"/>
  <c r="F2430" i="2"/>
  <c r="H2420" i="2"/>
  <c r="H2411" i="2"/>
  <c r="G2402" i="2"/>
  <c r="H2393" i="2"/>
  <c r="H2385" i="2"/>
  <c r="H2377" i="2"/>
  <c r="H2369" i="2"/>
  <c r="H2361" i="2"/>
  <c r="H2353" i="2"/>
  <c r="H2345" i="2"/>
  <c r="H2337" i="2"/>
  <c r="H2329" i="2"/>
  <c r="F2322" i="2"/>
  <c r="H2316" i="2"/>
  <c r="H2311" i="2"/>
  <c r="F2306" i="2"/>
  <c r="H2300" i="2"/>
  <c r="H2295" i="2"/>
  <c r="H2290" i="2"/>
  <c r="F2286" i="2"/>
  <c r="H2281" i="2"/>
  <c r="I2276" i="2"/>
  <c r="G2272" i="2"/>
  <c r="I2267" i="2"/>
  <c r="F2263" i="2"/>
  <c r="H2258" i="2"/>
  <c r="F2254" i="2"/>
  <c r="H2249" i="2"/>
  <c r="I2244" i="2"/>
  <c r="G2240" i="2"/>
  <c r="I2235" i="2"/>
  <c r="F2231" i="2"/>
  <c r="H2226" i="2"/>
  <c r="F2222" i="2"/>
  <c r="H2217" i="2"/>
  <c r="G2213" i="2"/>
  <c r="G2209" i="2"/>
  <c r="G2205" i="2"/>
  <c r="G2201" i="2"/>
  <c r="G2197" i="2"/>
  <c r="G2193" i="2"/>
  <c r="G2189" i="2"/>
  <c r="G2185" i="2"/>
  <c r="G2181" i="2"/>
  <c r="G2177" i="2"/>
  <c r="G2173" i="2"/>
  <c r="G2169" i="2"/>
  <c r="G2165" i="2"/>
  <c r="F2163" i="2"/>
  <c r="I2160" i="2"/>
  <c r="H2158" i="2"/>
  <c r="F2156" i="2"/>
  <c r="I2153" i="2"/>
  <c r="H2151" i="2"/>
  <c r="G2149" i="2"/>
  <c r="F2147" i="2"/>
  <c r="I2144" i="2"/>
  <c r="H2142" i="2"/>
  <c r="F2140" i="2"/>
  <c r="I2137" i="2"/>
  <c r="H2135" i="2"/>
  <c r="G2133" i="2"/>
  <c r="F2131" i="2"/>
  <c r="I2128" i="2"/>
  <c r="H2126" i="2"/>
  <c r="F2124" i="2"/>
  <c r="I2121" i="2"/>
  <c r="H2119" i="2"/>
  <c r="G2117" i="2"/>
  <c r="F2115" i="2"/>
  <c r="I2112" i="2"/>
  <c r="H2110" i="2"/>
  <c r="F2108" i="2"/>
  <c r="I2105" i="2"/>
  <c r="H2103" i="2"/>
  <c r="G2101" i="2"/>
  <c r="F2099" i="2"/>
  <c r="I2096" i="2"/>
  <c r="H2094" i="2"/>
  <c r="F2092" i="2"/>
  <c r="I2089" i="2"/>
  <c r="H2087" i="2"/>
  <c r="G2085" i="2"/>
  <c r="F2083" i="2"/>
  <c r="I2080" i="2"/>
  <c r="H2078" i="2"/>
  <c r="F2076" i="2"/>
  <c r="I2073" i="2"/>
  <c r="H2071" i="2"/>
  <c r="G2069" i="2"/>
  <c r="F2067" i="2"/>
  <c r="I2064" i="2"/>
  <c r="H2062" i="2"/>
  <c r="F2060" i="2"/>
  <c r="I2057" i="2"/>
  <c r="H2055" i="2"/>
  <c r="G2053" i="2"/>
  <c r="F2051" i="2"/>
  <c r="I2048" i="2"/>
  <c r="H2046" i="2"/>
  <c r="F2044" i="2"/>
  <c r="I2041" i="2"/>
  <c r="H2039" i="2"/>
  <c r="G2037" i="2"/>
  <c r="F2035" i="2"/>
  <c r="I2032" i="2"/>
  <c r="H2030" i="2"/>
  <c r="H2028" i="2"/>
  <c r="H2026" i="2"/>
  <c r="H2024" i="2"/>
  <c r="H2022" i="2"/>
  <c r="G2645" i="2"/>
  <c r="G2629" i="2"/>
  <c r="G2613" i="2"/>
  <c r="G2597" i="2"/>
  <c r="G2581" i="2"/>
  <c r="G2565" i="2"/>
  <c r="G2549" i="2"/>
  <c r="G2533" i="2"/>
  <c r="G2517" i="2"/>
  <c r="G2501" i="2"/>
  <c r="G2485" i="2"/>
  <c r="G2471" i="2"/>
  <c r="G2460" i="2"/>
  <c r="I2449" i="2"/>
  <c r="G2439" i="2"/>
  <c r="G2428" i="2"/>
  <c r="G2419" i="2"/>
  <c r="F2410" i="2"/>
  <c r="I2400" i="2"/>
  <c r="G2392" i="2"/>
  <c r="G2384" i="2"/>
  <c r="G2376" i="2"/>
  <c r="G2368" i="2"/>
  <c r="G2360" i="2"/>
  <c r="G2352" i="2"/>
  <c r="G2344" i="2"/>
  <c r="G2336" i="2"/>
  <c r="G2328" i="2"/>
  <c r="I2321" i="2"/>
  <c r="G2316" i="2"/>
  <c r="I2310" i="2"/>
  <c r="I2305" i="2"/>
  <c r="G2300" i="2"/>
  <c r="I2294" i="2"/>
  <c r="G2290" i="2"/>
  <c r="I2285" i="2"/>
  <c r="F2281" i="2"/>
  <c r="H2276" i="2"/>
  <c r="F2272" i="2"/>
  <c r="H2267" i="2"/>
  <c r="I2262" i="2"/>
  <c r="G2258" i="2"/>
  <c r="I2253" i="2"/>
  <c r="F2249" i="2"/>
  <c r="H2244" i="2"/>
  <c r="F2240" i="2"/>
  <c r="H2235" i="2"/>
  <c r="I2230" i="2"/>
  <c r="G2226" i="2"/>
  <c r="I2221" i="2"/>
  <c r="F2217" i="2"/>
  <c r="F2213" i="2"/>
  <c r="F2209" i="2"/>
  <c r="F2205" i="2"/>
  <c r="F2201" i="2"/>
  <c r="F2197" i="2"/>
  <c r="F2193" i="2"/>
  <c r="F2189" i="2"/>
  <c r="F2185" i="2"/>
  <c r="F2181" i="2"/>
  <c r="F2177" i="2"/>
  <c r="F2173" i="2"/>
  <c r="F2169" i="2"/>
  <c r="F2165" i="2"/>
  <c r="I2162" i="2"/>
  <c r="H2160" i="2"/>
  <c r="F2158" i="2"/>
  <c r="I2155" i="2"/>
  <c r="H2153" i="2"/>
  <c r="G2151" i="2"/>
  <c r="F2149" i="2"/>
  <c r="I2146" i="2"/>
  <c r="H2144" i="2"/>
  <c r="F2142" i="2"/>
  <c r="I2139" i="2"/>
  <c r="H2137" i="2"/>
  <c r="G2135" i="2"/>
  <c r="F2133" i="2"/>
  <c r="I2130" i="2"/>
  <c r="H2128" i="2"/>
  <c r="F2126" i="2"/>
  <c r="I2123" i="2"/>
  <c r="H2121" i="2"/>
  <c r="G2119" i="2"/>
  <c r="F2117" i="2"/>
  <c r="I2114" i="2"/>
  <c r="H2112" i="2"/>
  <c r="F2110" i="2"/>
  <c r="I2107" i="2"/>
  <c r="H2105" i="2"/>
  <c r="G2103" i="2"/>
  <c r="F2101" i="2"/>
  <c r="I2098" i="2"/>
  <c r="H2096" i="2"/>
  <c r="F2094" i="2"/>
  <c r="I2091" i="2"/>
  <c r="H2089" i="2"/>
  <c r="G2087" i="2"/>
  <c r="F2085" i="2"/>
  <c r="I2082" i="2"/>
  <c r="H2080" i="2"/>
  <c r="F2078" i="2"/>
  <c r="I2075" i="2"/>
  <c r="H2073" i="2"/>
  <c r="G2071" i="2"/>
  <c r="F2069" i="2"/>
  <c r="I2066" i="2"/>
  <c r="H2064" i="2"/>
  <c r="F2062" i="2"/>
  <c r="I2059" i="2"/>
  <c r="H2057" i="2"/>
  <c r="G2055" i="2"/>
  <c r="F2053" i="2"/>
  <c r="I2050" i="2"/>
  <c r="H2048" i="2"/>
  <c r="F2046" i="2"/>
  <c r="I2043" i="2"/>
  <c r="H2041" i="2"/>
  <c r="G2039" i="2"/>
  <c r="F2037" i="2"/>
  <c r="I2034" i="2"/>
  <c r="H2032" i="2"/>
  <c r="G2030" i="2"/>
  <c r="G2028" i="2"/>
  <c r="G2026" i="2"/>
  <c r="G2024" i="2"/>
  <c r="G2022" i="2"/>
  <c r="F2644" i="2"/>
  <c r="F2628" i="2"/>
  <c r="F2612" i="2"/>
  <c r="F2596" i="2"/>
  <c r="F2580" i="2"/>
  <c r="F2564" i="2"/>
  <c r="F2548" i="2"/>
  <c r="F2532" i="2"/>
  <c r="F2516" i="2"/>
  <c r="F2500" i="2"/>
  <c r="F2484" i="2"/>
  <c r="H2470" i="2"/>
  <c r="F2460" i="2"/>
  <c r="H2449" i="2"/>
  <c r="H2438" i="2"/>
  <c r="F2428" i="2"/>
  <c r="I2418" i="2"/>
  <c r="I2409" i="2"/>
  <c r="H2400" i="2"/>
  <c r="F2392" i="2"/>
  <c r="F2384" i="2"/>
  <c r="F2376" i="2"/>
  <c r="F2368" i="2"/>
  <c r="F2360" i="2"/>
  <c r="F2352" i="2"/>
  <c r="F2344" i="2"/>
  <c r="F2336" i="2"/>
  <c r="F2328" i="2"/>
  <c r="H2321" i="2"/>
  <c r="F2316" i="2"/>
  <c r="H2310" i="2"/>
  <c r="H2305" i="2"/>
  <c r="F2300" i="2"/>
  <c r="H2294" i="2"/>
  <c r="F2290" i="2"/>
  <c r="H2285" i="2"/>
  <c r="I2280" i="2"/>
  <c r="G2276" i="2"/>
  <c r="I2271" i="2"/>
  <c r="F2267" i="2"/>
  <c r="H2262" i="2"/>
  <c r="F2258" i="2"/>
  <c r="H2253" i="2"/>
  <c r="I2248" i="2"/>
  <c r="G2244" i="2"/>
  <c r="I2239" i="2"/>
  <c r="F2235" i="2"/>
  <c r="H2230" i="2"/>
  <c r="F2226" i="2"/>
  <c r="H2221" i="2"/>
  <c r="I2216" i="2"/>
  <c r="I2212" i="2"/>
  <c r="I2208" i="2"/>
  <c r="I2204" i="2"/>
  <c r="I2200" i="2"/>
  <c r="I2196" i="2"/>
  <c r="I2192" i="2"/>
  <c r="I2188" i="2"/>
  <c r="I2184" i="2"/>
  <c r="I2180" i="2"/>
  <c r="I2176" i="2"/>
  <c r="I2172" i="2"/>
  <c r="I2168" i="2"/>
  <c r="I2164" i="2"/>
  <c r="H2162" i="2"/>
  <c r="F2160" i="2"/>
  <c r="I2157" i="2"/>
  <c r="H2155" i="2"/>
  <c r="G2153" i="2"/>
  <c r="F2151" i="2"/>
  <c r="I2148" i="2"/>
  <c r="H2146" i="2"/>
  <c r="F2144" i="2"/>
  <c r="I2141" i="2"/>
  <c r="H2139" i="2"/>
  <c r="G2137" i="2"/>
  <c r="F2135" i="2"/>
  <c r="I2132" i="2"/>
  <c r="H2130" i="2"/>
  <c r="F2128" i="2"/>
  <c r="I2125" i="2"/>
  <c r="H2123" i="2"/>
  <c r="G2121" i="2"/>
  <c r="F2119" i="2"/>
  <c r="I2116" i="2"/>
  <c r="H2114" i="2"/>
  <c r="F2112" i="2"/>
  <c r="I2109" i="2"/>
  <c r="H2107" i="2"/>
  <c r="G2105" i="2"/>
  <c r="F2103" i="2"/>
  <c r="I2100" i="2"/>
  <c r="H2098" i="2"/>
  <c r="F2096" i="2"/>
  <c r="I2093" i="2"/>
  <c r="H2091" i="2"/>
  <c r="G2089" i="2"/>
  <c r="F2087" i="2"/>
  <c r="I2084" i="2"/>
  <c r="H2082" i="2"/>
  <c r="F2080" i="2"/>
  <c r="I2077" i="2"/>
  <c r="H2075" i="2"/>
  <c r="G2073" i="2"/>
  <c r="F2071" i="2"/>
  <c r="I2068" i="2"/>
  <c r="H2066" i="2"/>
  <c r="F2064" i="2"/>
  <c r="I2061" i="2"/>
  <c r="H2059" i="2"/>
  <c r="G2057" i="2"/>
  <c r="F2055" i="2"/>
  <c r="I2052" i="2"/>
  <c r="H2050" i="2"/>
  <c r="F2048" i="2"/>
  <c r="I2045" i="2"/>
  <c r="H2043" i="2"/>
  <c r="G2041" i="2"/>
  <c r="F2039" i="2"/>
  <c r="I2036" i="2"/>
  <c r="H2034" i="2"/>
  <c r="F2032" i="2"/>
  <c r="F2030" i="2"/>
  <c r="F2028" i="2"/>
  <c r="F2026" i="2"/>
  <c r="F2024" i="2"/>
  <c r="F2022" i="2"/>
  <c r="F2020" i="2"/>
  <c r="I2635" i="2"/>
  <c r="I2619" i="2"/>
  <c r="I2603" i="2"/>
  <c r="I2587" i="2"/>
  <c r="I2571" i="2"/>
  <c r="I2555" i="2"/>
  <c r="I2539" i="2"/>
  <c r="I2523" i="2"/>
  <c r="I2507" i="2"/>
  <c r="I2491" i="2"/>
  <c r="I2475" i="2"/>
  <c r="G2465" i="2"/>
  <c r="G2454" i="2"/>
  <c r="I2443" i="2"/>
  <c r="G2433" i="2"/>
  <c r="G2423" i="2"/>
  <c r="F2414" i="2"/>
  <c r="I2404" i="2"/>
  <c r="I2395" i="2"/>
  <c r="I2387" i="2"/>
  <c r="I2379" i="2"/>
  <c r="I2371" i="2"/>
  <c r="I2363" i="2"/>
  <c r="I2355" i="2"/>
  <c r="I2347" i="2"/>
  <c r="I2339" i="2"/>
  <c r="I2331" i="2"/>
  <c r="I2323" i="2"/>
  <c r="G2318" i="2"/>
  <c r="I2312" i="2"/>
  <c r="I2307" i="2"/>
  <c r="G2302" i="2"/>
  <c r="I2296" i="2"/>
  <c r="F2292" i="2"/>
  <c r="H2287" i="2"/>
  <c r="I2282" i="2"/>
  <c r="G2278" i="2"/>
  <c r="I2273" i="2"/>
  <c r="F2269" i="2"/>
  <c r="H2264" i="2"/>
  <c r="F2260" i="2"/>
  <c r="H2255" i="2"/>
  <c r="I2250" i="2"/>
  <c r="G2246" i="2"/>
  <c r="I2241" i="2"/>
  <c r="F2237" i="2"/>
  <c r="H2232" i="2"/>
  <c r="F2228" i="2"/>
  <c r="H2223" i="2"/>
  <c r="I2218" i="2"/>
  <c r="H2214" i="2"/>
  <c r="H2210" i="2"/>
  <c r="H2206" i="2"/>
  <c r="H2202" i="2"/>
  <c r="H2198" i="2"/>
  <c r="H2194" i="2"/>
  <c r="H2190" i="2"/>
  <c r="H2186" i="2"/>
  <c r="H2182" i="2"/>
  <c r="H2178" i="2"/>
  <c r="H2174" i="2"/>
  <c r="H2170" i="2"/>
  <c r="H2166" i="2"/>
  <c r="G2163" i="2"/>
  <c r="F2161" i="2"/>
  <c r="I2158" i="2"/>
  <c r="H2156" i="2"/>
  <c r="F2154" i="2"/>
  <c r="I2151" i="2"/>
  <c r="H2149" i="2"/>
  <c r="G2147" i="2"/>
  <c r="F2145" i="2"/>
  <c r="I2142" i="2"/>
  <c r="H2140" i="2"/>
  <c r="F2138" i="2"/>
  <c r="I2135" i="2"/>
  <c r="H2133" i="2"/>
  <c r="G2131" i="2"/>
  <c r="F2129" i="2"/>
  <c r="I2126" i="2"/>
  <c r="H2124" i="2"/>
  <c r="F2122" i="2"/>
  <c r="I2119" i="2"/>
  <c r="H2117" i="2"/>
  <c r="G2115" i="2"/>
  <c r="F2113" i="2"/>
  <c r="I2110" i="2"/>
  <c r="H2108" i="2"/>
  <c r="F2106" i="2"/>
  <c r="I2103" i="2"/>
  <c r="H2101" i="2"/>
  <c r="G2099" i="2"/>
  <c r="F2097" i="2"/>
  <c r="I2094" i="2"/>
  <c r="H2092" i="2"/>
  <c r="F2090" i="2"/>
  <c r="I2087" i="2"/>
  <c r="H2085" i="2"/>
  <c r="G2083" i="2"/>
  <c r="F2081" i="2"/>
  <c r="I2078" i="2"/>
  <c r="H2076" i="2"/>
  <c r="F2074" i="2"/>
  <c r="I2071" i="2"/>
  <c r="H2069" i="2"/>
  <c r="G2067" i="2"/>
  <c r="F2065" i="2"/>
  <c r="I2062" i="2"/>
  <c r="H2060" i="2"/>
  <c r="F2058" i="2"/>
  <c r="I2055" i="2"/>
  <c r="H2053" i="2"/>
  <c r="G2051" i="2"/>
  <c r="F2049" i="2"/>
  <c r="I2046" i="2"/>
  <c r="H2044" i="2"/>
  <c r="F2042" i="2"/>
  <c r="I2039" i="2"/>
  <c r="H2037" i="2"/>
  <c r="G2035" i="2"/>
  <c r="F2033" i="2"/>
  <c r="I2030" i="2"/>
  <c r="I2028" i="2"/>
  <c r="I2026" i="2"/>
  <c r="I2024" i="2"/>
  <c r="I2022" i="2"/>
  <c r="I2020" i="2"/>
  <c r="I2018" i="2"/>
  <c r="I2016" i="2"/>
  <c r="I2014" i="2"/>
  <c r="I2012" i="2"/>
  <c r="I2010" i="2"/>
  <c r="I2008" i="2"/>
  <c r="I2006" i="2"/>
  <c r="I2004" i="2"/>
  <c r="I2002" i="2"/>
  <c r="I2000" i="2"/>
  <c r="I1998" i="2"/>
  <c r="I1996" i="2"/>
  <c r="I1994" i="2"/>
  <c r="I1992" i="2"/>
  <c r="I1990" i="2"/>
  <c r="I1988" i="2"/>
  <c r="I1986" i="2"/>
  <c r="I1984" i="2"/>
  <c r="I1982" i="2"/>
  <c r="I1980" i="2"/>
  <c r="I1978" i="2"/>
  <c r="I1976" i="2"/>
  <c r="I1974" i="2"/>
  <c r="I1972" i="2"/>
  <c r="I1970" i="2"/>
  <c r="I1968" i="2"/>
  <c r="I1966" i="2"/>
  <c r="I1964" i="2"/>
  <c r="I1962" i="2"/>
  <c r="I1960" i="2"/>
  <c r="I1958" i="2"/>
  <c r="I1956" i="2"/>
  <c r="I1954" i="2"/>
  <c r="I1952" i="2"/>
  <c r="I1950" i="2"/>
  <c r="I1948" i="2"/>
  <c r="I1946" i="2"/>
  <c r="I1944" i="2"/>
  <c r="I1942" i="2"/>
  <c r="I1940" i="2"/>
  <c r="I1938" i="2"/>
  <c r="I1936" i="2"/>
  <c r="I1934" i="2"/>
  <c r="I1932" i="2"/>
  <c r="I1930" i="2"/>
  <c r="I1928" i="2"/>
  <c r="I1926" i="2"/>
  <c r="I1924" i="2"/>
  <c r="I1922" i="2"/>
  <c r="I1920" i="2"/>
  <c r="I1918" i="2"/>
  <c r="I1916" i="2"/>
  <c r="I1914" i="2"/>
  <c r="I1912" i="2"/>
  <c r="I1910" i="2"/>
  <c r="I1908" i="2"/>
  <c r="I1906" i="2"/>
  <c r="I1904" i="2"/>
  <c r="I1902" i="2"/>
  <c r="I1900" i="2"/>
  <c r="I1898" i="2"/>
  <c r="I1896" i="2"/>
  <c r="I1894" i="2"/>
  <c r="I1892" i="2"/>
  <c r="I1890" i="2"/>
  <c r="I1888" i="2"/>
  <c r="I1886" i="2"/>
  <c r="I1884" i="2"/>
  <c r="I1882" i="2"/>
  <c r="I1880" i="2"/>
  <c r="I1878" i="2"/>
  <c r="I1876" i="2"/>
  <c r="I1874" i="2"/>
  <c r="I1872" i="2"/>
  <c r="I1870" i="2"/>
  <c r="I1868" i="2"/>
  <c r="I1866" i="2"/>
  <c r="I1864" i="2"/>
  <c r="I1862" i="2"/>
  <c r="I1860" i="2"/>
  <c r="I1858" i="2"/>
  <c r="I2643" i="2"/>
  <c r="I2611" i="2"/>
  <c r="I2579" i="2"/>
  <c r="I2547" i="2"/>
  <c r="I2515" i="2"/>
  <c r="I2483" i="2"/>
  <c r="I2459" i="2"/>
  <c r="G2438" i="2"/>
  <c r="H2418" i="2"/>
  <c r="G2400" i="2"/>
  <c r="I2383" i="2"/>
  <c r="I2367" i="2"/>
  <c r="I2351" i="2"/>
  <c r="I2335" i="2"/>
  <c r="I2320" i="2"/>
  <c r="G2310" i="2"/>
  <c r="I2299" i="2"/>
  <c r="I2289" i="2"/>
  <c r="H2280" i="2"/>
  <c r="H2271" i="2"/>
  <c r="G2262" i="2"/>
  <c r="F2253" i="2"/>
  <c r="F2244" i="2"/>
  <c r="I2234" i="2"/>
  <c r="I2225" i="2"/>
  <c r="H2216" i="2"/>
  <c r="H2208" i="2"/>
  <c r="H2200" i="2"/>
  <c r="H2192" i="2"/>
  <c r="H2184" i="2"/>
  <c r="H2176" i="2"/>
  <c r="H2168" i="2"/>
  <c r="F2162" i="2"/>
  <c r="H2157" i="2"/>
  <c r="F2153" i="2"/>
  <c r="H2148" i="2"/>
  <c r="I2143" i="2"/>
  <c r="G2139" i="2"/>
  <c r="I2134" i="2"/>
  <c r="F2130" i="2"/>
  <c r="H2125" i="2"/>
  <c r="F2121" i="2"/>
  <c r="H2116" i="2"/>
  <c r="I2111" i="2"/>
  <c r="G2107" i="2"/>
  <c r="I2102" i="2"/>
  <c r="F2098" i="2"/>
  <c r="H2093" i="2"/>
  <c r="F2089" i="2"/>
  <c r="H2084" i="2"/>
  <c r="I2079" i="2"/>
  <c r="G2075" i="2"/>
  <c r="I2070" i="2"/>
  <c r="F2066" i="2"/>
  <c r="H2061" i="2"/>
  <c r="F2057" i="2"/>
  <c r="H2052" i="2"/>
  <c r="I2047" i="2"/>
  <c r="G2043" i="2"/>
  <c r="I2038" i="2"/>
  <c r="F2034" i="2"/>
  <c r="I2029" i="2"/>
  <c r="I2025" i="2"/>
  <c r="I2021" i="2"/>
  <c r="G2019" i="2"/>
  <c r="F2017" i="2"/>
  <c r="H2014" i="2"/>
  <c r="G2012" i="2"/>
  <c r="F2010" i="2"/>
  <c r="I2007" i="2"/>
  <c r="H2005" i="2"/>
  <c r="G2003" i="2"/>
  <c r="F2001" i="2"/>
  <c r="H1998" i="2"/>
  <c r="G1996" i="2"/>
  <c r="F1994" i="2"/>
  <c r="I1991" i="2"/>
  <c r="H1989" i="2"/>
  <c r="G1987" i="2"/>
  <c r="F1985" i="2"/>
  <c r="H1982" i="2"/>
  <c r="G1980" i="2"/>
  <c r="F1978" i="2"/>
  <c r="I1975" i="2"/>
  <c r="H1973" i="2"/>
  <c r="G1971" i="2"/>
  <c r="F1969" i="2"/>
  <c r="H1966" i="2"/>
  <c r="G1964" i="2"/>
  <c r="F1962" i="2"/>
  <c r="I1959" i="2"/>
  <c r="H1957" i="2"/>
  <c r="G1955" i="2"/>
  <c r="F1953" i="2"/>
  <c r="H1950" i="2"/>
  <c r="G1948" i="2"/>
  <c r="F1946" i="2"/>
  <c r="I1943" i="2"/>
  <c r="H1941" i="2"/>
  <c r="G1939" i="2"/>
  <c r="F1937" i="2"/>
  <c r="H1934" i="2"/>
  <c r="G1932" i="2"/>
  <c r="F1930" i="2"/>
  <c r="I1927" i="2"/>
  <c r="H1925" i="2"/>
  <c r="G1923" i="2"/>
  <c r="F1921" i="2"/>
  <c r="H1918" i="2"/>
  <c r="G1916" i="2"/>
  <c r="F1914" i="2"/>
  <c r="I1911" i="2"/>
  <c r="H1909" i="2"/>
  <c r="G1907" i="2"/>
  <c r="F1905" i="2"/>
  <c r="H1902" i="2"/>
  <c r="G1900" i="2"/>
  <c r="F1898" i="2"/>
  <c r="I1895" i="2"/>
  <c r="H1893" i="2"/>
  <c r="G1891" i="2"/>
  <c r="F1889" i="2"/>
  <c r="H1886" i="2"/>
  <c r="G1884" i="2"/>
  <c r="F1882" i="2"/>
  <c r="I1879" i="2"/>
  <c r="H1877" i="2"/>
  <c r="G1875" i="2"/>
  <c r="F1873" i="2"/>
  <c r="H1870" i="2"/>
  <c r="G1868" i="2"/>
  <c r="F1866" i="2"/>
  <c r="I1863" i="2"/>
  <c r="H1861" i="2"/>
  <c r="G1859" i="2"/>
  <c r="F1857" i="2"/>
  <c r="F1855" i="2"/>
  <c r="F1853" i="2"/>
  <c r="F1851" i="2"/>
  <c r="F1849" i="2"/>
  <c r="F1847" i="2"/>
  <c r="F1845" i="2"/>
  <c r="F1843" i="2"/>
  <c r="F1841" i="2"/>
  <c r="F1839" i="2"/>
  <c r="F1837" i="2"/>
  <c r="F1835" i="2"/>
  <c r="F1833" i="2"/>
  <c r="F1831" i="2"/>
  <c r="F1829" i="2"/>
  <c r="F1827" i="2"/>
  <c r="F1825" i="2"/>
  <c r="F1823" i="2"/>
  <c r="F1821" i="2"/>
  <c r="F1819" i="2"/>
  <c r="F1817" i="2"/>
  <c r="F1815" i="2"/>
  <c r="F1813" i="2"/>
  <c r="F1811" i="2"/>
  <c r="F1809" i="2"/>
  <c r="F1807" i="2"/>
  <c r="F1805" i="2"/>
  <c r="F1803" i="2"/>
  <c r="F1801" i="2"/>
  <c r="F1799" i="2"/>
  <c r="F1797" i="2"/>
  <c r="F1795" i="2"/>
  <c r="F1793" i="2"/>
  <c r="F1791" i="2"/>
  <c r="F1789" i="2"/>
  <c r="F1787" i="2"/>
  <c r="F1785" i="2"/>
  <c r="F1783" i="2"/>
  <c r="F1781" i="2"/>
  <c r="F1779" i="2"/>
  <c r="F1777" i="2"/>
  <c r="F1775" i="2"/>
  <c r="F1773" i="2"/>
  <c r="F1771" i="2"/>
  <c r="F1769" i="2"/>
  <c r="H2639" i="2"/>
  <c r="H2607" i="2"/>
  <c r="H2575" i="2"/>
  <c r="H2543" i="2"/>
  <c r="H2511" i="2"/>
  <c r="H2479" i="2"/>
  <c r="H2456" i="2"/>
  <c r="H2435" i="2"/>
  <c r="F2416" i="2"/>
  <c r="I2397" i="2"/>
  <c r="H2381" i="2"/>
  <c r="H2365" i="2"/>
  <c r="H2349" i="2"/>
  <c r="H2333" i="2"/>
  <c r="H2319" i="2"/>
  <c r="H2308" i="2"/>
  <c r="F2298" i="2"/>
  <c r="G2288" i="2"/>
  <c r="F2279" i="2"/>
  <c r="F2270" i="2"/>
  <c r="I2260" i="2"/>
  <c r="I2251" i="2"/>
  <c r="H2242" i="2"/>
  <c r="H2233" i="2"/>
  <c r="G2224" i="2"/>
  <c r="G2215" i="2"/>
  <c r="G2207" i="2"/>
  <c r="G2199" i="2"/>
  <c r="G2191" i="2"/>
  <c r="G2183" i="2"/>
  <c r="G2175" i="2"/>
  <c r="G2167" i="2"/>
  <c r="I2161" i="2"/>
  <c r="G2157" i="2"/>
  <c r="I2152" i="2"/>
  <c r="F2148" i="2"/>
  <c r="H2143" i="2"/>
  <c r="F2139" i="2"/>
  <c r="H2134" i="2"/>
  <c r="I2129" i="2"/>
  <c r="G2125" i="2"/>
  <c r="I2120" i="2"/>
  <c r="F2116" i="2"/>
  <c r="H2111" i="2"/>
  <c r="F2107" i="2"/>
  <c r="H2102" i="2"/>
  <c r="I2097" i="2"/>
  <c r="G2093" i="2"/>
  <c r="I2088" i="2"/>
  <c r="F2084" i="2"/>
  <c r="H2079" i="2"/>
  <c r="F2075" i="2"/>
  <c r="H2070" i="2"/>
  <c r="I2065" i="2"/>
  <c r="G2061" i="2"/>
  <c r="I2056" i="2"/>
  <c r="F2052" i="2"/>
  <c r="H2047" i="2"/>
  <c r="F2043" i="2"/>
  <c r="H2038" i="2"/>
  <c r="I2033" i="2"/>
  <c r="H2029" i="2"/>
  <c r="H2025" i="2"/>
  <c r="H2021" i="2"/>
  <c r="F2019" i="2"/>
  <c r="H2016" i="2"/>
  <c r="G2014" i="2"/>
  <c r="F2012" i="2"/>
  <c r="I2009" i="2"/>
  <c r="H2007" i="2"/>
  <c r="G2005" i="2"/>
  <c r="F2003" i="2"/>
  <c r="H2000" i="2"/>
  <c r="G1998" i="2"/>
  <c r="F1996" i="2"/>
  <c r="I1993" i="2"/>
  <c r="H1991" i="2"/>
  <c r="G1989" i="2"/>
  <c r="F1987" i="2"/>
  <c r="H1984" i="2"/>
  <c r="G1982" i="2"/>
  <c r="F1980" i="2"/>
  <c r="I1977" i="2"/>
  <c r="H1975" i="2"/>
  <c r="G1973" i="2"/>
  <c r="F1971" i="2"/>
  <c r="H1968" i="2"/>
  <c r="G1966" i="2"/>
  <c r="F1964" i="2"/>
  <c r="I1961" i="2"/>
  <c r="H1959" i="2"/>
  <c r="G1957" i="2"/>
  <c r="F1955" i="2"/>
  <c r="H1952" i="2"/>
  <c r="G1950" i="2"/>
  <c r="F1948" i="2"/>
  <c r="I1945" i="2"/>
  <c r="H1943" i="2"/>
  <c r="G1941" i="2"/>
  <c r="F1939" i="2"/>
  <c r="H1936" i="2"/>
  <c r="G1934" i="2"/>
  <c r="F1932" i="2"/>
  <c r="I1929" i="2"/>
  <c r="H1927" i="2"/>
  <c r="G1925" i="2"/>
  <c r="F1923" i="2"/>
  <c r="H1920" i="2"/>
  <c r="G1918" i="2"/>
  <c r="F1916" i="2"/>
  <c r="I1913" i="2"/>
  <c r="H1911" i="2"/>
  <c r="G1909" i="2"/>
  <c r="F1907" i="2"/>
  <c r="H1904" i="2"/>
  <c r="G1902" i="2"/>
  <c r="F1900" i="2"/>
  <c r="I1897" i="2"/>
  <c r="H1895" i="2"/>
  <c r="G1893" i="2"/>
  <c r="F1891" i="2"/>
  <c r="H1888" i="2"/>
  <c r="G1886" i="2"/>
  <c r="F1884" i="2"/>
  <c r="I1881" i="2"/>
  <c r="H1879" i="2"/>
  <c r="G1877" i="2"/>
  <c r="F1875" i="2"/>
  <c r="H1872" i="2"/>
  <c r="G1870" i="2"/>
  <c r="F1868" i="2"/>
  <c r="I1865" i="2"/>
  <c r="H1863" i="2"/>
  <c r="G1861" i="2"/>
  <c r="F1859" i="2"/>
  <c r="I1856" i="2"/>
  <c r="I1854" i="2"/>
  <c r="I1852" i="2"/>
  <c r="I1850" i="2"/>
  <c r="I1848" i="2"/>
  <c r="I1846" i="2"/>
  <c r="I1844" i="2"/>
  <c r="I1842" i="2"/>
  <c r="I1840" i="2"/>
  <c r="I1838" i="2"/>
  <c r="I1836" i="2"/>
  <c r="I1834" i="2"/>
  <c r="I1832" i="2"/>
  <c r="I1830" i="2"/>
  <c r="I1828" i="2"/>
  <c r="I1826" i="2"/>
  <c r="I1824" i="2"/>
  <c r="I1822" i="2"/>
  <c r="I1820" i="2"/>
  <c r="I1818" i="2"/>
  <c r="I1816" i="2"/>
  <c r="I1814" i="2"/>
  <c r="I1812" i="2"/>
  <c r="I1810" i="2"/>
  <c r="I1808" i="2"/>
  <c r="I1806" i="2"/>
  <c r="I1804" i="2"/>
  <c r="I1802" i="2"/>
  <c r="I1800" i="2"/>
  <c r="I1798" i="2"/>
  <c r="I1796" i="2"/>
  <c r="I1794" i="2"/>
  <c r="I1792" i="2"/>
  <c r="I1790" i="2"/>
  <c r="I1788" i="2"/>
  <c r="I1786" i="2"/>
  <c r="I1784" i="2"/>
  <c r="I1782" i="2"/>
  <c r="I1780" i="2"/>
  <c r="I1778" i="2"/>
  <c r="I1776" i="2"/>
  <c r="I1774" i="2"/>
  <c r="I1772" i="2"/>
  <c r="I1770" i="2"/>
  <c r="I1768" i="2"/>
  <c r="G2637" i="2"/>
  <c r="G2605" i="2"/>
  <c r="G2573" i="2"/>
  <c r="G2541" i="2"/>
  <c r="G2509" i="2"/>
  <c r="G2477" i="2"/>
  <c r="G2455" i="2"/>
  <c r="I2433" i="2"/>
  <c r="H2414" i="2"/>
  <c r="G2396" i="2"/>
  <c r="G2380" i="2"/>
  <c r="G2364" i="2"/>
  <c r="G2348" i="2"/>
  <c r="G2332" i="2"/>
  <c r="I2318" i="2"/>
  <c r="G2308" i="2"/>
  <c r="I2297" i="2"/>
  <c r="F2288" i="2"/>
  <c r="I2278" i="2"/>
  <c r="I2269" i="2"/>
  <c r="H2260" i="2"/>
  <c r="H2251" i="2"/>
  <c r="G2242" i="2"/>
  <c r="F2233" i="2"/>
  <c r="F2224" i="2"/>
  <c r="F2215" i="2"/>
  <c r="F2207" i="2"/>
  <c r="F2199" i="2"/>
  <c r="F2191" i="2"/>
  <c r="F2183" i="2"/>
  <c r="F2175" i="2"/>
  <c r="F2167" i="2"/>
  <c r="H2161" i="2"/>
  <c r="F2157" i="2"/>
  <c r="H2152" i="2"/>
  <c r="I2147" i="2"/>
  <c r="G2143" i="2"/>
  <c r="I2138" i="2"/>
  <c r="F2134" i="2"/>
  <c r="H2129" i="2"/>
  <c r="F2125" i="2"/>
  <c r="H2120" i="2"/>
  <c r="I2115" i="2"/>
  <c r="G2111" i="2"/>
  <c r="I2106" i="2"/>
  <c r="F2102" i="2"/>
  <c r="H2097" i="2"/>
  <c r="F2093" i="2"/>
  <c r="H2088" i="2"/>
  <c r="I2083" i="2"/>
  <c r="G2079" i="2"/>
  <c r="I2074" i="2"/>
  <c r="F2070" i="2"/>
  <c r="H2065" i="2"/>
  <c r="F2061" i="2"/>
  <c r="H2056" i="2"/>
  <c r="I2051" i="2"/>
  <c r="G2047" i="2"/>
  <c r="I2042" i="2"/>
  <c r="F2038" i="2"/>
  <c r="H2033" i="2"/>
  <c r="G2029" i="2"/>
  <c r="G2025" i="2"/>
  <c r="G2021" i="2"/>
  <c r="H2018" i="2"/>
  <c r="G2016" i="2"/>
  <c r="F2014" i="2"/>
  <c r="I2011" i="2"/>
  <c r="H2009" i="2"/>
  <c r="G2007" i="2"/>
  <c r="F2005" i="2"/>
  <c r="H2002" i="2"/>
  <c r="G2000" i="2"/>
  <c r="F1998" i="2"/>
  <c r="I1995" i="2"/>
  <c r="H1993" i="2"/>
  <c r="G1991" i="2"/>
  <c r="F1989" i="2"/>
  <c r="H1986" i="2"/>
  <c r="G1984" i="2"/>
  <c r="F1982" i="2"/>
  <c r="I1979" i="2"/>
  <c r="H1977" i="2"/>
  <c r="G1975" i="2"/>
  <c r="F1973" i="2"/>
  <c r="H1970" i="2"/>
  <c r="G1968" i="2"/>
  <c r="F1966" i="2"/>
  <c r="I1963" i="2"/>
  <c r="H1961" i="2"/>
  <c r="G1959" i="2"/>
  <c r="F1957" i="2"/>
  <c r="H1954" i="2"/>
  <c r="G1952" i="2"/>
  <c r="F1950" i="2"/>
  <c r="I1947" i="2"/>
  <c r="H1945" i="2"/>
  <c r="G1943" i="2"/>
  <c r="F1941" i="2"/>
  <c r="H1938" i="2"/>
  <c r="G1936" i="2"/>
  <c r="F1934" i="2"/>
  <c r="I1931" i="2"/>
  <c r="H1929" i="2"/>
  <c r="G1927" i="2"/>
  <c r="F1925" i="2"/>
  <c r="H1922" i="2"/>
  <c r="G1920" i="2"/>
  <c r="F1918" i="2"/>
  <c r="I1915" i="2"/>
  <c r="H1913" i="2"/>
  <c r="G1911" i="2"/>
  <c r="F1909" i="2"/>
  <c r="H1906" i="2"/>
  <c r="G1904" i="2"/>
  <c r="F1902" i="2"/>
  <c r="I1899" i="2"/>
  <c r="H1897" i="2"/>
  <c r="G1895" i="2"/>
  <c r="F1893" i="2"/>
  <c r="H1890" i="2"/>
  <c r="G1888" i="2"/>
  <c r="F1886" i="2"/>
  <c r="I1883" i="2"/>
  <c r="H1881" i="2"/>
  <c r="G1879" i="2"/>
  <c r="F1877" i="2"/>
  <c r="H1874" i="2"/>
  <c r="G1872" i="2"/>
  <c r="F1870" i="2"/>
  <c r="I1867" i="2"/>
  <c r="H1865" i="2"/>
  <c r="G1863" i="2"/>
  <c r="F1861" i="2"/>
  <c r="H1858" i="2"/>
  <c r="H1856" i="2"/>
  <c r="H1854" i="2"/>
  <c r="H1852" i="2"/>
  <c r="H1850" i="2"/>
  <c r="H1848" i="2"/>
  <c r="H1846" i="2"/>
  <c r="H1844" i="2"/>
  <c r="H1842" i="2"/>
  <c r="H1840" i="2"/>
  <c r="H1838" i="2"/>
  <c r="H1836" i="2"/>
  <c r="H1834" i="2"/>
  <c r="H1832" i="2"/>
  <c r="H1830" i="2"/>
  <c r="H1828" i="2"/>
  <c r="H1826" i="2"/>
  <c r="H1824" i="2"/>
  <c r="H1822" i="2"/>
  <c r="H1820" i="2"/>
  <c r="H1818" i="2"/>
  <c r="H1816" i="2"/>
  <c r="H1814" i="2"/>
  <c r="H1812" i="2"/>
  <c r="H1810" i="2"/>
  <c r="H1808" i="2"/>
  <c r="H1806" i="2"/>
  <c r="H1804" i="2"/>
  <c r="H1802" i="2"/>
  <c r="H1800" i="2"/>
  <c r="H1798" i="2"/>
  <c r="H1796" i="2"/>
  <c r="H1794" i="2"/>
  <c r="H1792" i="2"/>
  <c r="H1790" i="2"/>
  <c r="H1788" i="2"/>
  <c r="H1786" i="2"/>
  <c r="H1784" i="2"/>
  <c r="H1782" i="2"/>
  <c r="H1780" i="2"/>
  <c r="H1778" i="2"/>
  <c r="H1776" i="2"/>
  <c r="H1774" i="2"/>
  <c r="H1772" i="2"/>
  <c r="H1770" i="2"/>
  <c r="H1768" i="2"/>
  <c r="F2620" i="2"/>
  <c r="F2588" i="2"/>
  <c r="F2556" i="2"/>
  <c r="F2524" i="2"/>
  <c r="F2492" i="2"/>
  <c r="H2465" i="2"/>
  <c r="F2444" i="2"/>
  <c r="H2423" i="2"/>
  <c r="G2405" i="2"/>
  <c r="F2388" i="2"/>
  <c r="F2372" i="2"/>
  <c r="F2356" i="2"/>
  <c r="F2340" i="2"/>
  <c r="F2324" i="2"/>
  <c r="H2313" i="2"/>
  <c r="H2302" i="2"/>
  <c r="G2292" i="2"/>
  <c r="F2283" i="2"/>
  <c r="F2274" i="2"/>
  <c r="I2264" i="2"/>
  <c r="I2255" i="2"/>
  <c r="H2246" i="2"/>
  <c r="H2237" i="2"/>
  <c r="G2228" i="2"/>
  <c r="F2219" i="2"/>
  <c r="I2210" i="2"/>
  <c r="I2202" i="2"/>
  <c r="I2194" i="2"/>
  <c r="I2186" i="2"/>
  <c r="I2178" i="2"/>
  <c r="I2170" i="2"/>
  <c r="H2163" i="2"/>
  <c r="F2159" i="2"/>
  <c r="H2154" i="2"/>
  <c r="I2149" i="2"/>
  <c r="G2145" i="2"/>
  <c r="I2140" i="2"/>
  <c r="F2136" i="2"/>
  <c r="H2131" i="2"/>
  <c r="F2127" i="2"/>
  <c r="H2122" i="2"/>
  <c r="I2117" i="2"/>
  <c r="G2113" i="2"/>
  <c r="I2108" i="2"/>
  <c r="F2104" i="2"/>
  <c r="H2099" i="2"/>
  <c r="F2095" i="2"/>
  <c r="H2090" i="2"/>
  <c r="I2085" i="2"/>
  <c r="G2081" i="2"/>
  <c r="I2076" i="2"/>
  <c r="F2072" i="2"/>
  <c r="H2067" i="2"/>
  <c r="F2063" i="2"/>
  <c r="H2058" i="2"/>
  <c r="I2053" i="2"/>
  <c r="G2049" i="2"/>
  <c r="I2044" i="2"/>
  <c r="F2040" i="2"/>
  <c r="H2035" i="2"/>
  <c r="F2031" i="2"/>
  <c r="F2027" i="2"/>
  <c r="F2023" i="2"/>
  <c r="H2019" i="2"/>
  <c r="G2017" i="2"/>
  <c r="F2015" i="2"/>
  <c r="H2012" i="2"/>
  <c r="G2010" i="2"/>
  <c r="F2008" i="2"/>
  <c r="I2005" i="2"/>
  <c r="H2003" i="2"/>
  <c r="G2001" i="2"/>
  <c r="F1999" i="2"/>
  <c r="H1996" i="2"/>
  <c r="G1994" i="2"/>
  <c r="F1992" i="2"/>
  <c r="I1989" i="2"/>
  <c r="H1987" i="2"/>
  <c r="G1985" i="2"/>
  <c r="F1983" i="2"/>
  <c r="H1980" i="2"/>
  <c r="G1978" i="2"/>
  <c r="F1976" i="2"/>
  <c r="I1973" i="2"/>
  <c r="H1971" i="2"/>
  <c r="G1969" i="2"/>
  <c r="F1967" i="2"/>
  <c r="H1964" i="2"/>
  <c r="G1962" i="2"/>
  <c r="F1960" i="2"/>
  <c r="I1957" i="2"/>
  <c r="H1955" i="2"/>
  <c r="G1953" i="2"/>
  <c r="F1951" i="2"/>
  <c r="H1948" i="2"/>
  <c r="G1946" i="2"/>
  <c r="F1944" i="2"/>
  <c r="I1941" i="2"/>
  <c r="H1939" i="2"/>
  <c r="G1937" i="2"/>
  <c r="F1935" i="2"/>
  <c r="H1932" i="2"/>
  <c r="G1930" i="2"/>
  <c r="F1928" i="2"/>
  <c r="I1925" i="2"/>
  <c r="H1923" i="2"/>
  <c r="G1921" i="2"/>
  <c r="F1919" i="2"/>
  <c r="H1916" i="2"/>
  <c r="G1914" i="2"/>
  <c r="F1912" i="2"/>
  <c r="I1909" i="2"/>
  <c r="H1907" i="2"/>
  <c r="G1905" i="2"/>
  <c r="F1903" i="2"/>
  <c r="H1900" i="2"/>
  <c r="G1898" i="2"/>
  <c r="F1896" i="2"/>
  <c r="I1893" i="2"/>
  <c r="H1891" i="2"/>
  <c r="G1889" i="2"/>
  <c r="F1887" i="2"/>
  <c r="H1884" i="2"/>
  <c r="G1882" i="2"/>
  <c r="F1880" i="2"/>
  <c r="I1877" i="2"/>
  <c r="H1875" i="2"/>
  <c r="G1873" i="2"/>
  <c r="F1871" i="2"/>
  <c r="H1868" i="2"/>
  <c r="G1866" i="2"/>
  <c r="F1864" i="2"/>
  <c r="I1861" i="2"/>
  <c r="H1859" i="2"/>
  <c r="G1857" i="2"/>
  <c r="G1855" i="2"/>
  <c r="G1853" i="2"/>
  <c r="G1851" i="2"/>
  <c r="G1849" i="2"/>
  <c r="G1847" i="2"/>
  <c r="G1845" i="2"/>
  <c r="G1843" i="2"/>
  <c r="G1841" i="2"/>
  <c r="G1839" i="2"/>
  <c r="G1837" i="2"/>
  <c r="G1835" i="2"/>
  <c r="G1833" i="2"/>
  <c r="G1831" i="2"/>
  <c r="G1829" i="2"/>
  <c r="G1827" i="2"/>
  <c r="G1825" i="2"/>
  <c r="G1823" i="2"/>
  <c r="G1821" i="2"/>
  <c r="G1819" i="2"/>
  <c r="G1817" i="2"/>
  <c r="G1815" i="2"/>
  <c r="G1813" i="2"/>
  <c r="G1811" i="2"/>
  <c r="G1809" i="2"/>
  <c r="G1807" i="2"/>
  <c r="G1805" i="2"/>
  <c r="G1803" i="2"/>
  <c r="G1801" i="2"/>
  <c r="G1799" i="2"/>
  <c r="G1797" i="2"/>
  <c r="G1795" i="2"/>
  <c r="G1793" i="2"/>
  <c r="G1791" i="2"/>
  <c r="G1789" i="2"/>
  <c r="G1787" i="2"/>
  <c r="G1785" i="2"/>
  <c r="G1783" i="2"/>
  <c r="G1781" i="2"/>
  <c r="G1779" i="2"/>
  <c r="G1777" i="2"/>
  <c r="G1775" i="2"/>
  <c r="G1773" i="2"/>
  <c r="G1771" i="2"/>
  <c r="G1769" i="2"/>
  <c r="G1767" i="2"/>
  <c r="G1765" i="2"/>
  <c r="G1763" i="2"/>
  <c r="G1761" i="2"/>
  <c r="G1759" i="2"/>
  <c r="G1757" i="2"/>
  <c r="G1755" i="2"/>
  <c r="G1753" i="2"/>
  <c r="G1751" i="2"/>
  <c r="G1749" i="2"/>
  <c r="G1747" i="2"/>
  <c r="G1745" i="2"/>
  <c r="G1743" i="2"/>
  <c r="G1741" i="2"/>
  <c r="G1739" i="2"/>
  <c r="G1737" i="2"/>
  <c r="G1735" i="2"/>
  <c r="G1733" i="2"/>
  <c r="G1731" i="2"/>
  <c r="G1729" i="2"/>
  <c r="G1727" i="2"/>
  <c r="G1725" i="2"/>
  <c r="G1723" i="2"/>
  <c r="G1721" i="2"/>
  <c r="G1719" i="2"/>
  <c r="G1717" i="2"/>
  <c r="G1715" i="2"/>
  <c r="G1713" i="2"/>
  <c r="G1711" i="2"/>
  <c r="G1709" i="2"/>
  <c r="G1707" i="2"/>
  <c r="G1705" i="2"/>
  <c r="G1703" i="2"/>
  <c r="G1701" i="2"/>
  <c r="G1699" i="2"/>
  <c r="G1697" i="2"/>
  <c r="G1695" i="2"/>
  <c r="G1693" i="2"/>
  <c r="G1691" i="2"/>
  <c r="G1689" i="2"/>
  <c r="G1687" i="2"/>
  <c r="G1685" i="2"/>
  <c r="G1683" i="2"/>
  <c r="G1681" i="2"/>
  <c r="G1679" i="2"/>
  <c r="G1677" i="2"/>
  <c r="G1675" i="2"/>
  <c r="G1673" i="2"/>
  <c r="G1671" i="2"/>
  <c r="G1669" i="2"/>
  <c r="G1667" i="2"/>
  <c r="G1665" i="2"/>
  <c r="G1663" i="2"/>
  <c r="G1661" i="2"/>
  <c r="G1659" i="2"/>
  <c r="G1657" i="2"/>
  <c r="G1655" i="2"/>
  <c r="G1653" i="2"/>
  <c r="G1651" i="2"/>
  <c r="G1649" i="2"/>
  <c r="G1647" i="2"/>
  <c r="G1645" i="2"/>
  <c r="G1643" i="2"/>
  <c r="G1641" i="2"/>
  <c r="G1639" i="2"/>
  <c r="G1637" i="2"/>
  <c r="G1635" i="2"/>
  <c r="G1633" i="2"/>
  <c r="G1631" i="2"/>
  <c r="G1629" i="2"/>
  <c r="G1627" i="2"/>
  <c r="G1625" i="2"/>
  <c r="G1623" i="2"/>
  <c r="G1621" i="2"/>
  <c r="G1619" i="2"/>
  <c r="G1617" i="2"/>
  <c r="F2636" i="2"/>
  <c r="F2572" i="2"/>
  <c r="F2508" i="2"/>
  <c r="H2454" i="2"/>
  <c r="G2414" i="2"/>
  <c r="F2380" i="2"/>
  <c r="F2348" i="2"/>
  <c r="H2318" i="2"/>
  <c r="H2297" i="2"/>
  <c r="H2278" i="2"/>
  <c r="G2260" i="2"/>
  <c r="F2242" i="2"/>
  <c r="I2223" i="2"/>
  <c r="I2206" i="2"/>
  <c r="I2190" i="2"/>
  <c r="I2174" i="2"/>
  <c r="G2161" i="2"/>
  <c r="F2152" i="2"/>
  <c r="F2143" i="2"/>
  <c r="I2133" i="2"/>
  <c r="I2124" i="2"/>
  <c r="H2115" i="2"/>
  <c r="H2106" i="2"/>
  <c r="G2097" i="2"/>
  <c r="F2088" i="2"/>
  <c r="F2079" i="2"/>
  <c r="I2069" i="2"/>
  <c r="I2060" i="2"/>
  <c r="H2051" i="2"/>
  <c r="H2042" i="2"/>
  <c r="G2033" i="2"/>
  <c r="F2025" i="2"/>
  <c r="G2018" i="2"/>
  <c r="I2013" i="2"/>
  <c r="G2009" i="2"/>
  <c r="H2004" i="2"/>
  <c r="F2000" i="2"/>
  <c r="H1995" i="2"/>
  <c r="F1991" i="2"/>
  <c r="G1986" i="2"/>
  <c r="I1981" i="2"/>
  <c r="G1977" i="2"/>
  <c r="H1972" i="2"/>
  <c r="F1968" i="2"/>
  <c r="H1963" i="2"/>
  <c r="F1959" i="2"/>
  <c r="G1954" i="2"/>
  <c r="I1949" i="2"/>
  <c r="G1945" i="2"/>
  <c r="H1940" i="2"/>
  <c r="F1936" i="2"/>
  <c r="H1931" i="2"/>
  <c r="F1927" i="2"/>
  <c r="G1922" i="2"/>
  <c r="I1917" i="2"/>
  <c r="G1913" i="2"/>
  <c r="H1908" i="2"/>
  <c r="F1904" i="2"/>
  <c r="H1899" i="2"/>
  <c r="F1895" i="2"/>
  <c r="G1890" i="2"/>
  <c r="I1885" i="2"/>
  <c r="G1881" i="2"/>
  <c r="H1876" i="2"/>
  <c r="F1872" i="2"/>
  <c r="H1867" i="2"/>
  <c r="F1863" i="2"/>
  <c r="G1858" i="2"/>
  <c r="G1854" i="2"/>
  <c r="G1850" i="2"/>
  <c r="G1846" i="2"/>
  <c r="G1842" i="2"/>
  <c r="G1838" i="2"/>
  <c r="G1834" i="2"/>
  <c r="G1830" i="2"/>
  <c r="G1826" i="2"/>
  <c r="G1822" i="2"/>
  <c r="G1818" i="2"/>
  <c r="G1814" i="2"/>
  <c r="G1810" i="2"/>
  <c r="G1806" i="2"/>
  <c r="G1802" i="2"/>
  <c r="G1798" i="2"/>
  <c r="G1794" i="2"/>
  <c r="G1790" i="2"/>
  <c r="G1786" i="2"/>
  <c r="G1782" i="2"/>
  <c r="G1778" i="2"/>
  <c r="G1774" i="2"/>
  <c r="G1770" i="2"/>
  <c r="F1767" i="2"/>
  <c r="I1764" i="2"/>
  <c r="H1762" i="2"/>
  <c r="G1760" i="2"/>
  <c r="F1758" i="2"/>
  <c r="I1755" i="2"/>
  <c r="H1753" i="2"/>
  <c r="F1751" i="2"/>
  <c r="I1748" i="2"/>
  <c r="H1746" i="2"/>
  <c r="G1744" i="2"/>
  <c r="F1742" i="2"/>
  <c r="I1739" i="2"/>
  <c r="H1737" i="2"/>
  <c r="F1735" i="2"/>
  <c r="I1732" i="2"/>
  <c r="H1730" i="2"/>
  <c r="G1728" i="2"/>
  <c r="F1726" i="2"/>
  <c r="I1723" i="2"/>
  <c r="H1721" i="2"/>
  <c r="F1719" i="2"/>
  <c r="I1716" i="2"/>
  <c r="H1714" i="2"/>
  <c r="G1712" i="2"/>
  <c r="F1710" i="2"/>
  <c r="I1707" i="2"/>
  <c r="H1705" i="2"/>
  <c r="F1703" i="2"/>
  <c r="I1700" i="2"/>
  <c r="H1698" i="2"/>
  <c r="G1696" i="2"/>
  <c r="F1694" i="2"/>
  <c r="I1691" i="2"/>
  <c r="H1689" i="2"/>
  <c r="F1687" i="2"/>
  <c r="I1684" i="2"/>
  <c r="H1682" i="2"/>
  <c r="G1680" i="2"/>
  <c r="I2627" i="2"/>
  <c r="I2563" i="2"/>
  <c r="I2499" i="2"/>
  <c r="G2449" i="2"/>
  <c r="H2409" i="2"/>
  <c r="I2375" i="2"/>
  <c r="I2343" i="2"/>
  <c r="I2315" i="2"/>
  <c r="G2294" i="2"/>
  <c r="F2276" i="2"/>
  <c r="I2257" i="2"/>
  <c r="H2239" i="2"/>
  <c r="F2221" i="2"/>
  <c r="H2204" i="2"/>
  <c r="H2188" i="2"/>
  <c r="H2172" i="2"/>
  <c r="I2159" i="2"/>
  <c r="I2150" i="2"/>
  <c r="H2141" i="2"/>
  <c r="H2132" i="2"/>
  <c r="G2123" i="2"/>
  <c r="F2114" i="2"/>
  <c r="F2105" i="2"/>
  <c r="I2095" i="2"/>
  <c r="I2086" i="2"/>
  <c r="H2077" i="2"/>
  <c r="H2068" i="2"/>
  <c r="G2059" i="2"/>
  <c r="F2050" i="2"/>
  <c r="F2041" i="2"/>
  <c r="I2031" i="2"/>
  <c r="I2023" i="2"/>
  <c r="F2018" i="2"/>
  <c r="H2013" i="2"/>
  <c r="F2009" i="2"/>
  <c r="G2004" i="2"/>
  <c r="I1999" i="2"/>
  <c r="G1995" i="2"/>
  <c r="H1990" i="2"/>
  <c r="F1986" i="2"/>
  <c r="H1981" i="2"/>
  <c r="F1977" i="2"/>
  <c r="G1972" i="2"/>
  <c r="I1967" i="2"/>
  <c r="G1963" i="2"/>
  <c r="H1958" i="2"/>
  <c r="F1954" i="2"/>
  <c r="H1949" i="2"/>
  <c r="F1945" i="2"/>
  <c r="G1940" i="2"/>
  <c r="I1935" i="2"/>
  <c r="G1931" i="2"/>
  <c r="H1926" i="2"/>
  <c r="F1922" i="2"/>
  <c r="H1917" i="2"/>
  <c r="F1913" i="2"/>
  <c r="G1908" i="2"/>
  <c r="I1903" i="2"/>
  <c r="G1899" i="2"/>
  <c r="H1894" i="2"/>
  <c r="F1890" i="2"/>
  <c r="H1885" i="2"/>
  <c r="F1881" i="2"/>
  <c r="G1876" i="2"/>
  <c r="I1871" i="2"/>
  <c r="G1867" i="2"/>
  <c r="H1862" i="2"/>
  <c r="F1858" i="2"/>
  <c r="F1854" i="2"/>
  <c r="F1850" i="2"/>
  <c r="F1846" i="2"/>
  <c r="F1842" i="2"/>
  <c r="F1838" i="2"/>
  <c r="F1834" i="2"/>
  <c r="F1830" i="2"/>
  <c r="F1826" i="2"/>
  <c r="F1822" i="2"/>
  <c r="F1818" i="2"/>
  <c r="F1814" i="2"/>
  <c r="F1810" i="2"/>
  <c r="F1806" i="2"/>
  <c r="F1802" i="2"/>
  <c r="F1798" i="2"/>
  <c r="F1794" i="2"/>
  <c r="F1790" i="2"/>
  <c r="F1786" i="2"/>
  <c r="F1782" i="2"/>
  <c r="F1778" i="2"/>
  <c r="F1774" i="2"/>
  <c r="F1770" i="2"/>
  <c r="I1766" i="2"/>
  <c r="H1764" i="2"/>
  <c r="G1762" i="2"/>
  <c r="F1760" i="2"/>
  <c r="I1757" i="2"/>
  <c r="H1755" i="2"/>
  <c r="F1753" i="2"/>
  <c r="I1750" i="2"/>
  <c r="H1748" i="2"/>
  <c r="G1746" i="2"/>
  <c r="F1744" i="2"/>
  <c r="I1741" i="2"/>
  <c r="H1739" i="2"/>
  <c r="F1737" i="2"/>
  <c r="I1734" i="2"/>
  <c r="H1732" i="2"/>
  <c r="G1730" i="2"/>
  <c r="F1728" i="2"/>
  <c r="I1725" i="2"/>
  <c r="H1723" i="2"/>
  <c r="F1721" i="2"/>
  <c r="I1718" i="2"/>
  <c r="H1716" i="2"/>
  <c r="G1714" i="2"/>
  <c r="F1712" i="2"/>
  <c r="I1709" i="2"/>
  <c r="H1707" i="2"/>
  <c r="F1705" i="2"/>
  <c r="I1702" i="2"/>
  <c r="H2623" i="2"/>
  <c r="H2559" i="2"/>
  <c r="H2495" i="2"/>
  <c r="F2446" i="2"/>
  <c r="I2406" i="2"/>
  <c r="H2373" i="2"/>
  <c r="H2341" i="2"/>
  <c r="F2314" i="2"/>
  <c r="I2292" i="2"/>
  <c r="H2274" i="2"/>
  <c r="G2256" i="2"/>
  <c r="F2238" i="2"/>
  <c r="I2219" i="2"/>
  <c r="G2203" i="2"/>
  <c r="G2187" i="2"/>
  <c r="G2171" i="2"/>
  <c r="H2159" i="2"/>
  <c r="H2150" i="2"/>
  <c r="G2141" i="2"/>
  <c r="F2132" i="2"/>
  <c r="F2123" i="2"/>
  <c r="I2113" i="2"/>
  <c r="I2104" i="2"/>
  <c r="H2095" i="2"/>
  <c r="H2086" i="2"/>
  <c r="G2077" i="2"/>
  <c r="F2068" i="2"/>
  <c r="F2059" i="2"/>
  <c r="I2049" i="2"/>
  <c r="I2040" i="2"/>
  <c r="H2031" i="2"/>
  <c r="H2023" i="2"/>
  <c r="I2017" i="2"/>
  <c r="G2013" i="2"/>
  <c r="H2008" i="2"/>
  <c r="F2004" i="2"/>
  <c r="H1999" i="2"/>
  <c r="F1995" i="2"/>
  <c r="G1990" i="2"/>
  <c r="I1985" i="2"/>
  <c r="G1981" i="2"/>
  <c r="H1976" i="2"/>
  <c r="F1972" i="2"/>
  <c r="H1967" i="2"/>
  <c r="F1963" i="2"/>
  <c r="G1958" i="2"/>
  <c r="I1953" i="2"/>
  <c r="G1949" i="2"/>
  <c r="H1944" i="2"/>
  <c r="F1940" i="2"/>
  <c r="H1935" i="2"/>
  <c r="F1931" i="2"/>
  <c r="G1926" i="2"/>
  <c r="I1921" i="2"/>
  <c r="G1917" i="2"/>
  <c r="H1912" i="2"/>
  <c r="F1908" i="2"/>
  <c r="H1903" i="2"/>
  <c r="F1899" i="2"/>
  <c r="G1894" i="2"/>
  <c r="I1889" i="2"/>
  <c r="G1885" i="2"/>
  <c r="H1880" i="2"/>
  <c r="F1876" i="2"/>
  <c r="H1871" i="2"/>
  <c r="F1867" i="2"/>
  <c r="G1862" i="2"/>
  <c r="I1857" i="2"/>
  <c r="I1853" i="2"/>
  <c r="I1849" i="2"/>
  <c r="I1845" i="2"/>
  <c r="I1841" i="2"/>
  <c r="I1837" i="2"/>
  <c r="I1833" i="2"/>
  <c r="I1829" i="2"/>
  <c r="I1825" i="2"/>
  <c r="I1821" i="2"/>
  <c r="I1817" i="2"/>
  <c r="I1813" i="2"/>
  <c r="I1809" i="2"/>
  <c r="I1805" i="2"/>
  <c r="I1801" i="2"/>
  <c r="I1797" i="2"/>
  <c r="I1793" i="2"/>
  <c r="I1789" i="2"/>
  <c r="I1785" i="2"/>
  <c r="I1781" i="2"/>
  <c r="I1777" i="2"/>
  <c r="I1773" i="2"/>
  <c r="I1769" i="2"/>
  <c r="H1766" i="2"/>
  <c r="G1764" i="2"/>
  <c r="F1762" i="2"/>
  <c r="I1759" i="2"/>
  <c r="H1757" i="2"/>
  <c r="F1755" i="2"/>
  <c r="I1752" i="2"/>
  <c r="H1750" i="2"/>
  <c r="G1748" i="2"/>
  <c r="F1746" i="2"/>
  <c r="I1743" i="2"/>
  <c r="H1741" i="2"/>
  <c r="F1739" i="2"/>
  <c r="I1736" i="2"/>
  <c r="H1734" i="2"/>
  <c r="G1732" i="2"/>
  <c r="F1730" i="2"/>
  <c r="I1727" i="2"/>
  <c r="H1725" i="2"/>
  <c r="F1723" i="2"/>
  <c r="I1720" i="2"/>
  <c r="H1718" i="2"/>
  <c r="G1716" i="2"/>
  <c r="F1714" i="2"/>
  <c r="I1711" i="2"/>
  <c r="H1709" i="2"/>
  <c r="F1707" i="2"/>
  <c r="I1704" i="2"/>
  <c r="H1702" i="2"/>
  <c r="G1700" i="2"/>
  <c r="F1698" i="2"/>
  <c r="I1695" i="2"/>
  <c r="H1693" i="2"/>
  <c r="F1691" i="2"/>
  <c r="I1688" i="2"/>
  <c r="H1686" i="2"/>
  <c r="G1684" i="2"/>
  <c r="F1682" i="2"/>
  <c r="I1679" i="2"/>
  <c r="H1677" i="2"/>
  <c r="F1675" i="2"/>
  <c r="I1672" i="2"/>
  <c r="H1670" i="2"/>
  <c r="G1668" i="2"/>
  <c r="F1666" i="2"/>
  <c r="I1663" i="2"/>
  <c r="H1661" i="2"/>
  <c r="F1659" i="2"/>
  <c r="I1656" i="2"/>
  <c r="H1654" i="2"/>
  <c r="G1652" i="2"/>
  <c r="F1650" i="2"/>
  <c r="I1647" i="2"/>
  <c r="H1645" i="2"/>
  <c r="F1643" i="2"/>
  <c r="I1640" i="2"/>
  <c r="H1638" i="2"/>
  <c r="G1636" i="2"/>
  <c r="F1634" i="2"/>
  <c r="I1631" i="2"/>
  <c r="H1629" i="2"/>
  <c r="F1627" i="2"/>
  <c r="I1624" i="2"/>
  <c r="H1622" i="2"/>
  <c r="G1620" i="2"/>
  <c r="F1618" i="2"/>
  <c r="I1615" i="2"/>
  <c r="I1613" i="2"/>
  <c r="I1611" i="2"/>
  <c r="I1609" i="2"/>
  <c r="I1607" i="2"/>
  <c r="I1605" i="2"/>
  <c r="I1603" i="2"/>
  <c r="I1601" i="2"/>
  <c r="I1599" i="2"/>
  <c r="I1597" i="2"/>
  <c r="I1595" i="2"/>
  <c r="I1593" i="2"/>
  <c r="I1591" i="2"/>
  <c r="I1589" i="2"/>
  <c r="I1587" i="2"/>
  <c r="I1585" i="2"/>
  <c r="I1583" i="2"/>
  <c r="I1581" i="2"/>
  <c r="F2604" i="2"/>
  <c r="F2540" i="2"/>
  <c r="F2476" i="2"/>
  <c r="H2433" i="2"/>
  <c r="F2396" i="2"/>
  <c r="F2364" i="2"/>
  <c r="F2332" i="2"/>
  <c r="F2308" i="2"/>
  <c r="I2287" i="2"/>
  <c r="H2269" i="2"/>
  <c r="F2251" i="2"/>
  <c r="I2232" i="2"/>
  <c r="I2214" i="2"/>
  <c r="I2198" i="2"/>
  <c r="I2182" i="2"/>
  <c r="I2166" i="2"/>
  <c r="I2156" i="2"/>
  <c r="H2147" i="2"/>
  <c r="H2138" i="2"/>
  <c r="G2129" i="2"/>
  <c r="F2120" i="2"/>
  <c r="F2111" i="2"/>
  <c r="I2101" i="2"/>
  <c r="I2092" i="2"/>
  <c r="H2083" i="2"/>
  <c r="H2074" i="2"/>
  <c r="G2065" i="2"/>
  <c r="F2056" i="2"/>
  <c r="F2047" i="2"/>
  <c r="I2037" i="2"/>
  <c r="F2029" i="2"/>
  <c r="F2021" i="2"/>
  <c r="F2016" i="2"/>
  <c r="H2011" i="2"/>
  <c r="F2007" i="2"/>
  <c r="G2002" i="2"/>
  <c r="I1997" i="2"/>
  <c r="G1993" i="2"/>
  <c r="H1988" i="2"/>
  <c r="F1984" i="2"/>
  <c r="H1979" i="2"/>
  <c r="F1975" i="2"/>
  <c r="G1970" i="2"/>
  <c r="I1965" i="2"/>
  <c r="G1961" i="2"/>
  <c r="H1956" i="2"/>
  <c r="F1952" i="2"/>
  <c r="H1947" i="2"/>
  <c r="F1943" i="2"/>
  <c r="G1938" i="2"/>
  <c r="I1933" i="2"/>
  <c r="G1929" i="2"/>
  <c r="H1924" i="2"/>
  <c r="F1920" i="2"/>
  <c r="H1915" i="2"/>
  <c r="F1911" i="2"/>
  <c r="G1906" i="2"/>
  <c r="I1901" i="2"/>
  <c r="G1897" i="2"/>
  <c r="H1892" i="2"/>
  <c r="F1888" i="2"/>
  <c r="H1883" i="2"/>
  <c r="F1879" i="2"/>
  <c r="G1874" i="2"/>
  <c r="I1869" i="2"/>
  <c r="G1865" i="2"/>
  <c r="H1860" i="2"/>
  <c r="G1856" i="2"/>
  <c r="G1852" i="2"/>
  <c r="G1848" i="2"/>
  <c r="G1844" i="2"/>
  <c r="G1840" i="2"/>
  <c r="G1836" i="2"/>
  <c r="G1832" i="2"/>
  <c r="G1828" i="2"/>
  <c r="G1824" i="2"/>
  <c r="G1820" i="2"/>
  <c r="G1816" i="2"/>
  <c r="G1812" i="2"/>
  <c r="G1808" i="2"/>
  <c r="G1804" i="2"/>
  <c r="G1800" i="2"/>
  <c r="G1796" i="2"/>
  <c r="G1792" i="2"/>
  <c r="G1788" i="2"/>
  <c r="G1784" i="2"/>
  <c r="G1780" i="2"/>
  <c r="G1776" i="2"/>
  <c r="G1772" i="2"/>
  <c r="G1768" i="2"/>
  <c r="F1766" i="2"/>
  <c r="I1763" i="2"/>
  <c r="H1761" i="2"/>
  <c r="F1759" i="2"/>
  <c r="I1756" i="2"/>
  <c r="H1754" i="2"/>
  <c r="G1752" i="2"/>
  <c r="F1750" i="2"/>
  <c r="I1747" i="2"/>
  <c r="H1745" i="2"/>
  <c r="F1743" i="2"/>
  <c r="I1740" i="2"/>
  <c r="H1738" i="2"/>
  <c r="G1736" i="2"/>
  <c r="F1734" i="2"/>
  <c r="I1731" i="2"/>
  <c r="H1729" i="2"/>
  <c r="F1727" i="2"/>
  <c r="I1724" i="2"/>
  <c r="H1722" i="2"/>
  <c r="G1720" i="2"/>
  <c r="F1718" i="2"/>
  <c r="I1715" i="2"/>
  <c r="H1713" i="2"/>
  <c r="F1711" i="2"/>
  <c r="I1708" i="2"/>
  <c r="H1706" i="2"/>
  <c r="G1704" i="2"/>
  <c r="F1702" i="2"/>
  <c r="I1699" i="2"/>
  <c r="H1697" i="2"/>
  <c r="F1695" i="2"/>
  <c r="I1692" i="2"/>
  <c r="H1690" i="2"/>
  <c r="G1688" i="2"/>
  <c r="F1686" i="2"/>
  <c r="I1683" i="2"/>
  <c r="G2621" i="2"/>
  <c r="G2493" i="2"/>
  <c r="H2405" i="2"/>
  <c r="G2340" i="2"/>
  <c r="H2292" i="2"/>
  <c r="F2256" i="2"/>
  <c r="H2219" i="2"/>
  <c r="F2187" i="2"/>
  <c r="G2159" i="2"/>
  <c r="F2141" i="2"/>
  <c r="I2122" i="2"/>
  <c r="H2104" i="2"/>
  <c r="F2086" i="2"/>
  <c r="I2067" i="2"/>
  <c r="H2049" i="2"/>
  <c r="G2031" i="2"/>
  <c r="H2017" i="2"/>
  <c r="G2008" i="2"/>
  <c r="G1999" i="2"/>
  <c r="F1990" i="2"/>
  <c r="F1981" i="2"/>
  <c r="I1971" i="2"/>
  <c r="H1962" i="2"/>
  <c r="H1953" i="2"/>
  <c r="G1944" i="2"/>
  <c r="G1935" i="2"/>
  <c r="F1926" i="2"/>
  <c r="F1917" i="2"/>
  <c r="I1907" i="2"/>
  <c r="H1898" i="2"/>
  <c r="H1889" i="2"/>
  <c r="G1880" i="2"/>
  <c r="G1871" i="2"/>
  <c r="F1862" i="2"/>
  <c r="H1853" i="2"/>
  <c r="H1845" i="2"/>
  <c r="H1837" i="2"/>
  <c r="H1829" i="2"/>
  <c r="H1821" i="2"/>
  <c r="H1813" i="2"/>
  <c r="H1805" i="2"/>
  <c r="H1797" i="2"/>
  <c r="H1789" i="2"/>
  <c r="H1781" i="2"/>
  <c r="H1773" i="2"/>
  <c r="G1766" i="2"/>
  <c r="I1761" i="2"/>
  <c r="F1757" i="2"/>
  <c r="H1752" i="2"/>
  <c r="F1748" i="2"/>
  <c r="H1743" i="2"/>
  <c r="I1738" i="2"/>
  <c r="G1734" i="2"/>
  <c r="I1729" i="2"/>
  <c r="F1725" i="2"/>
  <c r="H1720" i="2"/>
  <c r="F1716" i="2"/>
  <c r="H1711" i="2"/>
  <c r="I1706" i="2"/>
  <c r="G1702" i="2"/>
  <c r="I1698" i="2"/>
  <c r="I1694" i="2"/>
  <c r="H1691" i="2"/>
  <c r="I1687" i="2"/>
  <c r="F1684" i="2"/>
  <c r="I1680" i="2"/>
  <c r="F1678" i="2"/>
  <c r="H1675" i="2"/>
  <c r="H1672" i="2"/>
  <c r="F1670" i="2"/>
  <c r="H1667" i="2"/>
  <c r="I1664" i="2"/>
  <c r="G1662" i="2"/>
  <c r="I1659" i="2"/>
  <c r="F1657" i="2"/>
  <c r="G1654" i="2"/>
  <c r="I1651" i="2"/>
  <c r="F1649" i="2"/>
  <c r="H1646" i="2"/>
  <c r="F1644" i="2"/>
  <c r="H1641" i="2"/>
  <c r="I1638" i="2"/>
  <c r="F1636" i="2"/>
  <c r="H1633" i="2"/>
  <c r="I1630" i="2"/>
  <c r="G1628" i="2"/>
  <c r="I1625" i="2"/>
  <c r="F1623" i="2"/>
  <c r="H1620" i="2"/>
  <c r="I1617" i="2"/>
  <c r="G1615" i="2"/>
  <c r="F1613" i="2"/>
  <c r="I1610" i="2"/>
  <c r="H1608" i="2"/>
  <c r="G1606" i="2"/>
  <c r="F1604" i="2"/>
  <c r="H1601" i="2"/>
  <c r="G1599" i="2"/>
  <c r="F1597" i="2"/>
  <c r="I1594" i="2"/>
  <c r="H1592" i="2"/>
  <c r="G1590" i="2"/>
  <c r="F1588" i="2"/>
  <c r="H1585" i="2"/>
  <c r="G1583" i="2"/>
  <c r="F1581" i="2"/>
  <c r="F1579" i="2"/>
  <c r="F1577" i="2"/>
  <c r="F1575" i="2"/>
  <c r="F1573" i="2"/>
  <c r="F1571" i="2"/>
  <c r="F1569" i="2"/>
  <c r="F1567" i="2"/>
  <c r="F1565" i="2"/>
  <c r="F1563" i="2"/>
  <c r="F1561" i="2"/>
  <c r="F1559" i="2"/>
  <c r="F1557" i="2"/>
  <c r="F1555" i="2"/>
  <c r="F1553" i="2"/>
  <c r="F1551" i="2"/>
  <c r="F1549" i="2"/>
  <c r="F1547" i="2"/>
  <c r="F1545" i="2"/>
  <c r="F1543" i="2"/>
  <c r="F1541" i="2"/>
  <c r="F1539" i="2"/>
  <c r="F1537" i="2"/>
  <c r="F1535" i="2"/>
  <c r="F1533" i="2"/>
  <c r="F1531" i="2"/>
  <c r="I2595" i="2"/>
  <c r="G2470" i="2"/>
  <c r="I2391" i="2"/>
  <c r="I2327" i="2"/>
  <c r="F2285" i="2"/>
  <c r="H2248" i="2"/>
  <c r="H2212" i="2"/>
  <c r="H2180" i="2"/>
  <c r="G2155" i="2"/>
  <c r="F2137" i="2"/>
  <c r="I2118" i="2"/>
  <c r="H2100" i="2"/>
  <c r="F2082" i="2"/>
  <c r="I2063" i="2"/>
  <c r="H2045" i="2"/>
  <c r="I2027" i="2"/>
  <c r="I2015" i="2"/>
  <c r="H2006" i="2"/>
  <c r="H1997" i="2"/>
  <c r="G1988" i="2"/>
  <c r="G1979" i="2"/>
  <c r="F1970" i="2"/>
  <c r="F1961" i="2"/>
  <c r="I1951" i="2"/>
  <c r="H1942" i="2"/>
  <c r="H1933" i="2"/>
  <c r="G1924" i="2"/>
  <c r="G1915" i="2"/>
  <c r="F1906" i="2"/>
  <c r="F1897" i="2"/>
  <c r="I1887" i="2"/>
  <c r="H1878" i="2"/>
  <c r="H1869" i="2"/>
  <c r="G1860" i="2"/>
  <c r="F1852" i="2"/>
  <c r="F1844" i="2"/>
  <c r="F1836" i="2"/>
  <c r="F1828" i="2"/>
  <c r="F1820" i="2"/>
  <c r="F1812" i="2"/>
  <c r="F1804" i="2"/>
  <c r="F1796" i="2"/>
  <c r="F1788" i="2"/>
  <c r="F1780" i="2"/>
  <c r="F1772" i="2"/>
  <c r="I1765" i="2"/>
  <c r="F1761" i="2"/>
  <c r="H1756" i="2"/>
  <c r="F1752" i="2"/>
  <c r="H1747" i="2"/>
  <c r="I1742" i="2"/>
  <c r="G1738" i="2"/>
  <c r="I1733" i="2"/>
  <c r="F1729" i="2"/>
  <c r="H1724" i="2"/>
  <c r="F1720" i="2"/>
  <c r="H1715" i="2"/>
  <c r="I1710" i="2"/>
  <c r="G1706" i="2"/>
  <c r="I1701" i="2"/>
  <c r="G1698" i="2"/>
  <c r="H1694" i="2"/>
  <c r="I1690" i="2"/>
  <c r="H1687" i="2"/>
  <c r="H1683" i="2"/>
  <c r="H1680" i="2"/>
  <c r="I1677" i="2"/>
  <c r="I1674" i="2"/>
  <c r="G1672" i="2"/>
  <c r="I1669" i="2"/>
  <c r="F1667" i="2"/>
  <c r="H1664" i="2"/>
  <c r="F1662" i="2"/>
  <c r="H1659" i="2"/>
  <c r="H1656" i="2"/>
  <c r="F1654" i="2"/>
  <c r="H1651" i="2"/>
  <c r="I1648" i="2"/>
  <c r="G1646" i="2"/>
  <c r="I1643" i="2"/>
  <c r="F1641" i="2"/>
  <c r="G1638" i="2"/>
  <c r="I1635" i="2"/>
  <c r="F1633" i="2"/>
  <c r="H1630" i="2"/>
  <c r="F1628" i="2"/>
  <c r="H1625" i="2"/>
  <c r="I1622" i="2"/>
  <c r="F1620" i="2"/>
  <c r="H1617" i="2"/>
  <c r="F1615" i="2"/>
  <c r="I1612" i="2"/>
  <c r="H1610" i="2"/>
  <c r="G1608" i="2"/>
  <c r="F1606" i="2"/>
  <c r="H1603" i="2"/>
  <c r="G1601" i="2"/>
  <c r="F1599" i="2"/>
  <c r="I1596" i="2"/>
  <c r="H1594" i="2"/>
  <c r="G1592" i="2"/>
  <c r="F1590" i="2"/>
  <c r="H1587" i="2"/>
  <c r="G1585" i="2"/>
  <c r="F1583" i="2"/>
  <c r="I1580" i="2"/>
  <c r="I1578" i="2"/>
  <c r="I1576" i="2"/>
  <c r="I1574" i="2"/>
  <c r="I1572" i="2"/>
  <c r="I1570" i="2"/>
  <c r="I1568" i="2"/>
  <c r="I1566" i="2"/>
  <c r="I1564" i="2"/>
  <c r="I1562" i="2"/>
  <c r="I1560" i="2"/>
  <c r="I1558" i="2"/>
  <c r="I1556" i="2"/>
  <c r="I1554" i="2"/>
  <c r="I1552" i="2"/>
  <c r="I1550" i="2"/>
  <c r="I1548" i="2"/>
  <c r="I1546" i="2"/>
  <c r="I1544" i="2"/>
  <c r="I1542" i="2"/>
  <c r="I1540" i="2"/>
  <c r="I1538" i="2"/>
  <c r="I1536" i="2"/>
  <c r="I1534" i="2"/>
  <c r="I1532" i="2"/>
  <c r="I1530" i="2"/>
  <c r="H2591" i="2"/>
  <c r="H2467" i="2"/>
  <c r="H2389" i="2"/>
  <c r="H2325" i="2"/>
  <c r="I2283" i="2"/>
  <c r="F2247" i="2"/>
  <c r="G2211" i="2"/>
  <c r="G2179" i="2"/>
  <c r="F2155" i="2"/>
  <c r="I2136" i="2"/>
  <c r="H2118" i="2"/>
  <c r="F2100" i="2"/>
  <c r="I2081" i="2"/>
  <c r="H2063" i="2"/>
  <c r="G2045" i="2"/>
  <c r="H2027" i="2"/>
  <c r="H2015" i="2"/>
  <c r="G2006" i="2"/>
  <c r="G1997" i="2"/>
  <c r="F1988" i="2"/>
  <c r="F1979" i="2"/>
  <c r="I1969" i="2"/>
  <c r="H1960" i="2"/>
  <c r="H1951" i="2"/>
  <c r="G1942" i="2"/>
  <c r="G1933" i="2"/>
  <c r="F1924" i="2"/>
  <c r="F1915" i="2"/>
  <c r="I1905" i="2"/>
  <c r="H1896" i="2"/>
  <c r="H1887" i="2"/>
  <c r="G1878" i="2"/>
  <c r="G1869" i="2"/>
  <c r="F1860" i="2"/>
  <c r="I1851" i="2"/>
  <c r="I1843" i="2"/>
  <c r="I1835" i="2"/>
  <c r="I1827" i="2"/>
  <c r="I1819" i="2"/>
  <c r="I1811" i="2"/>
  <c r="I1803" i="2"/>
  <c r="I1795" i="2"/>
  <c r="I1787" i="2"/>
  <c r="I1779" i="2"/>
  <c r="I1771" i="2"/>
  <c r="H1765" i="2"/>
  <c r="I1760" i="2"/>
  <c r="G1756" i="2"/>
  <c r="I1751" i="2"/>
  <c r="F1747" i="2"/>
  <c r="H1742" i="2"/>
  <c r="F1738" i="2"/>
  <c r="H1733" i="2"/>
  <c r="I1728" i="2"/>
  <c r="G1724" i="2"/>
  <c r="I1719" i="2"/>
  <c r="F1715" i="2"/>
  <c r="H1710" i="2"/>
  <c r="F1706" i="2"/>
  <c r="H1701" i="2"/>
  <c r="I1697" i="2"/>
  <c r="G1694" i="2"/>
  <c r="G1690" i="2"/>
  <c r="I1686" i="2"/>
  <c r="F1683" i="2"/>
  <c r="F1680" i="2"/>
  <c r="F1677" i="2"/>
  <c r="H1674" i="2"/>
  <c r="F1672" i="2"/>
  <c r="H1669" i="2"/>
  <c r="I1666" i="2"/>
  <c r="G1664" i="2"/>
  <c r="I1661" i="2"/>
  <c r="I1658" i="2"/>
  <c r="G1656" i="2"/>
  <c r="I1653" i="2"/>
  <c r="F1651" i="2"/>
  <c r="H1648" i="2"/>
  <c r="F1646" i="2"/>
  <c r="H1643" i="2"/>
  <c r="H1640" i="2"/>
  <c r="F1638" i="2"/>
  <c r="H1635" i="2"/>
  <c r="I1632" i="2"/>
  <c r="G1630" i="2"/>
  <c r="I1627" i="2"/>
  <c r="F1625" i="2"/>
  <c r="G1622" i="2"/>
  <c r="I1619" i="2"/>
  <c r="F1617" i="2"/>
  <c r="I1614" i="2"/>
  <c r="H1612" i="2"/>
  <c r="G1610" i="2"/>
  <c r="F1608" i="2"/>
  <c r="H1605" i="2"/>
  <c r="G1603" i="2"/>
  <c r="F1601" i="2"/>
  <c r="I1598" i="2"/>
  <c r="H1596" i="2"/>
  <c r="G1594" i="2"/>
  <c r="F1592" i="2"/>
  <c r="H1589" i="2"/>
  <c r="G1587" i="2"/>
  <c r="F1585" i="2"/>
  <c r="I1582" i="2"/>
  <c r="H1580" i="2"/>
  <c r="H1578" i="2"/>
  <c r="H1576" i="2"/>
  <c r="H1574" i="2"/>
  <c r="H1572" i="2"/>
  <c r="H1570" i="2"/>
  <c r="H1568" i="2"/>
  <c r="H1566" i="2"/>
  <c r="H1564" i="2"/>
  <c r="H1562" i="2"/>
  <c r="H1560" i="2"/>
  <c r="H1558" i="2"/>
  <c r="H1556" i="2"/>
  <c r="H1554" i="2"/>
  <c r="H1552" i="2"/>
  <c r="H1550" i="2"/>
  <c r="H1548" i="2"/>
  <c r="H1546" i="2"/>
  <c r="H1544" i="2"/>
  <c r="H1542" i="2"/>
  <c r="H1540" i="2"/>
  <c r="H1538" i="2"/>
  <c r="H1536" i="2"/>
  <c r="H1534" i="2"/>
  <c r="H1532" i="2"/>
  <c r="H1530" i="2"/>
  <c r="H1528" i="2"/>
  <c r="H1526" i="2"/>
  <c r="H1524" i="2"/>
  <c r="H1522" i="2"/>
  <c r="H1520" i="2"/>
  <c r="H1518" i="2"/>
  <c r="H1516" i="2"/>
  <c r="H1514" i="2"/>
  <c r="H1512" i="2"/>
  <c r="H1510" i="2"/>
  <c r="H1508" i="2"/>
  <c r="H1506" i="2"/>
  <c r="H1504" i="2"/>
  <c r="H1502" i="2"/>
  <c r="H1500" i="2"/>
  <c r="H1498" i="2"/>
  <c r="H1496" i="2"/>
  <c r="H1494" i="2"/>
  <c r="H1492" i="2"/>
  <c r="H1490" i="2"/>
  <c r="H1488" i="2"/>
  <c r="H1486" i="2"/>
  <c r="H1484" i="2"/>
  <c r="H1482" i="2"/>
  <c r="H1480" i="2"/>
  <c r="H2527" i="2"/>
  <c r="G2425" i="2"/>
  <c r="H2357" i="2"/>
  <c r="H2303" i="2"/>
  <c r="H2265" i="2"/>
  <c r="I2228" i="2"/>
  <c r="G2195" i="2"/>
  <c r="F2164" i="2"/>
  <c r="I2145" i="2"/>
  <c r="H2127" i="2"/>
  <c r="G2109" i="2"/>
  <c r="F2091" i="2"/>
  <c r="I2072" i="2"/>
  <c r="H2054" i="2"/>
  <c r="F2036" i="2"/>
  <c r="G2020" i="2"/>
  <c r="F2011" i="2"/>
  <c r="I2001" i="2"/>
  <c r="H1992" i="2"/>
  <c r="H1983" i="2"/>
  <c r="G1974" i="2"/>
  <c r="G1965" i="2"/>
  <c r="F1956" i="2"/>
  <c r="F1947" i="2"/>
  <c r="I1937" i="2"/>
  <c r="H1928" i="2"/>
  <c r="H1919" i="2"/>
  <c r="G1910" i="2"/>
  <c r="G1901" i="2"/>
  <c r="F1892" i="2"/>
  <c r="F1883" i="2"/>
  <c r="I1873" i="2"/>
  <c r="H1864" i="2"/>
  <c r="I1855" i="2"/>
  <c r="I1847" i="2"/>
  <c r="I1839" i="2"/>
  <c r="I1831" i="2"/>
  <c r="I1823" i="2"/>
  <c r="I1815" i="2"/>
  <c r="I1807" i="2"/>
  <c r="I1799" i="2"/>
  <c r="I1791" i="2"/>
  <c r="I1783" i="2"/>
  <c r="I1775" i="2"/>
  <c r="I1767" i="2"/>
  <c r="F1763" i="2"/>
  <c r="H1758" i="2"/>
  <c r="F1754" i="2"/>
  <c r="H1749" i="2"/>
  <c r="I1744" i="2"/>
  <c r="G1740" i="2"/>
  <c r="I1735" i="2"/>
  <c r="F1731" i="2"/>
  <c r="H1726" i="2"/>
  <c r="F1722" i="2"/>
  <c r="H1717" i="2"/>
  <c r="I1712" i="2"/>
  <c r="G1708" i="2"/>
  <c r="I1703" i="2"/>
  <c r="H1699" i="2"/>
  <c r="F1696" i="2"/>
  <c r="G1692" i="2"/>
  <c r="H1688" i="2"/>
  <c r="F1685" i="2"/>
  <c r="H1681" i="2"/>
  <c r="H1678" i="2"/>
  <c r="F1676" i="2"/>
  <c r="H1673" i="2"/>
  <c r="I1670" i="2"/>
  <c r="F1668" i="2"/>
  <c r="H1665" i="2"/>
  <c r="I1662" i="2"/>
  <c r="G1660" i="2"/>
  <c r="I1657" i="2"/>
  <c r="F1655" i="2"/>
  <c r="H1652" i="2"/>
  <c r="I1649" i="2"/>
  <c r="F1647" i="2"/>
  <c r="H1644" i="2"/>
  <c r="F1642" i="2"/>
  <c r="H1639" i="2"/>
  <c r="I1636" i="2"/>
  <c r="G1634" i="2"/>
  <c r="H1631" i="2"/>
  <c r="I1628" i="2"/>
  <c r="G1626" i="2"/>
  <c r="I1623" i="2"/>
  <c r="F1621" i="2"/>
  <c r="H1618" i="2"/>
  <c r="F1616" i="2"/>
  <c r="H1613" i="2"/>
  <c r="G1611" i="2"/>
  <c r="F1609" i="2"/>
  <c r="I1606" i="2"/>
  <c r="H1604" i="2"/>
  <c r="G1602" i="2"/>
  <c r="F1600" i="2"/>
  <c r="H1597" i="2"/>
  <c r="G1595" i="2"/>
  <c r="F1593" i="2"/>
  <c r="I1590" i="2"/>
  <c r="H1588" i="2"/>
  <c r="G1586" i="2"/>
  <c r="F1584" i="2"/>
  <c r="H1581" i="2"/>
  <c r="H1579" i="2"/>
  <c r="H1577" i="2"/>
  <c r="H1575" i="2"/>
  <c r="H1573" i="2"/>
  <c r="H1571" i="2"/>
  <c r="H1569" i="2"/>
  <c r="H1567" i="2"/>
  <c r="H1565" i="2"/>
  <c r="H1563" i="2"/>
  <c r="H1561" i="2"/>
  <c r="H1559" i="2"/>
  <c r="H1557" i="2"/>
  <c r="H1555" i="2"/>
  <c r="H1553" i="2"/>
  <c r="H1551" i="2"/>
  <c r="H1549" i="2"/>
  <c r="H1547" i="2"/>
  <c r="H1545" i="2"/>
  <c r="H1543" i="2"/>
  <c r="H1541" i="2"/>
  <c r="H1539" i="2"/>
  <c r="H1537" i="2"/>
  <c r="G2589" i="2"/>
  <c r="G2388" i="2"/>
  <c r="H2283" i="2"/>
  <c r="F2211" i="2"/>
  <c r="I2154" i="2"/>
  <c r="F2118" i="2"/>
  <c r="H2081" i="2"/>
  <c r="F2045" i="2"/>
  <c r="G2015" i="2"/>
  <c r="F1997" i="2"/>
  <c r="H1978" i="2"/>
  <c r="G1960" i="2"/>
  <c r="F1942" i="2"/>
  <c r="I1923" i="2"/>
  <c r="H1905" i="2"/>
  <c r="G1887" i="2"/>
  <c r="F1869" i="2"/>
  <c r="H1851" i="2"/>
  <c r="H1835" i="2"/>
  <c r="H1819" i="2"/>
  <c r="H1803" i="2"/>
  <c r="H1787" i="2"/>
  <c r="H1771" i="2"/>
  <c r="H1760" i="2"/>
  <c r="H1751" i="2"/>
  <c r="G1742" i="2"/>
  <c r="F1733" i="2"/>
  <c r="F1724" i="2"/>
  <c r="I1714" i="2"/>
  <c r="I1705" i="2"/>
  <c r="F1697" i="2"/>
  <c r="F1690" i="2"/>
  <c r="I1682" i="2"/>
  <c r="I1676" i="2"/>
  <c r="I1671" i="2"/>
  <c r="H1666" i="2"/>
  <c r="F1661" i="2"/>
  <c r="F1656" i="2"/>
  <c r="I1650" i="2"/>
  <c r="I1645" i="2"/>
  <c r="G1640" i="2"/>
  <c r="F1635" i="2"/>
  <c r="F1630" i="2"/>
  <c r="H1624" i="2"/>
  <c r="H1619" i="2"/>
  <c r="H1614" i="2"/>
  <c r="F1610" i="2"/>
  <c r="G1605" i="2"/>
  <c r="I1600" i="2"/>
  <c r="G1596" i="2"/>
  <c r="H1591" i="2"/>
  <c r="F1587" i="2"/>
  <c r="H1582" i="2"/>
  <c r="G1578" i="2"/>
  <c r="G1574" i="2"/>
  <c r="G1570" i="2"/>
  <c r="G1566" i="2"/>
  <c r="G1562" i="2"/>
  <c r="G1558" i="2"/>
  <c r="G1554" i="2"/>
  <c r="G1550" i="2"/>
  <c r="G1546" i="2"/>
  <c r="G1542" i="2"/>
  <c r="G1538" i="2"/>
  <c r="G1535" i="2"/>
  <c r="I1531" i="2"/>
  <c r="F1529" i="2"/>
  <c r="I1526" i="2"/>
  <c r="G1524" i="2"/>
  <c r="F1522" i="2"/>
  <c r="I1519" i="2"/>
  <c r="H1517" i="2"/>
  <c r="G1515" i="2"/>
  <c r="F1513" i="2"/>
  <c r="I1510" i="2"/>
  <c r="G1508" i="2"/>
  <c r="F1506" i="2"/>
  <c r="I1503" i="2"/>
  <c r="H1501" i="2"/>
  <c r="G1499" i="2"/>
  <c r="F1497" i="2"/>
  <c r="I1494" i="2"/>
  <c r="G1492" i="2"/>
  <c r="F1490" i="2"/>
  <c r="I1487" i="2"/>
  <c r="H1485" i="2"/>
  <c r="G1483" i="2"/>
  <c r="F1481" i="2"/>
  <c r="I1478" i="2"/>
  <c r="I1476" i="2"/>
  <c r="I1474" i="2"/>
  <c r="I1472" i="2"/>
  <c r="I1470" i="2"/>
  <c r="I1468" i="2"/>
  <c r="I1466" i="2"/>
  <c r="I1464" i="2"/>
  <c r="I1462" i="2"/>
  <c r="I1460" i="2"/>
  <c r="I1458" i="2"/>
  <c r="I1456" i="2"/>
  <c r="I1454" i="2"/>
  <c r="I1452" i="2"/>
  <c r="I1450" i="2"/>
  <c r="I1448" i="2"/>
  <c r="I1446" i="2"/>
  <c r="I2531" i="2"/>
  <c r="I2359" i="2"/>
  <c r="I2266" i="2"/>
  <c r="H2196" i="2"/>
  <c r="F2146" i="2"/>
  <c r="H2109" i="2"/>
  <c r="F2073" i="2"/>
  <c r="H2036" i="2"/>
  <c r="G2011" i="2"/>
  <c r="F1993" i="2"/>
  <c r="H1974" i="2"/>
  <c r="G1956" i="2"/>
  <c r="F1938" i="2"/>
  <c r="I1919" i="2"/>
  <c r="H1901" i="2"/>
  <c r="G1883" i="2"/>
  <c r="F1865" i="2"/>
  <c r="F1848" i="2"/>
  <c r="F1832" i="2"/>
  <c r="F1816" i="2"/>
  <c r="F1800" i="2"/>
  <c r="F1784" i="2"/>
  <c r="F1768" i="2"/>
  <c r="I1758" i="2"/>
  <c r="I1749" i="2"/>
  <c r="H1740" i="2"/>
  <c r="H1731" i="2"/>
  <c r="G1722" i="2"/>
  <c r="F1713" i="2"/>
  <c r="F1704" i="2"/>
  <c r="H1696" i="2"/>
  <c r="F1689" i="2"/>
  <c r="I1681" i="2"/>
  <c r="G1676" i="2"/>
  <c r="F1671" i="2"/>
  <c r="I1665" i="2"/>
  <c r="H1660" i="2"/>
  <c r="H1655" i="2"/>
  <c r="G1650" i="2"/>
  <c r="I1644" i="2"/>
  <c r="I1639" i="2"/>
  <c r="H1634" i="2"/>
  <c r="F1629" i="2"/>
  <c r="F1624" i="2"/>
  <c r="I1618" i="2"/>
  <c r="F1614" i="2"/>
  <c r="G1609" i="2"/>
  <c r="I1604" i="2"/>
  <c r="G1600" i="2"/>
  <c r="H1595" i="2"/>
  <c r="F1591" i="2"/>
  <c r="H1586" i="2"/>
  <c r="F1582" i="2"/>
  <c r="I1577" i="2"/>
  <c r="I1573" i="2"/>
  <c r="I1569" i="2"/>
  <c r="I1565" i="2"/>
  <c r="I1561" i="2"/>
  <c r="I1557" i="2"/>
  <c r="I1553" i="2"/>
  <c r="I1549" i="2"/>
  <c r="I1545" i="2"/>
  <c r="I1541" i="2"/>
  <c r="I1537" i="2"/>
  <c r="F1534" i="2"/>
  <c r="G1531" i="2"/>
  <c r="G1528" i="2"/>
  <c r="F1526" i="2"/>
  <c r="I1523" i="2"/>
  <c r="H1521" i="2"/>
  <c r="G1519" i="2"/>
  <c r="F1517" i="2"/>
  <c r="I1514" i="2"/>
  <c r="G1512" i="2"/>
  <c r="F1510" i="2"/>
  <c r="I1507" i="2"/>
  <c r="H1505" i="2"/>
  <c r="G1503" i="2"/>
  <c r="F1501" i="2"/>
  <c r="I1498" i="2"/>
  <c r="G1496" i="2"/>
  <c r="F1494" i="2"/>
  <c r="I1491" i="2"/>
  <c r="H1489" i="2"/>
  <c r="G1487" i="2"/>
  <c r="F1485" i="2"/>
  <c r="I1482" i="2"/>
  <c r="G1480" i="2"/>
  <c r="G1478" i="2"/>
  <c r="G1476" i="2"/>
  <c r="G1474" i="2"/>
  <c r="G1472" i="2"/>
  <c r="G1470" i="2"/>
  <c r="G1468" i="2"/>
  <c r="G1466" i="2"/>
  <c r="G1464" i="2"/>
  <c r="G1462" i="2"/>
  <c r="G1460" i="2"/>
  <c r="G1458" i="2"/>
  <c r="G1456" i="2"/>
  <c r="G1454" i="2"/>
  <c r="G1452" i="2"/>
  <c r="G1450" i="2"/>
  <c r="G1448" i="2"/>
  <c r="G1446" i="2"/>
  <c r="G1444" i="2"/>
  <c r="G1442" i="2"/>
  <c r="G1440" i="2"/>
  <c r="G1438" i="2"/>
  <c r="G1436" i="2"/>
  <c r="G1434" i="2"/>
  <c r="G1432" i="2"/>
  <c r="G1430" i="2"/>
  <c r="G1428" i="2"/>
  <c r="G1426" i="2"/>
  <c r="G1424" i="2"/>
  <c r="G1422" i="2"/>
  <c r="G1420" i="2"/>
  <c r="G1418" i="2"/>
  <c r="G1416" i="2"/>
  <c r="G1414" i="2"/>
  <c r="G1412" i="2"/>
  <c r="G1410" i="2"/>
  <c r="G1408" i="2"/>
  <c r="G1406" i="2"/>
  <c r="G1404" i="2"/>
  <c r="G1402" i="2"/>
  <c r="G1400" i="2"/>
  <c r="G1398" i="2"/>
  <c r="G1396" i="2"/>
  <c r="G1394" i="2"/>
  <c r="G1392" i="2"/>
  <c r="G1390" i="2"/>
  <c r="G1388" i="2"/>
  <c r="G1386" i="2"/>
  <c r="G1384" i="2"/>
  <c r="G1382" i="2"/>
  <c r="G1380" i="2"/>
  <c r="G1378" i="2"/>
  <c r="G1376" i="2"/>
  <c r="G1374" i="2"/>
  <c r="G1372" i="2"/>
  <c r="G1370" i="2"/>
  <c r="G1368" i="2"/>
  <c r="G1366" i="2"/>
  <c r="G1364" i="2"/>
  <c r="G1362" i="2"/>
  <c r="G1360" i="2"/>
  <c r="G1358" i="2"/>
  <c r="G1356" i="2"/>
  <c r="G2525" i="2"/>
  <c r="G2356" i="2"/>
  <c r="F2265" i="2"/>
  <c r="F2195" i="2"/>
  <c r="H2145" i="2"/>
  <c r="F2109" i="2"/>
  <c r="H2072" i="2"/>
  <c r="I2035" i="2"/>
  <c r="H2010" i="2"/>
  <c r="G1992" i="2"/>
  <c r="F1974" i="2"/>
  <c r="I1955" i="2"/>
  <c r="H1937" i="2"/>
  <c r="G1919" i="2"/>
  <c r="F1901" i="2"/>
  <c r="H1882" i="2"/>
  <c r="G1864" i="2"/>
  <c r="H1847" i="2"/>
  <c r="H1831" i="2"/>
  <c r="H1815" i="2"/>
  <c r="H1799" i="2"/>
  <c r="H1783" i="2"/>
  <c r="H1767" i="2"/>
  <c r="G1758" i="2"/>
  <c r="F1749" i="2"/>
  <c r="F1740" i="2"/>
  <c r="I1730" i="2"/>
  <c r="I1721" i="2"/>
  <c r="H1712" i="2"/>
  <c r="H1703" i="2"/>
  <c r="H1695" i="2"/>
  <c r="F1688" i="2"/>
  <c r="F1681" i="2"/>
  <c r="I1675" i="2"/>
  <c r="G1670" i="2"/>
  <c r="F1665" i="2"/>
  <c r="F1660" i="2"/>
  <c r="I1654" i="2"/>
  <c r="H1649" i="2"/>
  <c r="G1644" i="2"/>
  <c r="F1639" i="2"/>
  <c r="I1633" i="2"/>
  <c r="H1628" i="2"/>
  <c r="H1623" i="2"/>
  <c r="G1618" i="2"/>
  <c r="G1613" i="2"/>
  <c r="I1608" i="2"/>
  <c r="G1604" i="2"/>
  <c r="H1599" i="2"/>
  <c r="F1595" i="2"/>
  <c r="H1590" i="2"/>
  <c r="F1586" i="2"/>
  <c r="G1581" i="2"/>
  <c r="G1577" i="2"/>
  <c r="G1573" i="2"/>
  <c r="G1569" i="2"/>
  <c r="G1565" i="2"/>
  <c r="G1561" i="2"/>
  <c r="G1557" i="2"/>
  <c r="G1553" i="2"/>
  <c r="G1549" i="2"/>
  <c r="G1545" i="2"/>
  <c r="G1541" i="2"/>
  <c r="G1537" i="2"/>
  <c r="I1533" i="2"/>
  <c r="G1530" i="2"/>
  <c r="F1528" i="2"/>
  <c r="I1525" i="2"/>
  <c r="H1523" i="2"/>
  <c r="G1521" i="2"/>
  <c r="F1519" i="2"/>
  <c r="I1516" i="2"/>
  <c r="G1514" i="2"/>
  <c r="F1512" i="2"/>
  <c r="I1509" i="2"/>
  <c r="H1507" i="2"/>
  <c r="G1505" i="2"/>
  <c r="F1503" i="2"/>
  <c r="I1500" i="2"/>
  <c r="G1498" i="2"/>
  <c r="F1496" i="2"/>
  <c r="I1493" i="2"/>
  <c r="H1491" i="2"/>
  <c r="G1489" i="2"/>
  <c r="F1487" i="2"/>
  <c r="I1484" i="2"/>
  <c r="G1482" i="2"/>
  <c r="F1480" i="2"/>
  <c r="F1478" i="2"/>
  <c r="F1476" i="2"/>
  <c r="F1474" i="2"/>
  <c r="F1472" i="2"/>
  <c r="F1470" i="2"/>
  <c r="F1468" i="2"/>
  <c r="F1466" i="2"/>
  <c r="F1464" i="2"/>
  <c r="F1462" i="2"/>
  <c r="F1460" i="2"/>
  <c r="F1458" i="2"/>
  <c r="F1456" i="2"/>
  <c r="F1454" i="2"/>
  <c r="F1452" i="2"/>
  <c r="F1450" i="2"/>
  <c r="F1448" i="2"/>
  <c r="F1446" i="2"/>
  <c r="F1444" i="2"/>
  <c r="F1442" i="2"/>
  <c r="F1440" i="2"/>
  <c r="F1438" i="2"/>
  <c r="F1436" i="2"/>
  <c r="F1434" i="2"/>
  <c r="F1432" i="2"/>
  <c r="F1430" i="2"/>
  <c r="F1428" i="2"/>
  <c r="F1426" i="2"/>
  <c r="F1424" i="2"/>
  <c r="F1422" i="2"/>
  <c r="F1420" i="2"/>
  <c r="F1418" i="2"/>
  <c r="F1416" i="2"/>
  <c r="F1414" i="2"/>
  <c r="F1412" i="2"/>
  <c r="F1410" i="2"/>
  <c r="F1408" i="2"/>
  <c r="F1406" i="2"/>
  <c r="F1404" i="2"/>
  <c r="F1402" i="2"/>
  <c r="G2557" i="2"/>
  <c r="I2304" i="2"/>
  <c r="F2179" i="2"/>
  <c r="G2127" i="2"/>
  <c r="I2058" i="2"/>
  <c r="F2013" i="2"/>
  <c r="I1983" i="2"/>
  <c r="G1951" i="2"/>
  <c r="G1928" i="2"/>
  <c r="F1894" i="2"/>
  <c r="H1866" i="2"/>
  <c r="F1840" i="2"/>
  <c r="H1811" i="2"/>
  <c r="H1791" i="2"/>
  <c r="F1764" i="2"/>
  <c r="G1750" i="2"/>
  <c r="F1736" i="2"/>
  <c r="H1719" i="2"/>
  <c r="F1708" i="2"/>
  <c r="F1693" i="2"/>
  <c r="G1682" i="2"/>
  <c r="I1673" i="2"/>
  <c r="F1664" i="2"/>
  <c r="H1657" i="2"/>
  <c r="F1648" i="2"/>
  <c r="F1640" i="2"/>
  <c r="F1632" i="2"/>
  <c r="F1622" i="2"/>
  <c r="H1615" i="2"/>
  <c r="G1607" i="2"/>
  <c r="H1600" i="2"/>
  <c r="G1593" i="2"/>
  <c r="I1584" i="2"/>
  <c r="G1579" i="2"/>
  <c r="F1572" i="2"/>
  <c r="F1566" i="2"/>
  <c r="I1559" i="2"/>
  <c r="G1552" i="2"/>
  <c r="G1547" i="2"/>
  <c r="F1540" i="2"/>
  <c r="G1534" i="2"/>
  <c r="H1529" i="2"/>
  <c r="H1525" i="2"/>
  <c r="G1522" i="2"/>
  <c r="G1518" i="2"/>
  <c r="F1515" i="2"/>
  <c r="G1511" i="2"/>
  <c r="G1507" i="2"/>
  <c r="F1504" i="2"/>
  <c r="F1500" i="2"/>
  <c r="I1496" i="2"/>
  <c r="F1493" i="2"/>
  <c r="F1489" i="2"/>
  <c r="I1485" i="2"/>
  <c r="I1481" i="2"/>
  <c r="H1478" i="2"/>
  <c r="G1475" i="2"/>
  <c r="I1471" i="2"/>
  <c r="F1469" i="2"/>
  <c r="H1465" i="2"/>
  <c r="H1462" i="2"/>
  <c r="G1459" i="2"/>
  <c r="I1455" i="2"/>
  <c r="F1453" i="2"/>
  <c r="H1449" i="2"/>
  <c r="H1446" i="2"/>
  <c r="H1443" i="2"/>
  <c r="F1441" i="2"/>
  <c r="H1438" i="2"/>
  <c r="H1435" i="2"/>
  <c r="F1433" i="2"/>
  <c r="H1430" i="2"/>
  <c r="H1427" i="2"/>
  <c r="F1425" i="2"/>
  <c r="H1422" i="2"/>
  <c r="H1419" i="2"/>
  <c r="F1417" i="2"/>
  <c r="H1414" i="2"/>
  <c r="H1411" i="2"/>
  <c r="F1409" i="2"/>
  <c r="H1406" i="2"/>
  <c r="H1403" i="2"/>
  <c r="F1401" i="2"/>
  <c r="I1398" i="2"/>
  <c r="H1396" i="2"/>
  <c r="F1394" i="2"/>
  <c r="I1391" i="2"/>
  <c r="H1389" i="2"/>
  <c r="G1387" i="2"/>
  <c r="F1385" i="2"/>
  <c r="I1382" i="2"/>
  <c r="H1380" i="2"/>
  <c r="F1378" i="2"/>
  <c r="I1375" i="2"/>
  <c r="H1373" i="2"/>
  <c r="G1371" i="2"/>
  <c r="F1369" i="2"/>
  <c r="I1366" i="2"/>
  <c r="H1364" i="2"/>
  <c r="F1362" i="2"/>
  <c r="I1359" i="2"/>
  <c r="H1357" i="2"/>
  <c r="G1355" i="2"/>
  <c r="G1353" i="2"/>
  <c r="G1351" i="2"/>
  <c r="G1349" i="2"/>
  <c r="G1347" i="2"/>
  <c r="G1345" i="2"/>
  <c r="G1343" i="2"/>
  <c r="G1341" i="2"/>
  <c r="G1339" i="2"/>
  <c r="G1337" i="2"/>
  <c r="G1335" i="2"/>
  <c r="G1333" i="2"/>
  <c r="G1331" i="2"/>
  <c r="G1329" i="2"/>
  <c r="G1327" i="2"/>
  <c r="G1325" i="2"/>
  <c r="G1323" i="2"/>
  <c r="G1321" i="2"/>
  <c r="G1319" i="2"/>
  <c r="G1317" i="2"/>
  <c r="G1315" i="2"/>
  <c r="G1313" i="2"/>
  <c r="G1311" i="2"/>
  <c r="G1309" i="2"/>
  <c r="G1307" i="2"/>
  <c r="G1305" i="2"/>
  <c r="G1303" i="2"/>
  <c r="G1301" i="2"/>
  <c r="G1299" i="2"/>
  <c r="G1297" i="2"/>
  <c r="G1295" i="2"/>
  <c r="G1293" i="2"/>
  <c r="G1291" i="2"/>
  <c r="G1289" i="2"/>
  <c r="G1287" i="2"/>
  <c r="G1285" i="2"/>
  <c r="G1283" i="2"/>
  <c r="G1281" i="2"/>
  <c r="G1279" i="2"/>
  <c r="G1277" i="2"/>
  <c r="G1275" i="2"/>
  <c r="G1273" i="2"/>
  <c r="G1271" i="2"/>
  <c r="G1269" i="2"/>
  <c r="G1267" i="2"/>
  <c r="G1265" i="2"/>
  <c r="G1263" i="2"/>
  <c r="G1261" i="2"/>
  <c r="G1259" i="2"/>
  <c r="G1257" i="2"/>
  <c r="G1255" i="2"/>
  <c r="G1253" i="2"/>
  <c r="G1251" i="2"/>
  <c r="G1249" i="2"/>
  <c r="G1247" i="2"/>
  <c r="G1245" i="2"/>
  <c r="G1243" i="2"/>
  <c r="G1241" i="2"/>
  <c r="G1239" i="2"/>
  <c r="G1237" i="2"/>
  <c r="G1235" i="2"/>
  <c r="G1233" i="2"/>
  <c r="G1231" i="2"/>
  <c r="G1229" i="2"/>
  <c r="G1227" i="2"/>
  <c r="G1225" i="2"/>
  <c r="G1223" i="2"/>
  <c r="G1221" i="2"/>
  <c r="G1219" i="2"/>
  <c r="G1217" i="2"/>
  <c r="G1215" i="2"/>
  <c r="G1213" i="2"/>
  <c r="G1211" i="2"/>
  <c r="G1209" i="2"/>
  <c r="G1207" i="2"/>
  <c r="G1205" i="2"/>
  <c r="G1203" i="2"/>
  <c r="G1201" i="2"/>
  <c r="G1199" i="2"/>
  <c r="G1197" i="2"/>
  <c r="G1195" i="2"/>
  <c r="G1193" i="2"/>
  <c r="G1191" i="2"/>
  <c r="G1189" i="2"/>
  <c r="G1187" i="2"/>
  <c r="G1185" i="2"/>
  <c r="G1183" i="2"/>
  <c r="G1181" i="2"/>
  <c r="G1179" i="2"/>
  <c r="G1177" i="2"/>
  <c r="G1175" i="2"/>
  <c r="G1173" i="2"/>
  <c r="G1171" i="2"/>
  <c r="G1169" i="2"/>
  <c r="G1167" i="2"/>
  <c r="G1165" i="2"/>
  <c r="G1163" i="2"/>
  <c r="G1161" i="2"/>
  <c r="G1159" i="2"/>
  <c r="G1157" i="2"/>
  <c r="G1155" i="2"/>
  <c r="G1153" i="2"/>
  <c r="G1151" i="2"/>
  <c r="G1149" i="2"/>
  <c r="G1147" i="2"/>
  <c r="G1145" i="2"/>
  <c r="G1143" i="2"/>
  <c r="G1141" i="2"/>
  <c r="G1139" i="2"/>
  <c r="G1137" i="2"/>
  <c r="G1135" i="2"/>
  <c r="G1133" i="2"/>
  <c r="G1131" i="2"/>
  <c r="G1129" i="2"/>
  <c r="G1127" i="2"/>
  <c r="G1125" i="2"/>
  <c r="G1123" i="2"/>
  <c r="G1121" i="2"/>
  <c r="G1119" i="2"/>
  <c r="G1117" i="2"/>
  <c r="G1115" i="2"/>
  <c r="G1113" i="2"/>
  <c r="G1111" i="2"/>
  <c r="G1109" i="2"/>
  <c r="G1107" i="2"/>
  <c r="G1105" i="2"/>
  <c r="G1103" i="2"/>
  <c r="G1101" i="2"/>
  <c r="G1099" i="2"/>
  <c r="G1097" i="2"/>
  <c r="G1095" i="2"/>
  <c r="G1093" i="2"/>
  <c r="G1091" i="2"/>
  <c r="G1089" i="2"/>
  <c r="G1087" i="2"/>
  <c r="G1085" i="2"/>
  <c r="G1083" i="2"/>
  <c r="G1081" i="2"/>
  <c r="G1079" i="2"/>
  <c r="G1077" i="2"/>
  <c r="G1075" i="2"/>
  <c r="G1073" i="2"/>
  <c r="G1071" i="2"/>
  <c r="G1069" i="2"/>
  <c r="G1067" i="2"/>
  <c r="G1065" i="2"/>
  <c r="G1063" i="2"/>
  <c r="G1061" i="2"/>
  <c r="G1059" i="2"/>
  <c r="G1057" i="2"/>
  <c r="G1055" i="2"/>
  <c r="G1053" i="2"/>
  <c r="G1051" i="2"/>
  <c r="I2465" i="2"/>
  <c r="I2302" i="2"/>
  <c r="F2171" i="2"/>
  <c r="H2113" i="2"/>
  <c r="I2054" i="2"/>
  <c r="F2006" i="2"/>
  <c r="G1983" i="2"/>
  <c r="F1949" i="2"/>
  <c r="H1921" i="2"/>
  <c r="G1892" i="2"/>
  <c r="I1859" i="2"/>
  <c r="H1839" i="2"/>
  <c r="H1809" i="2"/>
  <c r="H1785" i="2"/>
  <c r="H1763" i="2"/>
  <c r="I1746" i="2"/>
  <c r="H1735" i="2"/>
  <c r="G1718" i="2"/>
  <c r="H1704" i="2"/>
  <c r="H1692" i="2"/>
  <c r="H1679" i="2"/>
  <c r="F1673" i="2"/>
  <c r="H1663" i="2"/>
  <c r="I1655" i="2"/>
  <c r="H1647" i="2"/>
  <c r="I1637" i="2"/>
  <c r="F1631" i="2"/>
  <c r="I1621" i="2"/>
  <c r="G1614" i="2"/>
  <c r="F1607" i="2"/>
  <c r="H1598" i="2"/>
  <c r="I1592" i="2"/>
  <c r="H1584" i="2"/>
  <c r="F1578" i="2"/>
  <c r="I1571" i="2"/>
  <c r="G1564" i="2"/>
  <c r="G1559" i="2"/>
  <c r="F1552" i="2"/>
  <c r="F1546" i="2"/>
  <c r="I1539" i="2"/>
  <c r="H1533" i="2"/>
  <c r="G1529" i="2"/>
  <c r="G1525" i="2"/>
  <c r="I1521" i="2"/>
  <c r="F1518" i="2"/>
  <c r="F1514" i="2"/>
  <c r="F1511" i="2"/>
  <c r="F1507" i="2"/>
  <c r="H1503" i="2"/>
  <c r="I1499" i="2"/>
  <c r="I1495" i="2"/>
  <c r="I1492" i="2"/>
  <c r="I1488" i="2"/>
  <c r="G1485" i="2"/>
  <c r="H1481" i="2"/>
  <c r="I1477" i="2"/>
  <c r="F1475" i="2"/>
  <c r="H1471" i="2"/>
  <c r="H1468" i="2"/>
  <c r="G1465" i="2"/>
  <c r="I1461" i="2"/>
  <c r="F1459" i="2"/>
  <c r="H1455" i="2"/>
  <c r="H1452" i="2"/>
  <c r="G1449" i="2"/>
  <c r="I1445" i="2"/>
  <c r="G1443" i="2"/>
  <c r="I1440" i="2"/>
  <c r="I1437" i="2"/>
  <c r="G1435" i="2"/>
  <c r="I1432" i="2"/>
  <c r="I1429" i="2"/>
  <c r="G1427" i="2"/>
  <c r="I1424" i="2"/>
  <c r="I1421" i="2"/>
  <c r="G1419" i="2"/>
  <c r="I1416" i="2"/>
  <c r="I1413" i="2"/>
  <c r="G1411" i="2"/>
  <c r="I1408" i="2"/>
  <c r="I1405" i="2"/>
  <c r="G1403" i="2"/>
  <c r="I1400" i="2"/>
  <c r="H1398" i="2"/>
  <c r="F1396" i="2"/>
  <c r="I1393" i="2"/>
  <c r="H1391" i="2"/>
  <c r="G1389" i="2"/>
  <c r="F1387" i="2"/>
  <c r="I1384" i="2"/>
  <c r="H1382" i="2"/>
  <c r="F1380" i="2"/>
  <c r="I1377" i="2"/>
  <c r="H1375" i="2"/>
  <c r="G1373" i="2"/>
  <c r="F1371" i="2"/>
  <c r="I1368" i="2"/>
  <c r="H1366" i="2"/>
  <c r="F1364" i="2"/>
  <c r="I1361" i="2"/>
  <c r="H1359" i="2"/>
  <c r="G1357" i="2"/>
  <c r="F1355" i="2"/>
  <c r="F1353" i="2"/>
  <c r="F1351" i="2"/>
  <c r="F1349" i="2"/>
  <c r="F1347" i="2"/>
  <c r="F1345" i="2"/>
  <c r="F1343" i="2"/>
  <c r="F1341" i="2"/>
  <c r="F1339" i="2"/>
  <c r="F1337" i="2"/>
  <c r="F1335" i="2"/>
  <c r="F1333" i="2"/>
  <c r="F1331" i="2"/>
  <c r="F1329" i="2"/>
  <c r="F1327" i="2"/>
  <c r="F1325" i="2"/>
  <c r="F1323" i="2"/>
  <c r="F1321" i="2"/>
  <c r="F1319" i="2"/>
  <c r="F1317" i="2"/>
  <c r="F1315" i="2"/>
  <c r="F1313" i="2"/>
  <c r="F1311" i="2"/>
  <c r="F1309" i="2"/>
  <c r="F1307" i="2"/>
  <c r="F1305" i="2"/>
  <c r="F1303" i="2"/>
  <c r="F1301" i="2"/>
  <c r="F1299" i="2"/>
  <c r="F1297" i="2"/>
  <c r="F1295" i="2"/>
  <c r="F1293" i="2"/>
  <c r="F1291" i="2"/>
  <c r="F1289" i="2"/>
  <c r="F1287" i="2"/>
  <c r="F1285" i="2"/>
  <c r="F1283" i="2"/>
  <c r="F1281" i="2"/>
  <c r="F1279" i="2"/>
  <c r="F1277" i="2"/>
  <c r="F1275" i="2"/>
  <c r="F1273" i="2"/>
  <c r="F1271" i="2"/>
  <c r="F1269" i="2"/>
  <c r="F1267" i="2"/>
  <c r="F1265" i="2"/>
  <c r="F1263" i="2"/>
  <c r="F1261" i="2"/>
  <c r="F1259" i="2"/>
  <c r="F1257" i="2"/>
  <c r="F1255" i="2"/>
  <c r="F1253" i="2"/>
  <c r="F1251" i="2"/>
  <c r="F1249" i="2"/>
  <c r="F1247" i="2"/>
  <c r="F1245" i="2"/>
  <c r="F1243" i="2"/>
  <c r="F1241" i="2"/>
  <c r="F1239" i="2"/>
  <c r="F1237" i="2"/>
  <c r="F1235" i="2"/>
  <c r="F1233" i="2"/>
  <c r="F1231" i="2"/>
  <c r="F1229" i="2"/>
  <c r="F1227" i="2"/>
  <c r="F1225" i="2"/>
  <c r="F1223" i="2"/>
  <c r="F1221" i="2"/>
  <c r="F1219" i="2"/>
  <c r="F1217" i="2"/>
  <c r="F1215" i="2"/>
  <c r="F1213" i="2"/>
  <c r="F1211" i="2"/>
  <c r="F1209" i="2"/>
  <c r="F1207" i="2"/>
  <c r="F1205" i="2"/>
  <c r="F1203" i="2"/>
  <c r="F1201" i="2"/>
  <c r="F1199" i="2"/>
  <c r="F1197" i="2"/>
  <c r="I2427" i="2"/>
  <c r="I2246" i="2"/>
  <c r="I2163" i="2"/>
  <c r="G2095" i="2"/>
  <c r="H2040" i="2"/>
  <c r="F2002" i="2"/>
  <c r="H1969" i="2"/>
  <c r="H1946" i="2"/>
  <c r="G1912" i="2"/>
  <c r="F1885" i="2"/>
  <c r="F1856" i="2"/>
  <c r="H1827" i="2"/>
  <c r="H1807" i="2"/>
  <c r="H1777" i="2"/>
  <c r="H1759" i="2"/>
  <c r="F1745" i="2"/>
  <c r="H1728" i="2"/>
  <c r="F1717" i="2"/>
  <c r="H1700" i="2"/>
  <c r="I1689" i="2"/>
  <c r="I1678" i="2"/>
  <c r="F1669" i="2"/>
  <c r="H1662" i="2"/>
  <c r="F1653" i="2"/>
  <c r="F1645" i="2"/>
  <c r="F1637" i="2"/>
  <c r="H1627" i="2"/>
  <c r="I1620" i="2"/>
  <c r="F1612" i="2"/>
  <c r="F1605" i="2"/>
  <c r="F1598" i="2"/>
  <c r="G1589" i="2"/>
  <c r="H1583" i="2"/>
  <c r="F1576" i="2"/>
  <c r="F1570" i="2"/>
  <c r="I1563" i="2"/>
  <c r="G1556" i="2"/>
  <c r="G1551" i="2"/>
  <c r="F1544" i="2"/>
  <c r="F1538" i="2"/>
  <c r="G1532" i="2"/>
  <c r="I1527" i="2"/>
  <c r="I1524" i="2"/>
  <c r="I1520" i="2"/>
  <c r="G1517" i="2"/>
  <c r="H1513" i="2"/>
  <c r="H1509" i="2"/>
  <c r="G1506" i="2"/>
  <c r="G1502" i="2"/>
  <c r="F1499" i="2"/>
  <c r="G1495" i="2"/>
  <c r="G1491" i="2"/>
  <c r="F1488" i="2"/>
  <c r="F1484" i="2"/>
  <c r="I1480" i="2"/>
  <c r="G1477" i="2"/>
  <c r="I1473" i="2"/>
  <c r="F1471" i="2"/>
  <c r="H1467" i="2"/>
  <c r="H1464" i="2"/>
  <c r="G1461" i="2"/>
  <c r="I1457" i="2"/>
  <c r="F1455" i="2"/>
  <c r="H1451" i="2"/>
  <c r="H1448" i="2"/>
  <c r="G1445" i="2"/>
  <c r="I1442" i="2"/>
  <c r="I1439" i="2"/>
  <c r="G1437" i="2"/>
  <c r="I1434" i="2"/>
  <c r="I1431" i="2"/>
  <c r="G1429" i="2"/>
  <c r="I1426" i="2"/>
  <c r="I1423" i="2"/>
  <c r="G1421" i="2"/>
  <c r="I1418" i="2"/>
  <c r="I1415" i="2"/>
  <c r="G1413" i="2"/>
  <c r="I1410" i="2"/>
  <c r="I1407" i="2"/>
  <c r="G1405" i="2"/>
  <c r="I1402" i="2"/>
  <c r="F1400" i="2"/>
  <c r="I1397" i="2"/>
  <c r="H1395" i="2"/>
  <c r="G1393" i="2"/>
  <c r="F1391" i="2"/>
  <c r="I1388" i="2"/>
  <c r="H1386" i="2"/>
  <c r="F1384" i="2"/>
  <c r="I1381" i="2"/>
  <c r="H1379" i="2"/>
  <c r="G1377" i="2"/>
  <c r="F1375" i="2"/>
  <c r="I1372" i="2"/>
  <c r="H1370" i="2"/>
  <c r="F1368" i="2"/>
  <c r="I1365" i="2"/>
  <c r="H1363" i="2"/>
  <c r="G1361" i="2"/>
  <c r="F1359" i="2"/>
  <c r="I1356" i="2"/>
  <c r="H1354" i="2"/>
  <c r="H1352" i="2"/>
  <c r="H1350" i="2"/>
  <c r="H1348" i="2"/>
  <c r="H1346" i="2"/>
  <c r="H1344" i="2"/>
  <c r="H1342" i="2"/>
  <c r="H1340" i="2"/>
  <c r="H1338" i="2"/>
  <c r="H1336" i="2"/>
  <c r="H1334" i="2"/>
  <c r="H1332" i="2"/>
  <c r="H1330" i="2"/>
  <c r="H1328" i="2"/>
  <c r="H1326" i="2"/>
  <c r="H1324" i="2"/>
  <c r="H1322" i="2"/>
  <c r="H1320" i="2"/>
  <c r="H1318" i="2"/>
  <c r="H1316" i="2"/>
  <c r="H1314" i="2"/>
  <c r="H1312" i="2"/>
  <c r="H1310" i="2"/>
  <c r="H1308" i="2"/>
  <c r="H1306" i="2"/>
  <c r="H1304" i="2"/>
  <c r="H1302" i="2"/>
  <c r="H1300" i="2"/>
  <c r="H1298" i="2"/>
  <c r="H1296" i="2"/>
  <c r="H1294" i="2"/>
  <c r="H1292" i="2"/>
  <c r="H1290" i="2"/>
  <c r="H1288" i="2"/>
  <c r="H1286" i="2"/>
  <c r="H1284" i="2"/>
  <c r="H1282" i="2"/>
  <c r="H1280" i="2"/>
  <c r="H1278" i="2"/>
  <c r="H1276" i="2"/>
  <c r="H1274" i="2"/>
  <c r="H1272" i="2"/>
  <c r="H1270" i="2"/>
  <c r="H1268" i="2"/>
  <c r="H1266" i="2"/>
  <c r="H1264" i="2"/>
  <c r="H1262" i="2"/>
  <c r="H1260" i="2"/>
  <c r="H1258" i="2"/>
  <c r="H1256" i="2"/>
  <c r="H1254" i="2"/>
  <c r="H1252" i="2"/>
  <c r="H1250" i="2"/>
  <c r="H1248" i="2"/>
  <c r="H1246" i="2"/>
  <c r="H1244" i="2"/>
  <c r="H1242" i="2"/>
  <c r="H1240" i="2"/>
  <c r="H1238" i="2"/>
  <c r="H1236" i="2"/>
  <c r="H1234" i="2"/>
  <c r="H1232" i="2"/>
  <c r="H1230" i="2"/>
  <c r="H1228" i="2"/>
  <c r="H1226" i="2"/>
  <c r="H1224" i="2"/>
  <c r="H1222" i="2"/>
  <c r="H1220" i="2"/>
  <c r="H1218" i="2"/>
  <c r="H1216" i="2"/>
  <c r="H1214" i="2"/>
  <c r="H1212" i="2"/>
  <c r="H1210" i="2"/>
  <c r="H1208" i="2"/>
  <c r="H1206" i="2"/>
  <c r="H1204" i="2"/>
  <c r="H1202" i="2"/>
  <c r="H1200" i="2"/>
  <c r="H1198" i="2"/>
  <c r="H1196" i="2"/>
  <c r="H1194" i="2"/>
  <c r="H1192" i="2"/>
  <c r="H1190" i="2"/>
  <c r="H1188" i="2"/>
  <c r="H1186" i="2"/>
  <c r="H1184" i="2"/>
  <c r="H1182" i="2"/>
  <c r="H1180" i="2"/>
  <c r="H1178" i="2"/>
  <c r="H1176" i="2"/>
  <c r="H1174" i="2"/>
  <c r="H1172" i="2"/>
  <c r="H1170" i="2"/>
  <c r="H1168" i="2"/>
  <c r="H1166" i="2"/>
  <c r="H1164" i="2"/>
  <c r="H1162" i="2"/>
  <c r="H1160" i="2"/>
  <c r="H1158" i="2"/>
  <c r="I2423" i="2"/>
  <c r="I2237" i="2"/>
  <c r="F2150" i="2"/>
  <c r="G2091" i="2"/>
  <c r="G2027" i="2"/>
  <c r="H2001" i="2"/>
  <c r="G1967" i="2"/>
  <c r="I1939" i="2"/>
  <c r="H1910" i="2"/>
  <c r="F1878" i="2"/>
  <c r="H1855" i="2"/>
  <c r="H1825" i="2"/>
  <c r="H1801" i="2"/>
  <c r="F1776" i="2"/>
  <c r="F1756" i="2"/>
  <c r="H1744" i="2"/>
  <c r="H1727" i="2"/>
  <c r="I1713" i="2"/>
  <c r="F1700" i="2"/>
  <c r="G1686" i="2"/>
  <c r="G1678" i="2"/>
  <c r="I1668" i="2"/>
  <c r="I1660" i="2"/>
  <c r="I1652" i="2"/>
  <c r="I1642" i="2"/>
  <c r="H1636" i="2"/>
  <c r="I1626" i="2"/>
  <c r="F1619" i="2"/>
  <c r="H1611" i="2"/>
  <c r="F1603" i="2"/>
  <c r="G1597" i="2"/>
  <c r="F1589" i="2"/>
  <c r="G1582" i="2"/>
  <c r="I1575" i="2"/>
  <c r="G1568" i="2"/>
  <c r="G1563" i="2"/>
  <c r="F1556" i="2"/>
  <c r="F1550" i="2"/>
  <c r="I1543" i="2"/>
  <c r="G1536" i="2"/>
  <c r="F1532" i="2"/>
  <c r="H1527" i="2"/>
  <c r="F1524" i="2"/>
  <c r="G1520" i="2"/>
  <c r="G1516" i="2"/>
  <c r="G1513" i="2"/>
  <c r="G1509" i="2"/>
  <c r="I1505" i="2"/>
  <c r="F1502" i="2"/>
  <c r="F1498" i="2"/>
  <c r="F1495" i="2"/>
  <c r="F1491" i="2"/>
  <c r="H1487" i="2"/>
  <c r="I1483" i="2"/>
  <c r="I1479" i="2"/>
  <c r="F1477" i="2"/>
  <c r="H1473" i="2"/>
  <c r="H1470" i="2"/>
  <c r="G1467" i="2"/>
  <c r="I1463" i="2"/>
  <c r="F1461" i="2"/>
  <c r="H1457" i="2"/>
  <c r="H1454" i="2"/>
  <c r="G1451" i="2"/>
  <c r="I1447" i="2"/>
  <c r="F1445" i="2"/>
  <c r="H1442" i="2"/>
  <c r="H1439" i="2"/>
  <c r="F1437" i="2"/>
  <c r="H1434" i="2"/>
  <c r="H1431" i="2"/>
  <c r="F1429" i="2"/>
  <c r="H1426" i="2"/>
  <c r="H1423" i="2"/>
  <c r="F1421" i="2"/>
  <c r="H1418" i="2"/>
  <c r="H1415" i="2"/>
  <c r="F1413" i="2"/>
  <c r="H1410" i="2"/>
  <c r="H1407" i="2"/>
  <c r="F1405" i="2"/>
  <c r="H1402" i="2"/>
  <c r="I1399" i="2"/>
  <c r="H1397" i="2"/>
  <c r="G1395" i="2"/>
  <c r="F1393" i="2"/>
  <c r="I1390" i="2"/>
  <c r="H1388" i="2"/>
  <c r="F1386" i="2"/>
  <c r="I1383" i="2"/>
  <c r="H1381" i="2"/>
  <c r="G1379" i="2"/>
  <c r="F1377" i="2"/>
  <c r="I1374" i="2"/>
  <c r="H1372" i="2"/>
  <c r="F1370" i="2"/>
  <c r="I1367" i="2"/>
  <c r="H1365" i="2"/>
  <c r="G1363" i="2"/>
  <c r="F1361" i="2"/>
  <c r="I1358" i="2"/>
  <c r="H1356" i="2"/>
  <c r="G1354" i="2"/>
  <c r="G1352" i="2"/>
  <c r="G1350" i="2"/>
  <c r="G1348" i="2"/>
  <c r="G1346" i="2"/>
  <c r="G1344" i="2"/>
  <c r="G1342" i="2"/>
  <c r="G1340" i="2"/>
  <c r="G1338" i="2"/>
  <c r="G1336" i="2"/>
  <c r="G1334" i="2"/>
  <c r="G1332" i="2"/>
  <c r="G1330" i="2"/>
  <c r="G1328" i="2"/>
  <c r="G1326" i="2"/>
  <c r="G1324" i="2"/>
  <c r="G1322" i="2"/>
  <c r="G1320" i="2"/>
  <c r="G1318" i="2"/>
  <c r="G1316" i="2"/>
  <c r="G1314" i="2"/>
  <c r="G1312" i="2"/>
  <c r="G1310" i="2"/>
  <c r="G1308" i="2"/>
  <c r="G1306" i="2"/>
  <c r="G1304" i="2"/>
  <c r="G1302" i="2"/>
  <c r="G1300" i="2"/>
  <c r="G1298" i="2"/>
  <c r="G1296" i="2"/>
  <c r="G1294" i="2"/>
  <c r="G1292" i="2"/>
  <c r="G1290" i="2"/>
  <c r="G1288" i="2"/>
  <c r="G1286" i="2"/>
  <c r="G1284" i="2"/>
  <c r="G1282" i="2"/>
  <c r="G1280" i="2"/>
  <c r="G1278" i="2"/>
  <c r="G1276" i="2"/>
  <c r="G1274" i="2"/>
  <c r="G1272" i="2"/>
  <c r="G1270" i="2"/>
  <c r="G1268" i="2"/>
  <c r="G1266" i="2"/>
  <c r="G1264" i="2"/>
  <c r="G1262" i="2"/>
  <c r="G1260" i="2"/>
  <c r="G1258" i="2"/>
  <c r="G1256" i="2"/>
  <c r="G1254" i="2"/>
  <c r="G1252" i="2"/>
  <c r="G1250" i="2"/>
  <c r="G1248" i="2"/>
  <c r="G1246" i="2"/>
  <c r="G1244" i="2"/>
  <c r="G1242" i="2"/>
  <c r="G1240" i="2"/>
  <c r="G1238" i="2"/>
  <c r="G1236" i="2"/>
  <c r="G1234" i="2"/>
  <c r="G1232" i="2"/>
  <c r="G1230" i="2"/>
  <c r="G1228" i="2"/>
  <c r="G1226" i="2"/>
  <c r="G1224" i="2"/>
  <c r="G1222" i="2"/>
  <c r="G1220" i="2"/>
  <c r="G1218" i="2"/>
  <c r="G1216" i="2"/>
  <c r="G1214" i="2"/>
  <c r="G1212" i="2"/>
  <c r="G1210" i="2"/>
  <c r="G1208" i="2"/>
  <c r="G1206" i="2"/>
  <c r="G1204" i="2"/>
  <c r="G1202" i="2"/>
  <c r="G1200" i="2"/>
  <c r="G1198" i="2"/>
  <c r="G1196" i="2"/>
  <c r="G1194" i="2"/>
  <c r="G1192" i="2"/>
  <c r="G1190" i="2"/>
  <c r="G1188" i="2"/>
  <c r="G1186" i="2"/>
  <c r="G1184" i="2"/>
  <c r="G1182" i="2"/>
  <c r="G1180" i="2"/>
  <c r="G1178" i="2"/>
  <c r="G1176" i="2"/>
  <c r="G1174" i="2"/>
  <c r="G1172" i="2"/>
  <c r="G1170" i="2"/>
  <c r="G1168" i="2"/>
  <c r="G1166" i="2"/>
  <c r="G1164" i="2"/>
  <c r="G1162" i="2"/>
  <c r="G1160" i="2"/>
  <c r="G1158" i="2"/>
  <c r="G2444" i="2"/>
  <c r="H2164" i="2"/>
  <c r="F2054" i="2"/>
  <c r="G1976" i="2"/>
  <c r="H1914" i="2"/>
  <c r="H1857" i="2"/>
  <c r="F1808" i="2"/>
  <c r="I1762" i="2"/>
  <c r="F1732" i="2"/>
  <c r="F1701" i="2"/>
  <c r="F1679" i="2"/>
  <c r="F1663" i="2"/>
  <c r="I1646" i="2"/>
  <c r="I1629" i="2"/>
  <c r="G1612" i="2"/>
  <c r="G1598" i="2"/>
  <c r="G1584" i="2"/>
  <c r="G1571" i="2"/>
  <c r="F1558" i="2"/>
  <c r="G1544" i="2"/>
  <c r="G1533" i="2"/>
  <c r="F1525" i="2"/>
  <c r="I1517" i="2"/>
  <c r="G1510" i="2"/>
  <c r="I1502" i="2"/>
  <c r="H1495" i="2"/>
  <c r="G1488" i="2"/>
  <c r="G1481" i="2"/>
  <c r="H1474" i="2"/>
  <c r="I1467" i="2"/>
  <c r="H1461" i="2"/>
  <c r="G1455" i="2"/>
  <c r="F1449" i="2"/>
  <c r="F1443" i="2"/>
  <c r="H1437" i="2"/>
  <c r="H1432" i="2"/>
  <c r="F1427" i="2"/>
  <c r="H1421" i="2"/>
  <c r="H1416" i="2"/>
  <c r="F1411" i="2"/>
  <c r="H1405" i="2"/>
  <c r="H1400" i="2"/>
  <c r="I1395" i="2"/>
  <c r="G1391" i="2"/>
  <c r="I1386" i="2"/>
  <c r="F1382" i="2"/>
  <c r="H1377" i="2"/>
  <c r="F1373" i="2"/>
  <c r="H1368" i="2"/>
  <c r="I1363" i="2"/>
  <c r="G1359" i="2"/>
  <c r="I1354" i="2"/>
  <c r="I1350" i="2"/>
  <c r="I1346" i="2"/>
  <c r="I1342" i="2"/>
  <c r="I1338" i="2"/>
  <c r="I1334" i="2"/>
  <c r="I1330" i="2"/>
  <c r="I1326" i="2"/>
  <c r="I1322" i="2"/>
  <c r="I1318" i="2"/>
  <c r="I1314" i="2"/>
  <c r="I1310" i="2"/>
  <c r="I1306" i="2"/>
  <c r="I1302" i="2"/>
  <c r="I1298" i="2"/>
  <c r="I1294" i="2"/>
  <c r="I1290" i="2"/>
  <c r="I1286" i="2"/>
  <c r="I1282" i="2"/>
  <c r="I1278" i="2"/>
  <c r="I1274" i="2"/>
  <c r="I1270" i="2"/>
  <c r="I1266" i="2"/>
  <c r="I1262" i="2"/>
  <c r="I1258" i="2"/>
  <c r="I1254" i="2"/>
  <c r="I1250" i="2"/>
  <c r="I1246" i="2"/>
  <c r="I1242" i="2"/>
  <c r="I1238" i="2"/>
  <c r="I1234" i="2"/>
  <c r="I1230" i="2"/>
  <c r="I1226" i="2"/>
  <c r="I1222" i="2"/>
  <c r="I1218" i="2"/>
  <c r="I1214" i="2"/>
  <c r="I1210" i="2"/>
  <c r="I1206" i="2"/>
  <c r="I1202" i="2"/>
  <c r="I1198" i="2"/>
  <c r="F1195" i="2"/>
  <c r="I1191" i="2"/>
  <c r="I1188" i="2"/>
  <c r="H1185" i="2"/>
  <c r="F1182" i="2"/>
  <c r="F1179" i="2"/>
  <c r="I1175" i="2"/>
  <c r="I1172" i="2"/>
  <c r="H1169" i="2"/>
  <c r="F1166" i="2"/>
  <c r="F1163" i="2"/>
  <c r="I1159" i="2"/>
  <c r="I1156" i="2"/>
  <c r="H1154" i="2"/>
  <c r="G1152" i="2"/>
  <c r="F1150" i="2"/>
  <c r="I1147" i="2"/>
  <c r="H1145" i="2"/>
  <c r="F1143" i="2"/>
  <c r="I1140" i="2"/>
  <c r="H1138" i="2"/>
  <c r="G1136" i="2"/>
  <c r="F1134" i="2"/>
  <c r="I1131" i="2"/>
  <c r="H1129" i="2"/>
  <c r="F1127" i="2"/>
  <c r="I1124" i="2"/>
  <c r="H1122" i="2"/>
  <c r="G1120" i="2"/>
  <c r="F1118" i="2"/>
  <c r="I1115" i="2"/>
  <c r="H1113" i="2"/>
  <c r="F1111" i="2"/>
  <c r="I1108" i="2"/>
  <c r="H1106" i="2"/>
  <c r="G1104" i="2"/>
  <c r="F1102" i="2"/>
  <c r="I1099" i="2"/>
  <c r="H1097" i="2"/>
  <c r="F1095" i="2"/>
  <c r="I1092" i="2"/>
  <c r="H1090" i="2"/>
  <c r="G1088" i="2"/>
  <c r="F1086" i="2"/>
  <c r="I1083" i="2"/>
  <c r="H1081" i="2"/>
  <c r="F1079" i="2"/>
  <c r="I1076" i="2"/>
  <c r="H1074" i="2"/>
  <c r="G1072" i="2"/>
  <c r="F1070" i="2"/>
  <c r="I1067" i="2"/>
  <c r="H1065" i="2"/>
  <c r="F1063" i="2"/>
  <c r="I1060" i="2"/>
  <c r="H1058" i="2"/>
  <c r="G1056" i="2"/>
  <c r="F1054" i="2"/>
  <c r="I1051" i="2"/>
  <c r="H1049" i="2"/>
  <c r="H1047" i="2"/>
  <c r="H1045" i="2"/>
  <c r="H1043" i="2"/>
  <c r="H1041" i="2"/>
  <c r="H1039" i="2"/>
  <c r="H1037" i="2"/>
  <c r="H1035" i="2"/>
  <c r="H1033" i="2"/>
  <c r="H1031" i="2"/>
  <c r="H1029" i="2"/>
  <c r="H1027" i="2"/>
  <c r="H1025" i="2"/>
  <c r="H1023" i="2"/>
  <c r="H1021" i="2"/>
  <c r="H1019" i="2"/>
  <c r="H1017" i="2"/>
  <c r="H1015" i="2"/>
  <c r="H1013" i="2"/>
  <c r="H1011" i="2"/>
  <c r="H1009" i="2"/>
  <c r="H1007" i="2"/>
  <c r="H1005" i="2"/>
  <c r="H1003" i="2"/>
  <c r="H1001" i="2"/>
  <c r="H999" i="2"/>
  <c r="H997" i="2"/>
  <c r="H995" i="2"/>
  <c r="H993" i="2"/>
  <c r="H991" i="2"/>
  <c r="H989" i="2"/>
  <c r="H987" i="2"/>
  <c r="H985" i="2"/>
  <c r="H983" i="2"/>
  <c r="H981" i="2"/>
  <c r="H979" i="2"/>
  <c r="H977" i="2"/>
  <c r="H975" i="2"/>
  <c r="H973" i="2"/>
  <c r="H971" i="2"/>
  <c r="H969" i="2"/>
  <c r="H967" i="2"/>
  <c r="H965" i="2"/>
  <c r="H963" i="2"/>
  <c r="H961" i="2"/>
  <c r="H959" i="2"/>
  <c r="H957" i="2"/>
  <c r="H955" i="2"/>
  <c r="H953" i="2"/>
  <c r="H951" i="2"/>
  <c r="H949" i="2"/>
  <c r="H947" i="2"/>
  <c r="H945" i="2"/>
  <c r="H943" i="2"/>
  <c r="H941" i="2"/>
  <c r="H939" i="2"/>
  <c r="H937" i="2"/>
  <c r="H935" i="2"/>
  <c r="H933" i="2"/>
  <c r="H931" i="2"/>
  <c r="H929" i="2"/>
  <c r="H927" i="2"/>
  <c r="H925" i="2"/>
  <c r="H923" i="2"/>
  <c r="H921" i="2"/>
  <c r="H919" i="2"/>
  <c r="H917" i="2"/>
  <c r="H915" i="2"/>
  <c r="H913" i="2"/>
  <c r="H911" i="2"/>
  <c r="H909" i="2"/>
  <c r="H907" i="2"/>
  <c r="H905" i="2"/>
  <c r="H903" i="2"/>
  <c r="H901" i="2"/>
  <c r="H899" i="2"/>
  <c r="H897" i="2"/>
  <c r="H895" i="2"/>
  <c r="H893" i="2"/>
  <c r="H891" i="2"/>
  <c r="H889" i="2"/>
  <c r="H887" i="2"/>
  <c r="H885" i="2"/>
  <c r="H883" i="2"/>
  <c r="H881" i="2"/>
  <c r="G2372" i="2"/>
  <c r="H2136" i="2"/>
  <c r="G2023" i="2"/>
  <c r="H1965" i="2"/>
  <c r="F1910" i="2"/>
  <c r="H1849" i="2"/>
  <c r="H1795" i="2"/>
  <c r="I1754" i="2"/>
  <c r="I1726" i="2"/>
  <c r="F1699" i="2"/>
  <c r="H1676" i="2"/>
  <c r="H1658" i="2"/>
  <c r="H1642" i="2"/>
  <c r="H1626" i="2"/>
  <c r="F1611" i="2"/>
  <c r="F1596" i="2"/>
  <c r="G1580" i="2"/>
  <c r="F1568" i="2"/>
  <c r="I1555" i="2"/>
  <c r="G1543" i="2"/>
  <c r="H1531" i="2"/>
  <c r="G1523" i="2"/>
  <c r="F1516" i="2"/>
  <c r="F1509" i="2"/>
  <c r="I1501" i="2"/>
  <c r="G1494" i="2"/>
  <c r="I1486" i="2"/>
  <c r="H1479" i="2"/>
  <c r="G1473" i="2"/>
  <c r="F1467" i="2"/>
  <c r="H1460" i="2"/>
  <c r="I1453" i="2"/>
  <c r="H1447" i="2"/>
  <c r="I1441" i="2"/>
  <c r="I1436" i="2"/>
  <c r="G1431" i="2"/>
  <c r="I1425" i="2"/>
  <c r="I1420" i="2"/>
  <c r="G1415" i="2"/>
  <c r="I1409" i="2"/>
  <c r="I1404" i="2"/>
  <c r="H1399" i="2"/>
  <c r="F1395" i="2"/>
  <c r="H1390" i="2"/>
  <c r="I1385" i="2"/>
  <c r="G1381" i="2"/>
  <c r="I1376" i="2"/>
  <c r="F1372" i="2"/>
  <c r="H1367" i="2"/>
  <c r="F1363" i="2"/>
  <c r="H1358" i="2"/>
  <c r="F1354" i="2"/>
  <c r="F1350" i="2"/>
  <c r="F1346" i="2"/>
  <c r="F1342" i="2"/>
  <c r="F1338" i="2"/>
  <c r="F1334" i="2"/>
  <c r="F1330" i="2"/>
  <c r="F1326" i="2"/>
  <c r="F1322" i="2"/>
  <c r="F1318" i="2"/>
  <c r="F1314" i="2"/>
  <c r="F1310" i="2"/>
  <c r="F1306" i="2"/>
  <c r="F1302" i="2"/>
  <c r="F1298" i="2"/>
  <c r="F1294" i="2"/>
  <c r="F1290" i="2"/>
  <c r="F1286" i="2"/>
  <c r="F1282" i="2"/>
  <c r="F1278" i="2"/>
  <c r="F1274" i="2"/>
  <c r="F1270" i="2"/>
  <c r="F1266" i="2"/>
  <c r="F1262" i="2"/>
  <c r="F1258" i="2"/>
  <c r="F1254" i="2"/>
  <c r="F1250" i="2"/>
  <c r="F1246" i="2"/>
  <c r="F1242" i="2"/>
  <c r="F1238" i="2"/>
  <c r="F1234" i="2"/>
  <c r="F1230" i="2"/>
  <c r="F1226" i="2"/>
  <c r="F1222" i="2"/>
  <c r="F1218" i="2"/>
  <c r="F1214" i="2"/>
  <c r="F1210" i="2"/>
  <c r="F1206" i="2"/>
  <c r="F1202" i="2"/>
  <c r="F1198" i="2"/>
  <c r="I1194" i="2"/>
  <c r="H1191" i="2"/>
  <c r="F1188" i="2"/>
  <c r="F1185" i="2"/>
  <c r="I1181" i="2"/>
  <c r="I1178" i="2"/>
  <c r="H1175" i="2"/>
  <c r="F1172" i="2"/>
  <c r="F1169" i="2"/>
  <c r="I1165" i="2"/>
  <c r="I1162" i="2"/>
  <c r="H1159" i="2"/>
  <c r="H1156" i="2"/>
  <c r="G1154" i="2"/>
  <c r="F1152" i="2"/>
  <c r="I1149" i="2"/>
  <c r="H1147" i="2"/>
  <c r="F1145" i="2"/>
  <c r="I1142" i="2"/>
  <c r="H1140" i="2"/>
  <c r="G1138" i="2"/>
  <c r="F1136" i="2"/>
  <c r="I1133" i="2"/>
  <c r="H1131" i="2"/>
  <c r="F1129" i="2"/>
  <c r="I1126" i="2"/>
  <c r="H1124" i="2"/>
  <c r="G1122" i="2"/>
  <c r="F1120" i="2"/>
  <c r="I1117" i="2"/>
  <c r="H1115" i="2"/>
  <c r="F1113" i="2"/>
  <c r="I1110" i="2"/>
  <c r="H1108" i="2"/>
  <c r="G1106" i="2"/>
  <c r="F1104" i="2"/>
  <c r="I1101" i="2"/>
  <c r="H1099" i="2"/>
  <c r="F1097" i="2"/>
  <c r="I1094" i="2"/>
  <c r="H1092" i="2"/>
  <c r="G1090" i="2"/>
  <c r="F1088" i="2"/>
  <c r="I1085" i="2"/>
  <c r="H1083" i="2"/>
  <c r="F1081" i="2"/>
  <c r="I1078" i="2"/>
  <c r="H1076" i="2"/>
  <c r="G1074" i="2"/>
  <c r="F1072" i="2"/>
  <c r="I1069" i="2"/>
  <c r="H1067" i="2"/>
  <c r="F1065" i="2"/>
  <c r="I1062" i="2"/>
  <c r="H1060" i="2"/>
  <c r="G1058" i="2"/>
  <c r="F1056" i="2"/>
  <c r="I1053" i="2"/>
  <c r="H1051" i="2"/>
  <c r="G1049" i="2"/>
  <c r="G1047" i="2"/>
  <c r="G1045" i="2"/>
  <c r="G1043" i="2"/>
  <c r="G1041" i="2"/>
  <c r="G1039" i="2"/>
  <c r="G1037" i="2"/>
  <c r="G1035" i="2"/>
  <c r="G1033" i="2"/>
  <c r="G1031" i="2"/>
  <c r="G1029" i="2"/>
  <c r="G1027" i="2"/>
  <c r="G1025" i="2"/>
  <c r="G1023" i="2"/>
  <c r="G1021" i="2"/>
  <c r="G1019" i="2"/>
  <c r="G1017" i="2"/>
  <c r="G1015" i="2"/>
  <c r="G1013" i="2"/>
  <c r="G1011" i="2"/>
  <c r="G1009" i="2"/>
  <c r="G1007" i="2"/>
  <c r="G1005" i="2"/>
  <c r="G1003" i="2"/>
  <c r="G1001" i="2"/>
  <c r="G999" i="2"/>
  <c r="G997" i="2"/>
  <c r="G995" i="2"/>
  <c r="G993" i="2"/>
  <c r="G991" i="2"/>
  <c r="G989" i="2"/>
  <c r="G987" i="2"/>
  <c r="G985" i="2"/>
  <c r="G983" i="2"/>
  <c r="G981" i="2"/>
  <c r="G979" i="2"/>
  <c r="G977" i="2"/>
  <c r="G975" i="2"/>
  <c r="G973" i="2"/>
  <c r="G971" i="2"/>
  <c r="G969" i="2"/>
  <c r="G967" i="2"/>
  <c r="G965" i="2"/>
  <c r="G963" i="2"/>
  <c r="G961" i="2"/>
  <c r="G959" i="2"/>
  <c r="G957" i="2"/>
  <c r="G955" i="2"/>
  <c r="G953" i="2"/>
  <c r="G951" i="2"/>
  <c r="G949" i="2"/>
  <c r="G947" i="2"/>
  <c r="G945" i="2"/>
  <c r="G943" i="2"/>
  <c r="G941" i="2"/>
  <c r="G939" i="2"/>
  <c r="G937" i="2"/>
  <c r="G935" i="2"/>
  <c r="G933" i="2"/>
  <c r="G931" i="2"/>
  <c r="G929" i="2"/>
  <c r="G927" i="2"/>
  <c r="G925" i="2"/>
  <c r="G923" i="2"/>
  <c r="G921" i="2"/>
  <c r="G919" i="2"/>
  <c r="G917" i="2"/>
  <c r="G915" i="2"/>
  <c r="G913" i="2"/>
  <c r="G911" i="2"/>
  <c r="G909" i="2"/>
  <c r="G907" i="2"/>
  <c r="G905" i="2"/>
  <c r="G903" i="2"/>
  <c r="G901" i="2"/>
  <c r="G899" i="2"/>
  <c r="G897" i="2"/>
  <c r="G895" i="2"/>
  <c r="G893" i="2"/>
  <c r="G891" i="2"/>
  <c r="G889" i="2"/>
  <c r="G887" i="2"/>
  <c r="G885" i="2"/>
  <c r="G883" i="2"/>
  <c r="G881" i="2"/>
  <c r="G879" i="2"/>
  <c r="G877" i="2"/>
  <c r="G875" i="2"/>
  <c r="G2324" i="2"/>
  <c r="I2131" i="2"/>
  <c r="H2020" i="2"/>
  <c r="F1965" i="2"/>
  <c r="G1903" i="2"/>
  <c r="H1843" i="2"/>
  <c r="H1793" i="2"/>
  <c r="G1754" i="2"/>
  <c r="G1726" i="2"/>
  <c r="I1696" i="2"/>
  <c r="G1674" i="2"/>
  <c r="G1658" i="2"/>
  <c r="G1642" i="2"/>
  <c r="F1626" i="2"/>
  <c r="H1609" i="2"/>
  <c r="F1594" i="2"/>
  <c r="F1580" i="2"/>
  <c r="I1567" i="2"/>
  <c r="G1555" i="2"/>
  <c r="F1542" i="2"/>
  <c r="F1530" i="2"/>
  <c r="F1523" i="2"/>
  <c r="I1515" i="2"/>
  <c r="I1508" i="2"/>
  <c r="G1501" i="2"/>
  <c r="H1493" i="2"/>
  <c r="G1486" i="2"/>
  <c r="G1479" i="2"/>
  <c r="F1473" i="2"/>
  <c r="H1466" i="2"/>
  <c r="I1459" i="2"/>
  <c r="H1453" i="2"/>
  <c r="G1447" i="2"/>
  <c r="H1441" i="2"/>
  <c r="H1436" i="2"/>
  <c r="F1431" i="2"/>
  <c r="H1425" i="2"/>
  <c r="H1420" i="2"/>
  <c r="F1415" i="2"/>
  <c r="H1409" i="2"/>
  <c r="H1404" i="2"/>
  <c r="G1399" i="2"/>
  <c r="I1394" i="2"/>
  <c r="F1390" i="2"/>
  <c r="H1385" i="2"/>
  <c r="F1381" i="2"/>
  <c r="H1376" i="2"/>
  <c r="I1371" i="2"/>
  <c r="G1367" i="2"/>
  <c r="I1362" i="2"/>
  <c r="F1358" i="2"/>
  <c r="I1353" i="2"/>
  <c r="I1349" i="2"/>
  <c r="I1345" i="2"/>
  <c r="I1341" i="2"/>
  <c r="I1337" i="2"/>
  <c r="I1333" i="2"/>
  <c r="I1329" i="2"/>
  <c r="I1325" i="2"/>
  <c r="I1321" i="2"/>
  <c r="I1317" i="2"/>
  <c r="I1313" i="2"/>
  <c r="I1309" i="2"/>
  <c r="I1305" i="2"/>
  <c r="I1301" i="2"/>
  <c r="I1297" i="2"/>
  <c r="I1293" i="2"/>
  <c r="I1289" i="2"/>
  <c r="I1285" i="2"/>
  <c r="I1281" i="2"/>
  <c r="I1277" i="2"/>
  <c r="I1273" i="2"/>
  <c r="I1269" i="2"/>
  <c r="I1265" i="2"/>
  <c r="I1261" i="2"/>
  <c r="I1257" i="2"/>
  <c r="I1253" i="2"/>
  <c r="I1249" i="2"/>
  <c r="I1245" i="2"/>
  <c r="I1241" i="2"/>
  <c r="I1237" i="2"/>
  <c r="I1233" i="2"/>
  <c r="I1229" i="2"/>
  <c r="I1225" i="2"/>
  <c r="I1221" i="2"/>
  <c r="I1217" i="2"/>
  <c r="I1213" i="2"/>
  <c r="I1209" i="2"/>
  <c r="I1205" i="2"/>
  <c r="I1201" i="2"/>
  <c r="I1197" i="2"/>
  <c r="F1194" i="2"/>
  <c r="F1191" i="2"/>
  <c r="I1187" i="2"/>
  <c r="I1184" i="2"/>
  <c r="H1181" i="2"/>
  <c r="F1178" i="2"/>
  <c r="F1175" i="2"/>
  <c r="I1171" i="2"/>
  <c r="I1168" i="2"/>
  <c r="H1165" i="2"/>
  <c r="F1162" i="2"/>
  <c r="F1159" i="2"/>
  <c r="G1156" i="2"/>
  <c r="F1154" i="2"/>
  <c r="I1151" i="2"/>
  <c r="H1149" i="2"/>
  <c r="F1147" i="2"/>
  <c r="I1144" i="2"/>
  <c r="H1142" i="2"/>
  <c r="G1140" i="2"/>
  <c r="F1138" i="2"/>
  <c r="I1135" i="2"/>
  <c r="H1133" i="2"/>
  <c r="F1131" i="2"/>
  <c r="I1128" i="2"/>
  <c r="H1126" i="2"/>
  <c r="G1124" i="2"/>
  <c r="F1122" i="2"/>
  <c r="I1119" i="2"/>
  <c r="H1117" i="2"/>
  <c r="F1115" i="2"/>
  <c r="I1112" i="2"/>
  <c r="H1110" i="2"/>
  <c r="G1108" i="2"/>
  <c r="F1106" i="2"/>
  <c r="I1103" i="2"/>
  <c r="H1101" i="2"/>
  <c r="F1099" i="2"/>
  <c r="I1096" i="2"/>
  <c r="H1094" i="2"/>
  <c r="G1092" i="2"/>
  <c r="F1090" i="2"/>
  <c r="I1087" i="2"/>
  <c r="H1085" i="2"/>
  <c r="F1083" i="2"/>
  <c r="I1080" i="2"/>
  <c r="H1078" i="2"/>
  <c r="G1076" i="2"/>
  <c r="F1074" i="2"/>
  <c r="I1071" i="2"/>
  <c r="H1069" i="2"/>
  <c r="F1067" i="2"/>
  <c r="I1064" i="2"/>
  <c r="H1062" i="2"/>
  <c r="G1060" i="2"/>
  <c r="F1058" i="2"/>
  <c r="I1055" i="2"/>
  <c r="H1053" i="2"/>
  <c r="F1051" i="2"/>
  <c r="F1049" i="2"/>
  <c r="F1047" i="2"/>
  <c r="F1045" i="2"/>
  <c r="F1043" i="2"/>
  <c r="F1041" i="2"/>
  <c r="F1039" i="2"/>
  <c r="F1037" i="2"/>
  <c r="F1035" i="2"/>
  <c r="F1033" i="2"/>
  <c r="F1031" i="2"/>
  <c r="F1029" i="2"/>
  <c r="F1027" i="2"/>
  <c r="F1025" i="2"/>
  <c r="F1023" i="2"/>
  <c r="F1021" i="2"/>
  <c r="F1019" i="2"/>
  <c r="F1017" i="2"/>
  <c r="F1015" i="2"/>
  <c r="F1013" i="2"/>
  <c r="F1011" i="2"/>
  <c r="F1009" i="2"/>
  <c r="F1007" i="2"/>
  <c r="F1005" i="2"/>
  <c r="F1003" i="2"/>
  <c r="F1001" i="2"/>
  <c r="F999" i="2"/>
  <c r="F997" i="2"/>
  <c r="F995" i="2"/>
  <c r="F993" i="2"/>
  <c r="F991" i="2"/>
  <c r="F989" i="2"/>
  <c r="F987" i="2"/>
  <c r="F985" i="2"/>
  <c r="F983" i="2"/>
  <c r="F981" i="2"/>
  <c r="F979" i="2"/>
  <c r="F977" i="2"/>
  <c r="F975" i="2"/>
  <c r="F973" i="2"/>
  <c r="F971" i="2"/>
  <c r="F969" i="2"/>
  <c r="F967" i="2"/>
  <c r="F965" i="2"/>
  <c r="F963" i="2"/>
  <c r="F961" i="2"/>
  <c r="F959" i="2"/>
  <c r="F957" i="2"/>
  <c r="F955" i="2"/>
  <c r="F953" i="2"/>
  <c r="F951" i="2"/>
  <c r="F949" i="2"/>
  <c r="F947" i="2"/>
  <c r="F945" i="2"/>
  <c r="F943" i="2"/>
  <c r="F941" i="2"/>
  <c r="F939" i="2"/>
  <c r="F937" i="2"/>
  <c r="F935" i="2"/>
  <c r="F933" i="2"/>
  <c r="F931" i="2"/>
  <c r="F929" i="2"/>
  <c r="F927" i="2"/>
  <c r="F925" i="2"/>
  <c r="F923" i="2"/>
  <c r="F921" i="2"/>
  <c r="F919" i="2"/>
  <c r="F917" i="2"/>
  <c r="F915" i="2"/>
  <c r="F913" i="2"/>
  <c r="F911" i="2"/>
  <c r="F909" i="2"/>
  <c r="F907" i="2"/>
  <c r="F905" i="2"/>
  <c r="F903" i="2"/>
  <c r="F901" i="2"/>
  <c r="F899" i="2"/>
  <c r="F897" i="2"/>
  <c r="F895" i="2"/>
  <c r="F893" i="2"/>
  <c r="F891" i="2"/>
  <c r="F889" i="2"/>
  <c r="F887" i="2"/>
  <c r="F885" i="2"/>
  <c r="F883" i="2"/>
  <c r="F881" i="2"/>
  <c r="F879" i="2"/>
  <c r="F877" i="2"/>
  <c r="F875" i="2"/>
  <c r="F873" i="2"/>
  <c r="F871" i="2"/>
  <c r="F869" i="2"/>
  <c r="F867" i="2"/>
  <c r="F865" i="2"/>
  <c r="F863" i="2"/>
  <c r="F861" i="2"/>
  <c r="F859" i="2"/>
  <c r="F857" i="2"/>
  <c r="F855" i="2"/>
  <c r="F853" i="2"/>
  <c r="F851" i="2"/>
  <c r="F849" i="2"/>
  <c r="F847" i="2"/>
  <c r="F845" i="2"/>
  <c r="F843" i="2"/>
  <c r="F841" i="2"/>
  <c r="I2313" i="2"/>
  <c r="I2127" i="2"/>
  <c r="I2019" i="2"/>
  <c r="F1958" i="2"/>
  <c r="G1896" i="2"/>
  <c r="H1841" i="2"/>
  <c r="F1792" i="2"/>
  <c r="I1753" i="2"/>
  <c r="I1722" i="2"/>
  <c r="I1693" i="2"/>
  <c r="F1674" i="2"/>
  <c r="F1658" i="2"/>
  <c r="I1641" i="2"/>
  <c r="G1624" i="2"/>
  <c r="H1607" i="2"/>
  <c r="H1593" i="2"/>
  <c r="I1579" i="2"/>
  <c r="G1567" i="2"/>
  <c r="F1554" i="2"/>
  <c r="G1540" i="2"/>
  <c r="I1529" i="2"/>
  <c r="I1522" i="2"/>
  <c r="H1515" i="2"/>
  <c r="F1508" i="2"/>
  <c r="G1500" i="2"/>
  <c r="G1493" i="2"/>
  <c r="F1486" i="2"/>
  <c r="F1479" i="2"/>
  <c r="H1472" i="2"/>
  <c r="I1465" i="2"/>
  <c r="H1459" i="2"/>
  <c r="G1453" i="2"/>
  <c r="F1447" i="2"/>
  <c r="G1441" i="2"/>
  <c r="I1435" i="2"/>
  <c r="I1430" i="2"/>
  <c r="G1425" i="2"/>
  <c r="I1419" i="2"/>
  <c r="I1414" i="2"/>
  <c r="G1409" i="2"/>
  <c r="I1403" i="2"/>
  <c r="F1399" i="2"/>
  <c r="H1394" i="2"/>
  <c r="I1389" i="2"/>
  <c r="G1385" i="2"/>
  <c r="I1380" i="2"/>
  <c r="F1376" i="2"/>
  <c r="H1371" i="2"/>
  <c r="F1367" i="2"/>
  <c r="H1362" i="2"/>
  <c r="I1357" i="2"/>
  <c r="H1353" i="2"/>
  <c r="H1349" i="2"/>
  <c r="H1345" i="2"/>
  <c r="H1341" i="2"/>
  <c r="H1337" i="2"/>
  <c r="H1333" i="2"/>
  <c r="H1329" i="2"/>
  <c r="H1325" i="2"/>
  <c r="H1321" i="2"/>
  <c r="H1317" i="2"/>
  <c r="H1313" i="2"/>
  <c r="H1309" i="2"/>
  <c r="H1305" i="2"/>
  <c r="H1301" i="2"/>
  <c r="H1297" i="2"/>
  <c r="H1293" i="2"/>
  <c r="H1289" i="2"/>
  <c r="H1285" i="2"/>
  <c r="H1281" i="2"/>
  <c r="H1277" i="2"/>
  <c r="H1273" i="2"/>
  <c r="H1269" i="2"/>
  <c r="H1265" i="2"/>
  <c r="H1261" i="2"/>
  <c r="H1257" i="2"/>
  <c r="H1253" i="2"/>
  <c r="H1249" i="2"/>
  <c r="H1245" i="2"/>
  <c r="H1241" i="2"/>
  <c r="H1237" i="2"/>
  <c r="H1233" i="2"/>
  <c r="H1229" i="2"/>
  <c r="H1225" i="2"/>
  <c r="H1221" i="2"/>
  <c r="H1217" i="2"/>
  <c r="H1213" i="2"/>
  <c r="H1209" i="2"/>
  <c r="H1205" i="2"/>
  <c r="H1201" i="2"/>
  <c r="H1197" i="2"/>
  <c r="I1193" i="2"/>
  <c r="I1190" i="2"/>
  <c r="H1187" i="2"/>
  <c r="F1184" i="2"/>
  <c r="F1181" i="2"/>
  <c r="I1177" i="2"/>
  <c r="I1174" i="2"/>
  <c r="H1171" i="2"/>
  <c r="F1168" i="2"/>
  <c r="F1165" i="2"/>
  <c r="I1161" i="2"/>
  <c r="I1158" i="2"/>
  <c r="F1156" i="2"/>
  <c r="I1153" i="2"/>
  <c r="H1151" i="2"/>
  <c r="F1149" i="2"/>
  <c r="I1146" i="2"/>
  <c r="H1144" i="2"/>
  <c r="G1142" i="2"/>
  <c r="F1140" i="2"/>
  <c r="I1137" i="2"/>
  <c r="H1135" i="2"/>
  <c r="F1133" i="2"/>
  <c r="I1130" i="2"/>
  <c r="H1128" i="2"/>
  <c r="G1126" i="2"/>
  <c r="F1124" i="2"/>
  <c r="I1121" i="2"/>
  <c r="H1119" i="2"/>
  <c r="F1117" i="2"/>
  <c r="I1114" i="2"/>
  <c r="H1112" i="2"/>
  <c r="G1110" i="2"/>
  <c r="F1108" i="2"/>
  <c r="I1105" i="2"/>
  <c r="H1103" i="2"/>
  <c r="F1101" i="2"/>
  <c r="I1098" i="2"/>
  <c r="H1096" i="2"/>
  <c r="G1094" i="2"/>
  <c r="F1092" i="2"/>
  <c r="I1089" i="2"/>
  <c r="H1087" i="2"/>
  <c r="F1085" i="2"/>
  <c r="I1082" i="2"/>
  <c r="H1080" i="2"/>
  <c r="G1078" i="2"/>
  <c r="F1076" i="2"/>
  <c r="I1073" i="2"/>
  <c r="H1071" i="2"/>
  <c r="F1069" i="2"/>
  <c r="I1066" i="2"/>
  <c r="H1064" i="2"/>
  <c r="G1062" i="2"/>
  <c r="F1060" i="2"/>
  <c r="I1057" i="2"/>
  <c r="H1055" i="2"/>
  <c r="F1053" i="2"/>
  <c r="I1050" i="2"/>
  <c r="I1048" i="2"/>
  <c r="I1046" i="2"/>
  <c r="I1044" i="2"/>
  <c r="I1042" i="2"/>
  <c r="I1040" i="2"/>
  <c r="I1038" i="2"/>
  <c r="I1036" i="2"/>
  <c r="I1034" i="2"/>
  <c r="I1032" i="2"/>
  <c r="I1030" i="2"/>
  <c r="I1028" i="2"/>
  <c r="I1026" i="2"/>
  <c r="I1024" i="2"/>
  <c r="I1022" i="2"/>
  <c r="I1020" i="2"/>
  <c r="I1018" i="2"/>
  <c r="I1016" i="2"/>
  <c r="I1014" i="2"/>
  <c r="I1012" i="2"/>
  <c r="I1010" i="2"/>
  <c r="I1008" i="2"/>
  <c r="I1006" i="2"/>
  <c r="I1004" i="2"/>
  <c r="I1002" i="2"/>
  <c r="I1000" i="2"/>
  <c r="I998" i="2"/>
  <c r="I996" i="2"/>
  <c r="I994" i="2"/>
  <c r="I992" i="2"/>
  <c r="I990" i="2"/>
  <c r="I988" i="2"/>
  <c r="I986" i="2"/>
  <c r="I984" i="2"/>
  <c r="I982" i="2"/>
  <c r="I980" i="2"/>
  <c r="I978" i="2"/>
  <c r="I976" i="2"/>
  <c r="I974" i="2"/>
  <c r="I972" i="2"/>
  <c r="I970" i="2"/>
  <c r="I968" i="2"/>
  <c r="I966" i="2"/>
  <c r="I964" i="2"/>
  <c r="I962" i="2"/>
  <c r="I960" i="2"/>
  <c r="I958" i="2"/>
  <c r="I956" i="2"/>
  <c r="I954" i="2"/>
  <c r="I952" i="2"/>
  <c r="I950" i="2"/>
  <c r="I948" i="2"/>
  <c r="I946" i="2"/>
  <c r="I944" i="2"/>
  <c r="I942" i="2"/>
  <c r="I940" i="2"/>
  <c r="I938" i="2"/>
  <c r="I936" i="2"/>
  <c r="I934" i="2"/>
  <c r="I932" i="2"/>
  <c r="I930" i="2"/>
  <c r="I928" i="2"/>
  <c r="I926" i="2"/>
  <c r="I924" i="2"/>
  <c r="I922" i="2"/>
  <c r="I920" i="2"/>
  <c r="I918" i="2"/>
  <c r="I916" i="2"/>
  <c r="I914" i="2"/>
  <c r="I912" i="2"/>
  <c r="I910" i="2"/>
  <c r="I908" i="2"/>
  <c r="I906" i="2"/>
  <c r="I904" i="2"/>
  <c r="I902" i="2"/>
  <c r="I900" i="2"/>
  <c r="I898" i="2"/>
  <c r="I896" i="2"/>
  <c r="I894" i="2"/>
  <c r="I892" i="2"/>
  <c r="I890" i="2"/>
  <c r="I888" i="2"/>
  <c r="I886" i="2"/>
  <c r="I884" i="2"/>
  <c r="I882" i="2"/>
  <c r="I880" i="2"/>
  <c r="I878" i="2"/>
  <c r="G2274" i="2"/>
  <c r="I2003" i="2"/>
  <c r="I1891" i="2"/>
  <c r="H1779" i="2"/>
  <c r="I1717" i="2"/>
  <c r="H1671" i="2"/>
  <c r="H1637" i="2"/>
  <c r="H1606" i="2"/>
  <c r="G1576" i="2"/>
  <c r="I1551" i="2"/>
  <c r="I1528" i="2"/>
  <c r="I1513" i="2"/>
  <c r="H1499" i="2"/>
  <c r="G1484" i="2"/>
  <c r="G1471" i="2"/>
  <c r="H1458" i="2"/>
  <c r="H1445" i="2"/>
  <c r="F1435" i="2"/>
  <c r="H1424" i="2"/>
  <c r="H1413" i="2"/>
  <c r="F1403" i="2"/>
  <c r="H1393" i="2"/>
  <c r="H1384" i="2"/>
  <c r="G1375" i="2"/>
  <c r="F1366" i="2"/>
  <c r="F1357" i="2"/>
  <c r="I1348" i="2"/>
  <c r="I1340" i="2"/>
  <c r="I1332" i="2"/>
  <c r="I1324" i="2"/>
  <c r="I1316" i="2"/>
  <c r="I1308" i="2"/>
  <c r="I1300" i="2"/>
  <c r="I1292" i="2"/>
  <c r="I1284" i="2"/>
  <c r="I1276" i="2"/>
  <c r="I1268" i="2"/>
  <c r="I1260" i="2"/>
  <c r="I1252" i="2"/>
  <c r="I1244" i="2"/>
  <c r="I1236" i="2"/>
  <c r="I1228" i="2"/>
  <c r="I1220" i="2"/>
  <c r="I1212" i="2"/>
  <c r="I1204" i="2"/>
  <c r="I1196" i="2"/>
  <c r="F1190" i="2"/>
  <c r="I1183" i="2"/>
  <c r="H1177" i="2"/>
  <c r="F1171" i="2"/>
  <c r="I1164" i="2"/>
  <c r="F1158" i="2"/>
  <c r="H1153" i="2"/>
  <c r="I1148" i="2"/>
  <c r="G1144" i="2"/>
  <c r="I1139" i="2"/>
  <c r="F1135" i="2"/>
  <c r="H1130" i="2"/>
  <c r="F1126" i="2"/>
  <c r="H1121" i="2"/>
  <c r="I1116" i="2"/>
  <c r="G1112" i="2"/>
  <c r="I1107" i="2"/>
  <c r="F1103" i="2"/>
  <c r="H1098" i="2"/>
  <c r="F1094" i="2"/>
  <c r="H1089" i="2"/>
  <c r="I1084" i="2"/>
  <c r="G1080" i="2"/>
  <c r="I1075" i="2"/>
  <c r="F1071" i="2"/>
  <c r="H1066" i="2"/>
  <c r="F1062" i="2"/>
  <c r="H1057" i="2"/>
  <c r="I1052" i="2"/>
  <c r="H1048" i="2"/>
  <c r="H1044" i="2"/>
  <c r="H1040" i="2"/>
  <c r="H1036" i="2"/>
  <c r="H1032" i="2"/>
  <c r="H1028" i="2"/>
  <c r="H1024" i="2"/>
  <c r="H1020" i="2"/>
  <c r="H1016" i="2"/>
  <c r="H1012" i="2"/>
  <c r="H1008" i="2"/>
  <c r="H1004" i="2"/>
  <c r="H1000" i="2"/>
  <c r="H996" i="2"/>
  <c r="H992" i="2"/>
  <c r="H988" i="2"/>
  <c r="H984" i="2"/>
  <c r="H980" i="2"/>
  <c r="H976" i="2"/>
  <c r="H972" i="2"/>
  <c r="H968" i="2"/>
  <c r="H964" i="2"/>
  <c r="H960" i="2"/>
  <c r="H956" i="2"/>
  <c r="H952" i="2"/>
  <c r="H948" i="2"/>
  <c r="H944" i="2"/>
  <c r="H940" i="2"/>
  <c r="H936" i="2"/>
  <c r="H932" i="2"/>
  <c r="H928" i="2"/>
  <c r="H924" i="2"/>
  <c r="H920" i="2"/>
  <c r="H916" i="2"/>
  <c r="H912" i="2"/>
  <c r="H908" i="2"/>
  <c r="H904" i="2"/>
  <c r="H900" i="2"/>
  <c r="H896" i="2"/>
  <c r="H892" i="2"/>
  <c r="H888" i="2"/>
  <c r="H884" i="2"/>
  <c r="H880" i="2"/>
  <c r="I877" i="2"/>
  <c r="I874" i="2"/>
  <c r="H872" i="2"/>
  <c r="G870" i="2"/>
  <c r="F868" i="2"/>
  <c r="I865" i="2"/>
  <c r="H863" i="2"/>
  <c r="G861" i="2"/>
  <c r="I858" i="2"/>
  <c r="H856" i="2"/>
  <c r="G854" i="2"/>
  <c r="F852" i="2"/>
  <c r="I849" i="2"/>
  <c r="H847" i="2"/>
  <c r="G845" i="2"/>
  <c r="I842" i="2"/>
  <c r="H840" i="2"/>
  <c r="H838" i="2"/>
  <c r="H836" i="2"/>
  <c r="H834" i="2"/>
  <c r="H832" i="2"/>
  <c r="H830" i="2"/>
  <c r="H828" i="2"/>
  <c r="H826" i="2"/>
  <c r="H824" i="2"/>
  <c r="H822" i="2"/>
  <c r="H820" i="2"/>
  <c r="H818" i="2"/>
  <c r="H816" i="2"/>
  <c r="H814" i="2"/>
  <c r="H812" i="2"/>
  <c r="H810" i="2"/>
  <c r="H808" i="2"/>
  <c r="H806" i="2"/>
  <c r="H804" i="2"/>
  <c r="H802" i="2"/>
  <c r="H800" i="2"/>
  <c r="H798" i="2"/>
  <c r="H796" i="2"/>
  <c r="H794" i="2"/>
  <c r="H792" i="2"/>
  <c r="H790" i="2"/>
  <c r="H788" i="2"/>
  <c r="H786" i="2"/>
  <c r="H784" i="2"/>
  <c r="H782" i="2"/>
  <c r="H780" i="2"/>
  <c r="H778" i="2"/>
  <c r="H776" i="2"/>
  <c r="H774" i="2"/>
  <c r="H772" i="2"/>
  <c r="H770" i="2"/>
  <c r="H768" i="2"/>
  <c r="H766" i="2"/>
  <c r="H764" i="2"/>
  <c r="H762" i="2"/>
  <c r="H760" i="2"/>
  <c r="H758" i="2"/>
  <c r="H756" i="2"/>
  <c r="H754" i="2"/>
  <c r="H752" i="2"/>
  <c r="H750" i="2"/>
  <c r="H748" i="2"/>
  <c r="H746" i="2"/>
  <c r="H744" i="2"/>
  <c r="H742" i="2"/>
  <c r="H740" i="2"/>
  <c r="H738" i="2"/>
  <c r="H736" i="2"/>
  <c r="H734" i="2"/>
  <c r="H732" i="2"/>
  <c r="H730" i="2"/>
  <c r="H728" i="2"/>
  <c r="H726" i="2"/>
  <c r="H724" i="2"/>
  <c r="H722" i="2"/>
  <c r="H720" i="2"/>
  <c r="H718" i="2"/>
  <c r="H716" i="2"/>
  <c r="H714" i="2"/>
  <c r="H712" i="2"/>
  <c r="H710" i="2"/>
  <c r="H708" i="2"/>
  <c r="H706" i="2"/>
  <c r="H704" i="2"/>
  <c r="H702" i="2"/>
  <c r="H700" i="2"/>
  <c r="H698" i="2"/>
  <c r="H696" i="2"/>
  <c r="H694" i="2"/>
  <c r="H692" i="2"/>
  <c r="H690" i="2"/>
  <c r="H688" i="2"/>
  <c r="H686" i="2"/>
  <c r="H684" i="2"/>
  <c r="H682" i="2"/>
  <c r="H680" i="2"/>
  <c r="H678" i="2"/>
  <c r="H676" i="2"/>
  <c r="H674" i="2"/>
  <c r="H672" i="2"/>
  <c r="H670" i="2"/>
  <c r="H668" i="2"/>
  <c r="H666" i="2"/>
  <c r="H664" i="2"/>
  <c r="H662" i="2"/>
  <c r="H660" i="2"/>
  <c r="H658" i="2"/>
  <c r="H656" i="2"/>
  <c r="H654" i="2"/>
  <c r="H652" i="2"/>
  <c r="H650" i="2"/>
  <c r="H648" i="2"/>
  <c r="H646" i="2"/>
  <c r="H644" i="2"/>
  <c r="H642" i="2"/>
  <c r="H640" i="2"/>
  <c r="H638" i="2"/>
  <c r="H636" i="2"/>
  <c r="H634" i="2"/>
  <c r="H632" i="2"/>
  <c r="H630" i="2"/>
  <c r="H628" i="2"/>
  <c r="H626" i="2"/>
  <c r="H624" i="2"/>
  <c r="H622" i="2"/>
  <c r="H620" i="2"/>
  <c r="H618" i="2"/>
  <c r="H616" i="2"/>
  <c r="H614" i="2"/>
  <c r="H612" i="2"/>
  <c r="H610" i="2"/>
  <c r="H608" i="2"/>
  <c r="H606" i="2"/>
  <c r="H604" i="2"/>
  <c r="H602" i="2"/>
  <c r="H600" i="2"/>
  <c r="H598" i="2"/>
  <c r="H596" i="2"/>
  <c r="H594" i="2"/>
  <c r="H592" i="2"/>
  <c r="H590" i="2"/>
  <c r="H588" i="2"/>
  <c r="H586" i="2"/>
  <c r="H584" i="2"/>
  <c r="H582" i="2"/>
  <c r="H580" i="2"/>
  <c r="H578" i="2"/>
  <c r="H576" i="2"/>
  <c r="H574" i="2"/>
  <c r="H572" i="2"/>
  <c r="H570" i="2"/>
  <c r="H568" i="2"/>
  <c r="H566" i="2"/>
  <c r="H564" i="2"/>
  <c r="H562" i="2"/>
  <c r="H560" i="2"/>
  <c r="H558" i="2"/>
  <c r="H556" i="2"/>
  <c r="H554" i="2"/>
  <c r="H552" i="2"/>
  <c r="H550" i="2"/>
  <c r="H548" i="2"/>
  <c r="H546" i="2"/>
  <c r="H544" i="2"/>
  <c r="H542" i="2"/>
  <c r="H540" i="2"/>
  <c r="H538" i="2"/>
  <c r="H536" i="2"/>
  <c r="H534" i="2"/>
  <c r="H532" i="2"/>
  <c r="H530" i="2"/>
  <c r="H528" i="2"/>
  <c r="H526" i="2"/>
  <c r="H524" i="2"/>
  <c r="H522" i="2"/>
  <c r="H520" i="2"/>
  <c r="H518" i="2"/>
  <c r="H516" i="2"/>
  <c r="H514" i="2"/>
  <c r="H512" i="2"/>
  <c r="H510" i="2"/>
  <c r="H508" i="2"/>
  <c r="H506" i="2"/>
  <c r="H504" i="2"/>
  <c r="H502" i="2"/>
  <c r="H500" i="2"/>
  <c r="H498" i="2"/>
  <c r="G2230" i="2"/>
  <c r="H1994" i="2"/>
  <c r="I1875" i="2"/>
  <c r="H1775" i="2"/>
  <c r="G1710" i="2"/>
  <c r="H1668" i="2"/>
  <c r="I1634" i="2"/>
  <c r="I1602" i="2"/>
  <c r="G1575" i="2"/>
  <c r="G1548" i="2"/>
  <c r="G1527" i="2"/>
  <c r="I1512" i="2"/>
  <c r="I1497" i="2"/>
  <c r="H1483" i="2"/>
  <c r="I1469" i="2"/>
  <c r="G1457" i="2"/>
  <c r="I1444" i="2"/>
  <c r="I1433" i="2"/>
  <c r="G1423" i="2"/>
  <c r="I1412" i="2"/>
  <c r="I1401" i="2"/>
  <c r="I1392" i="2"/>
  <c r="H1383" i="2"/>
  <c r="H1374" i="2"/>
  <c r="G1365" i="2"/>
  <c r="F1356" i="2"/>
  <c r="F1348" i="2"/>
  <c r="F1340" i="2"/>
  <c r="F1332" i="2"/>
  <c r="F1324" i="2"/>
  <c r="F1316" i="2"/>
  <c r="F1308" i="2"/>
  <c r="F1300" i="2"/>
  <c r="F1292" i="2"/>
  <c r="F1284" i="2"/>
  <c r="F1276" i="2"/>
  <c r="F1268" i="2"/>
  <c r="F1260" i="2"/>
  <c r="F1252" i="2"/>
  <c r="F1244" i="2"/>
  <c r="F1236" i="2"/>
  <c r="F1228" i="2"/>
  <c r="F1220" i="2"/>
  <c r="F1212" i="2"/>
  <c r="F1204" i="2"/>
  <c r="F1196" i="2"/>
  <c r="I1189" i="2"/>
  <c r="H1183" i="2"/>
  <c r="F1177" i="2"/>
  <c r="I1170" i="2"/>
  <c r="F1164" i="2"/>
  <c r="I1157" i="2"/>
  <c r="F1153" i="2"/>
  <c r="H1148" i="2"/>
  <c r="F1144" i="2"/>
  <c r="H1139" i="2"/>
  <c r="I1134" i="2"/>
  <c r="G1130" i="2"/>
  <c r="I1125" i="2"/>
  <c r="F1121" i="2"/>
  <c r="H1116" i="2"/>
  <c r="F1112" i="2"/>
  <c r="H1107" i="2"/>
  <c r="I1102" i="2"/>
  <c r="G1098" i="2"/>
  <c r="I1093" i="2"/>
  <c r="F1089" i="2"/>
  <c r="H1084" i="2"/>
  <c r="F1080" i="2"/>
  <c r="H1075" i="2"/>
  <c r="I1070" i="2"/>
  <c r="G1066" i="2"/>
  <c r="I1061" i="2"/>
  <c r="F1057" i="2"/>
  <c r="H1052" i="2"/>
  <c r="G1048" i="2"/>
  <c r="G1044" i="2"/>
  <c r="G1040" i="2"/>
  <c r="G1036" i="2"/>
  <c r="G1032" i="2"/>
  <c r="G1028" i="2"/>
  <c r="G1024" i="2"/>
  <c r="G1020" i="2"/>
  <c r="G1016" i="2"/>
  <c r="G1012" i="2"/>
  <c r="G1008" i="2"/>
  <c r="G1004" i="2"/>
  <c r="G1000" i="2"/>
  <c r="G996" i="2"/>
  <c r="G992" i="2"/>
  <c r="G988" i="2"/>
  <c r="G984" i="2"/>
  <c r="G980" i="2"/>
  <c r="G976" i="2"/>
  <c r="G972" i="2"/>
  <c r="G968" i="2"/>
  <c r="G964" i="2"/>
  <c r="G960" i="2"/>
  <c r="G956" i="2"/>
  <c r="G952" i="2"/>
  <c r="G948" i="2"/>
  <c r="G944" i="2"/>
  <c r="G940" i="2"/>
  <c r="G936" i="2"/>
  <c r="G932" i="2"/>
  <c r="G928" i="2"/>
  <c r="G924" i="2"/>
  <c r="G920" i="2"/>
  <c r="G916" i="2"/>
  <c r="G912" i="2"/>
  <c r="G908" i="2"/>
  <c r="G904" i="2"/>
  <c r="G900" i="2"/>
  <c r="G896" i="2"/>
  <c r="G892" i="2"/>
  <c r="G888" i="2"/>
  <c r="G884" i="2"/>
  <c r="G880" i="2"/>
  <c r="H877" i="2"/>
  <c r="H874" i="2"/>
  <c r="G872" i="2"/>
  <c r="F870" i="2"/>
  <c r="I867" i="2"/>
  <c r="H865" i="2"/>
  <c r="G863" i="2"/>
  <c r="I860" i="2"/>
  <c r="H858" i="2"/>
  <c r="G856" i="2"/>
  <c r="F854" i="2"/>
  <c r="I851" i="2"/>
  <c r="H849" i="2"/>
  <c r="G847" i="2"/>
  <c r="I844" i="2"/>
  <c r="H842" i="2"/>
  <c r="G840" i="2"/>
  <c r="G838" i="2"/>
  <c r="G836" i="2"/>
  <c r="G834" i="2"/>
  <c r="G832" i="2"/>
  <c r="G830" i="2"/>
  <c r="G828" i="2"/>
  <c r="G826" i="2"/>
  <c r="G824" i="2"/>
  <c r="G822" i="2"/>
  <c r="G820" i="2"/>
  <c r="G818" i="2"/>
  <c r="G816" i="2"/>
  <c r="G814" i="2"/>
  <c r="G812" i="2"/>
  <c r="G810" i="2"/>
  <c r="G808" i="2"/>
  <c r="G806" i="2"/>
  <c r="G804" i="2"/>
  <c r="G802" i="2"/>
  <c r="G800" i="2"/>
  <c r="G798" i="2"/>
  <c r="G796" i="2"/>
  <c r="G794" i="2"/>
  <c r="G792" i="2"/>
  <c r="G790" i="2"/>
  <c r="G788" i="2"/>
  <c r="G786" i="2"/>
  <c r="G784" i="2"/>
  <c r="G782" i="2"/>
  <c r="G780" i="2"/>
  <c r="G778" i="2"/>
  <c r="G776" i="2"/>
  <c r="G774" i="2"/>
  <c r="G772" i="2"/>
  <c r="G770" i="2"/>
  <c r="G768" i="2"/>
  <c r="G766" i="2"/>
  <c r="G764" i="2"/>
  <c r="G762" i="2"/>
  <c r="G760" i="2"/>
  <c r="G758" i="2"/>
  <c r="G756" i="2"/>
  <c r="G754" i="2"/>
  <c r="G752" i="2"/>
  <c r="G750" i="2"/>
  <c r="G748" i="2"/>
  <c r="G746" i="2"/>
  <c r="G744" i="2"/>
  <c r="G742" i="2"/>
  <c r="G740" i="2"/>
  <c r="G738" i="2"/>
  <c r="G736" i="2"/>
  <c r="G734" i="2"/>
  <c r="G732" i="2"/>
  <c r="G730" i="2"/>
  <c r="G728" i="2"/>
  <c r="G726" i="2"/>
  <c r="G724" i="2"/>
  <c r="G722" i="2"/>
  <c r="G720" i="2"/>
  <c r="G718" i="2"/>
  <c r="G716" i="2"/>
  <c r="G714" i="2"/>
  <c r="G712" i="2"/>
  <c r="G710" i="2"/>
  <c r="G708" i="2"/>
  <c r="G706" i="2"/>
  <c r="G704" i="2"/>
  <c r="G702" i="2"/>
  <c r="G700" i="2"/>
  <c r="G698" i="2"/>
  <c r="G696" i="2"/>
  <c r="G694" i="2"/>
  <c r="G692" i="2"/>
  <c r="G690" i="2"/>
  <c r="G688" i="2"/>
  <c r="G686" i="2"/>
  <c r="G684" i="2"/>
  <c r="G682" i="2"/>
  <c r="G680" i="2"/>
  <c r="G678" i="2"/>
  <c r="G676" i="2"/>
  <c r="G674" i="2"/>
  <c r="G672" i="2"/>
  <c r="G670" i="2"/>
  <c r="G668" i="2"/>
  <c r="G666" i="2"/>
  <c r="G664" i="2"/>
  <c r="G662" i="2"/>
  <c r="G660" i="2"/>
  <c r="G658" i="2"/>
  <c r="G656" i="2"/>
  <c r="G654" i="2"/>
  <c r="G652" i="2"/>
  <c r="G650" i="2"/>
  <c r="G648" i="2"/>
  <c r="G646" i="2"/>
  <c r="G644" i="2"/>
  <c r="G642" i="2"/>
  <c r="G640" i="2"/>
  <c r="G638" i="2"/>
  <c r="G636" i="2"/>
  <c r="G634" i="2"/>
  <c r="G632" i="2"/>
  <c r="G630" i="2"/>
  <c r="G628" i="2"/>
  <c r="G626" i="2"/>
  <c r="G624" i="2"/>
  <c r="G622" i="2"/>
  <c r="G620" i="2"/>
  <c r="G618" i="2"/>
  <c r="G616" i="2"/>
  <c r="G614" i="2"/>
  <c r="G612" i="2"/>
  <c r="G610" i="2"/>
  <c r="G608" i="2"/>
  <c r="G606" i="2"/>
  <c r="G604" i="2"/>
  <c r="G602" i="2"/>
  <c r="G600" i="2"/>
  <c r="F2203" i="2"/>
  <c r="H1985" i="2"/>
  <c r="H1873" i="2"/>
  <c r="F1765" i="2"/>
  <c r="H1708" i="2"/>
  <c r="G1666" i="2"/>
  <c r="G1632" i="2"/>
  <c r="F1602" i="2"/>
  <c r="G1572" i="2"/>
  <c r="I1547" i="2"/>
  <c r="G1526" i="2"/>
  <c r="H1511" i="2"/>
  <c r="G1497" i="2"/>
  <c r="F1482" i="2"/>
  <c r="G1469" i="2"/>
  <c r="H1456" i="2"/>
  <c r="I1443" i="2"/>
  <c r="G1433" i="2"/>
  <c r="I1422" i="2"/>
  <c r="I1411" i="2"/>
  <c r="G1401" i="2"/>
  <c r="F1392" i="2"/>
  <c r="F1383" i="2"/>
  <c r="I1373" i="2"/>
  <c r="I1364" i="2"/>
  <c r="H1355" i="2"/>
  <c r="H1347" i="2"/>
  <c r="H1339" i="2"/>
  <c r="H1331" i="2"/>
  <c r="H1323" i="2"/>
  <c r="H1315" i="2"/>
  <c r="H1307" i="2"/>
  <c r="H1299" i="2"/>
  <c r="H1291" i="2"/>
  <c r="H1283" i="2"/>
  <c r="H1275" i="2"/>
  <c r="H1267" i="2"/>
  <c r="H1259" i="2"/>
  <c r="H1251" i="2"/>
  <c r="H1243" i="2"/>
  <c r="H1235" i="2"/>
  <c r="H1227" i="2"/>
  <c r="H1219" i="2"/>
  <c r="H1211" i="2"/>
  <c r="H1203" i="2"/>
  <c r="H1195" i="2"/>
  <c r="F1189" i="2"/>
  <c r="I1182" i="2"/>
  <c r="F1176" i="2"/>
  <c r="I1169" i="2"/>
  <c r="H1163" i="2"/>
  <c r="F1157" i="2"/>
  <c r="H1152" i="2"/>
  <c r="F1148" i="2"/>
  <c r="H1143" i="2"/>
  <c r="I1138" i="2"/>
  <c r="G1134" i="2"/>
  <c r="I1129" i="2"/>
  <c r="F1125" i="2"/>
  <c r="H1120" i="2"/>
  <c r="F1116" i="2"/>
  <c r="H1111" i="2"/>
  <c r="I1106" i="2"/>
  <c r="G1102" i="2"/>
  <c r="I1097" i="2"/>
  <c r="F1093" i="2"/>
  <c r="H1088" i="2"/>
  <c r="F1084" i="2"/>
  <c r="H1079" i="2"/>
  <c r="I1074" i="2"/>
  <c r="G1070" i="2"/>
  <c r="I1065" i="2"/>
  <c r="F1061" i="2"/>
  <c r="H1056" i="2"/>
  <c r="F1052" i="2"/>
  <c r="I1047" i="2"/>
  <c r="I1043" i="2"/>
  <c r="I1039" i="2"/>
  <c r="I1035" i="2"/>
  <c r="I1031" i="2"/>
  <c r="I1027" i="2"/>
  <c r="I1023" i="2"/>
  <c r="I1019" i="2"/>
  <c r="I1015" i="2"/>
  <c r="I1011" i="2"/>
  <c r="I1007" i="2"/>
  <c r="I1003" i="2"/>
  <c r="I999" i="2"/>
  <c r="I995" i="2"/>
  <c r="I991" i="2"/>
  <c r="I987" i="2"/>
  <c r="I983" i="2"/>
  <c r="I979" i="2"/>
  <c r="I975" i="2"/>
  <c r="I971" i="2"/>
  <c r="I967" i="2"/>
  <c r="I963" i="2"/>
  <c r="I959" i="2"/>
  <c r="I955" i="2"/>
  <c r="I951" i="2"/>
  <c r="I947" i="2"/>
  <c r="I943" i="2"/>
  <c r="I939" i="2"/>
  <c r="I935" i="2"/>
  <c r="I931" i="2"/>
  <c r="I927" i="2"/>
  <c r="I923" i="2"/>
  <c r="I919" i="2"/>
  <c r="I915" i="2"/>
  <c r="I911" i="2"/>
  <c r="I907" i="2"/>
  <c r="I903" i="2"/>
  <c r="I899" i="2"/>
  <c r="I895" i="2"/>
  <c r="I891" i="2"/>
  <c r="I887" i="2"/>
  <c r="I883" i="2"/>
  <c r="I879" i="2"/>
  <c r="H876" i="2"/>
  <c r="F874" i="2"/>
  <c r="I871" i="2"/>
  <c r="H869" i="2"/>
  <c r="G867" i="2"/>
  <c r="I864" i="2"/>
  <c r="H862" i="2"/>
  <c r="G860" i="2"/>
  <c r="F858" i="2"/>
  <c r="I855" i="2"/>
  <c r="H853" i="2"/>
  <c r="G851" i="2"/>
  <c r="I848" i="2"/>
  <c r="H846" i="2"/>
  <c r="G844" i="2"/>
  <c r="F842" i="2"/>
  <c r="I839" i="2"/>
  <c r="I837" i="2"/>
  <c r="I835" i="2"/>
  <c r="I833" i="2"/>
  <c r="I831" i="2"/>
  <c r="I829" i="2"/>
  <c r="I827" i="2"/>
  <c r="I825" i="2"/>
  <c r="I823" i="2"/>
  <c r="I821" i="2"/>
  <c r="I819" i="2"/>
  <c r="I817" i="2"/>
  <c r="I815" i="2"/>
  <c r="I813" i="2"/>
  <c r="I811" i="2"/>
  <c r="I809" i="2"/>
  <c r="I807" i="2"/>
  <c r="I805" i="2"/>
  <c r="I803" i="2"/>
  <c r="I801" i="2"/>
  <c r="I799" i="2"/>
  <c r="I797" i="2"/>
  <c r="I795" i="2"/>
  <c r="I793" i="2"/>
  <c r="I791" i="2"/>
  <c r="I789" i="2"/>
  <c r="I787" i="2"/>
  <c r="I785" i="2"/>
  <c r="I783" i="2"/>
  <c r="I781" i="2"/>
  <c r="I779" i="2"/>
  <c r="I777" i="2"/>
  <c r="I775" i="2"/>
  <c r="I773" i="2"/>
  <c r="I771" i="2"/>
  <c r="I769" i="2"/>
  <c r="I767" i="2"/>
  <c r="I765" i="2"/>
  <c r="I763" i="2"/>
  <c r="I761" i="2"/>
  <c r="I759" i="2"/>
  <c r="I757" i="2"/>
  <c r="I755" i="2"/>
  <c r="I753" i="2"/>
  <c r="I751" i="2"/>
  <c r="I749" i="2"/>
  <c r="I747" i="2"/>
  <c r="I745" i="2"/>
  <c r="I743" i="2"/>
  <c r="I741" i="2"/>
  <c r="I739" i="2"/>
  <c r="I737" i="2"/>
  <c r="I735" i="2"/>
  <c r="I733" i="2"/>
  <c r="I731" i="2"/>
  <c r="I729" i="2"/>
  <c r="I727" i="2"/>
  <c r="I725" i="2"/>
  <c r="I723" i="2"/>
  <c r="I721" i="2"/>
  <c r="I719" i="2"/>
  <c r="I717" i="2"/>
  <c r="I715" i="2"/>
  <c r="I713" i="2"/>
  <c r="I711" i="2"/>
  <c r="I709" i="2"/>
  <c r="I707" i="2"/>
  <c r="I705" i="2"/>
  <c r="I703" i="2"/>
  <c r="I701" i="2"/>
  <c r="I699" i="2"/>
  <c r="I697" i="2"/>
  <c r="I695" i="2"/>
  <c r="I693" i="2"/>
  <c r="I691" i="2"/>
  <c r="I689" i="2"/>
  <c r="I687" i="2"/>
  <c r="I685" i="2"/>
  <c r="I683" i="2"/>
  <c r="I681" i="2"/>
  <c r="I679" i="2"/>
  <c r="I677" i="2"/>
  <c r="I675" i="2"/>
  <c r="I673" i="2"/>
  <c r="I671" i="2"/>
  <c r="I669" i="2"/>
  <c r="I667" i="2"/>
  <c r="I665" i="2"/>
  <c r="I663" i="2"/>
  <c r="I661" i="2"/>
  <c r="I659" i="2"/>
  <c r="I657" i="2"/>
  <c r="I655" i="2"/>
  <c r="I653" i="2"/>
  <c r="I651" i="2"/>
  <c r="I649" i="2"/>
  <c r="I647" i="2"/>
  <c r="I645" i="2"/>
  <c r="I643" i="2"/>
  <c r="I641" i="2"/>
  <c r="I639" i="2"/>
  <c r="I637" i="2"/>
  <c r="I635" i="2"/>
  <c r="I633" i="2"/>
  <c r="I631" i="2"/>
  <c r="I629" i="2"/>
  <c r="I2099" i="2"/>
  <c r="G1947" i="2"/>
  <c r="H1833" i="2"/>
  <c r="I1745" i="2"/>
  <c r="F1692" i="2"/>
  <c r="H1653" i="2"/>
  <c r="H1621" i="2"/>
  <c r="G1591" i="2"/>
  <c r="F1564" i="2"/>
  <c r="G1539" i="2"/>
  <c r="F1521" i="2"/>
  <c r="I1506" i="2"/>
  <c r="F1492" i="2"/>
  <c r="H1477" i="2"/>
  <c r="F1465" i="2"/>
  <c r="I1451" i="2"/>
  <c r="H1440" i="2"/>
  <c r="H1429" i="2"/>
  <c r="F1419" i="2"/>
  <c r="H1408" i="2"/>
  <c r="F1398" i="2"/>
  <c r="F1389" i="2"/>
  <c r="I1379" i="2"/>
  <c r="I1370" i="2"/>
  <c r="H1361" i="2"/>
  <c r="I1352" i="2"/>
  <c r="I1344" i="2"/>
  <c r="I1336" i="2"/>
  <c r="I1328" i="2"/>
  <c r="I1320" i="2"/>
  <c r="I1312" i="2"/>
  <c r="I1304" i="2"/>
  <c r="I1296" i="2"/>
  <c r="I1288" i="2"/>
  <c r="I1280" i="2"/>
  <c r="I1272" i="2"/>
  <c r="I1264" i="2"/>
  <c r="I1256" i="2"/>
  <c r="I1248" i="2"/>
  <c r="I1240" i="2"/>
  <c r="I1232" i="2"/>
  <c r="I1224" i="2"/>
  <c r="I1216" i="2"/>
  <c r="I1208" i="2"/>
  <c r="I1200" i="2"/>
  <c r="H1193" i="2"/>
  <c r="F1187" i="2"/>
  <c r="I1180" i="2"/>
  <c r="F1174" i="2"/>
  <c r="I1167" i="2"/>
  <c r="H1161" i="2"/>
  <c r="I1155" i="2"/>
  <c r="F1151" i="2"/>
  <c r="H1146" i="2"/>
  <c r="F1142" i="2"/>
  <c r="H1137" i="2"/>
  <c r="I1132" i="2"/>
  <c r="G1128" i="2"/>
  <c r="I1123" i="2"/>
  <c r="F1119" i="2"/>
  <c r="H1114" i="2"/>
  <c r="F1110" i="2"/>
  <c r="H1105" i="2"/>
  <c r="I1100" i="2"/>
  <c r="G1096" i="2"/>
  <c r="I1091" i="2"/>
  <c r="F1087" i="2"/>
  <c r="H1082" i="2"/>
  <c r="F1078" i="2"/>
  <c r="H1073" i="2"/>
  <c r="I1068" i="2"/>
  <c r="G1064" i="2"/>
  <c r="I1059" i="2"/>
  <c r="F1055" i="2"/>
  <c r="H1050" i="2"/>
  <c r="H1046" i="2"/>
  <c r="H1042" i="2"/>
  <c r="H1038" i="2"/>
  <c r="H1034" i="2"/>
  <c r="H1030" i="2"/>
  <c r="H1026" i="2"/>
  <c r="H1022" i="2"/>
  <c r="H1018" i="2"/>
  <c r="H1014" i="2"/>
  <c r="H1010" i="2"/>
  <c r="H1006" i="2"/>
  <c r="H1002" i="2"/>
  <c r="H998" i="2"/>
  <c r="H994" i="2"/>
  <c r="H990" i="2"/>
  <c r="H986" i="2"/>
  <c r="H982" i="2"/>
  <c r="H978" i="2"/>
  <c r="H974" i="2"/>
  <c r="H970" i="2"/>
  <c r="H966" i="2"/>
  <c r="H962" i="2"/>
  <c r="H958" i="2"/>
  <c r="H954" i="2"/>
  <c r="H950" i="2"/>
  <c r="H946" i="2"/>
  <c r="H942" i="2"/>
  <c r="H938" i="2"/>
  <c r="H934" i="2"/>
  <c r="H930" i="2"/>
  <c r="H926" i="2"/>
  <c r="H922" i="2"/>
  <c r="H918" i="2"/>
  <c r="H914" i="2"/>
  <c r="H910" i="2"/>
  <c r="H906" i="2"/>
  <c r="H902" i="2"/>
  <c r="H898" i="2"/>
  <c r="H894" i="2"/>
  <c r="H890" i="2"/>
  <c r="H886" i="2"/>
  <c r="H882" i="2"/>
  <c r="H879" i="2"/>
  <c r="G876" i="2"/>
  <c r="I873" i="2"/>
  <c r="H871" i="2"/>
  <c r="G869" i="2"/>
  <c r="I866" i="2"/>
  <c r="H864" i="2"/>
  <c r="G862" i="2"/>
  <c r="F860" i="2"/>
  <c r="I857" i="2"/>
  <c r="H855" i="2"/>
  <c r="G853" i="2"/>
  <c r="I850" i="2"/>
  <c r="H848" i="2"/>
  <c r="G846" i="2"/>
  <c r="F844" i="2"/>
  <c r="I841" i="2"/>
  <c r="H839" i="2"/>
  <c r="H837" i="2"/>
  <c r="H835" i="2"/>
  <c r="H833" i="2"/>
  <c r="H831" i="2"/>
  <c r="H829" i="2"/>
  <c r="H827" i="2"/>
  <c r="H825" i="2"/>
  <c r="H823" i="2"/>
  <c r="H821" i="2"/>
  <c r="H819" i="2"/>
  <c r="H817" i="2"/>
  <c r="H815" i="2"/>
  <c r="H813" i="2"/>
  <c r="H811" i="2"/>
  <c r="H809" i="2"/>
  <c r="H807" i="2"/>
  <c r="H805" i="2"/>
  <c r="H803" i="2"/>
  <c r="H801" i="2"/>
  <c r="H799" i="2"/>
  <c r="H797" i="2"/>
  <c r="H795" i="2"/>
  <c r="H793" i="2"/>
  <c r="H791" i="2"/>
  <c r="H789" i="2"/>
  <c r="H787" i="2"/>
  <c r="H785" i="2"/>
  <c r="H783" i="2"/>
  <c r="H781" i="2"/>
  <c r="H779" i="2"/>
  <c r="H777" i="2"/>
  <c r="H775" i="2"/>
  <c r="H773" i="2"/>
  <c r="H771" i="2"/>
  <c r="H769" i="2"/>
  <c r="H767" i="2"/>
  <c r="H765" i="2"/>
  <c r="H763" i="2"/>
  <c r="H761" i="2"/>
  <c r="H759" i="2"/>
  <c r="H757" i="2"/>
  <c r="H755" i="2"/>
  <c r="H753" i="2"/>
  <c r="H751" i="2"/>
  <c r="H749" i="2"/>
  <c r="H747" i="2"/>
  <c r="H745" i="2"/>
  <c r="H743" i="2"/>
  <c r="H741" i="2"/>
  <c r="H739" i="2"/>
  <c r="H737" i="2"/>
  <c r="H735" i="2"/>
  <c r="H733" i="2"/>
  <c r="H731" i="2"/>
  <c r="H729" i="2"/>
  <c r="H727" i="2"/>
  <c r="H725" i="2"/>
  <c r="H723" i="2"/>
  <c r="H721" i="2"/>
  <c r="H719" i="2"/>
  <c r="H717" i="2"/>
  <c r="H715" i="2"/>
  <c r="H713" i="2"/>
  <c r="H711" i="2"/>
  <c r="H709" i="2"/>
  <c r="H707" i="2"/>
  <c r="H705" i="2"/>
  <c r="H703" i="2"/>
  <c r="H701" i="2"/>
  <c r="H699" i="2"/>
  <c r="H697" i="2"/>
  <c r="H695" i="2"/>
  <c r="H693" i="2"/>
  <c r="H691" i="2"/>
  <c r="H689" i="2"/>
  <c r="H687" i="2"/>
  <c r="H685" i="2"/>
  <c r="H683" i="2"/>
  <c r="H681" i="2"/>
  <c r="H679" i="2"/>
  <c r="H677" i="2"/>
  <c r="H675" i="2"/>
  <c r="H673" i="2"/>
  <c r="H671" i="2"/>
  <c r="H669" i="2"/>
  <c r="H667" i="2"/>
  <c r="H665" i="2"/>
  <c r="H663" i="2"/>
  <c r="H661" i="2"/>
  <c r="H659" i="2"/>
  <c r="H657" i="2"/>
  <c r="H655" i="2"/>
  <c r="H653" i="2"/>
  <c r="H651" i="2"/>
  <c r="H649" i="2"/>
  <c r="H647" i="2"/>
  <c r="H645" i="2"/>
  <c r="H643" i="2"/>
  <c r="H641" i="2"/>
  <c r="H639" i="2"/>
  <c r="H637" i="2"/>
  <c r="H635" i="2"/>
  <c r="H633" i="2"/>
  <c r="H631" i="2"/>
  <c r="H629" i="2"/>
  <c r="H2228" i="2"/>
  <c r="F1874" i="2"/>
  <c r="F1709" i="2"/>
  <c r="H1632" i="2"/>
  <c r="F1574" i="2"/>
  <c r="F1527" i="2"/>
  <c r="H1497" i="2"/>
  <c r="H1469" i="2"/>
  <c r="H1444" i="2"/>
  <c r="F1423" i="2"/>
  <c r="H1401" i="2"/>
  <c r="G1383" i="2"/>
  <c r="F1365" i="2"/>
  <c r="I1347" i="2"/>
  <c r="I1331" i="2"/>
  <c r="I1315" i="2"/>
  <c r="I1299" i="2"/>
  <c r="I1283" i="2"/>
  <c r="I1267" i="2"/>
  <c r="I1251" i="2"/>
  <c r="I1235" i="2"/>
  <c r="I1219" i="2"/>
  <c r="I1203" i="2"/>
  <c r="H1189" i="2"/>
  <c r="I1176" i="2"/>
  <c r="I1163" i="2"/>
  <c r="I1152" i="2"/>
  <c r="I1143" i="2"/>
  <c r="H1134" i="2"/>
  <c r="H1125" i="2"/>
  <c r="G1116" i="2"/>
  <c r="F1107" i="2"/>
  <c r="F1098" i="2"/>
  <c r="I1088" i="2"/>
  <c r="I1079" i="2"/>
  <c r="H1070" i="2"/>
  <c r="H1061" i="2"/>
  <c r="G1052" i="2"/>
  <c r="F1044" i="2"/>
  <c r="F1036" i="2"/>
  <c r="F1028" i="2"/>
  <c r="F1020" i="2"/>
  <c r="F1012" i="2"/>
  <c r="F1004" i="2"/>
  <c r="F996" i="2"/>
  <c r="F988" i="2"/>
  <c r="F980" i="2"/>
  <c r="F972" i="2"/>
  <c r="F964" i="2"/>
  <c r="F956" i="2"/>
  <c r="F948" i="2"/>
  <c r="F940" i="2"/>
  <c r="F932" i="2"/>
  <c r="F924" i="2"/>
  <c r="F916" i="2"/>
  <c r="F908" i="2"/>
  <c r="F900" i="2"/>
  <c r="F892" i="2"/>
  <c r="F884" i="2"/>
  <c r="I876" i="2"/>
  <c r="F872" i="2"/>
  <c r="H867" i="2"/>
  <c r="I862" i="2"/>
  <c r="G858" i="2"/>
  <c r="I853" i="2"/>
  <c r="G849" i="2"/>
  <c r="H844" i="2"/>
  <c r="F840" i="2"/>
  <c r="F836" i="2"/>
  <c r="F832" i="2"/>
  <c r="F828" i="2"/>
  <c r="F824" i="2"/>
  <c r="F820" i="2"/>
  <c r="F816" i="2"/>
  <c r="F812" i="2"/>
  <c r="F808" i="2"/>
  <c r="F804" i="2"/>
  <c r="F800" i="2"/>
  <c r="F796" i="2"/>
  <c r="F792" i="2"/>
  <c r="F788" i="2"/>
  <c r="F784" i="2"/>
  <c r="F780" i="2"/>
  <c r="F776" i="2"/>
  <c r="F772" i="2"/>
  <c r="F768" i="2"/>
  <c r="F764" i="2"/>
  <c r="F760" i="2"/>
  <c r="F756" i="2"/>
  <c r="F752" i="2"/>
  <c r="F748" i="2"/>
  <c r="F744" i="2"/>
  <c r="F740" i="2"/>
  <c r="F736" i="2"/>
  <c r="F732" i="2"/>
  <c r="F728" i="2"/>
  <c r="F724" i="2"/>
  <c r="F720" i="2"/>
  <c r="F716" i="2"/>
  <c r="F712" i="2"/>
  <c r="F708" i="2"/>
  <c r="F704" i="2"/>
  <c r="F700" i="2"/>
  <c r="F696" i="2"/>
  <c r="F692" i="2"/>
  <c r="F688" i="2"/>
  <c r="F684" i="2"/>
  <c r="F680" i="2"/>
  <c r="F676" i="2"/>
  <c r="F672" i="2"/>
  <c r="F668" i="2"/>
  <c r="F664" i="2"/>
  <c r="F660" i="2"/>
  <c r="F656" i="2"/>
  <c r="F652" i="2"/>
  <c r="F648" i="2"/>
  <c r="F644" i="2"/>
  <c r="F640" i="2"/>
  <c r="F636" i="2"/>
  <c r="F632" i="2"/>
  <c r="F628" i="2"/>
  <c r="H625" i="2"/>
  <c r="F623" i="2"/>
  <c r="F620" i="2"/>
  <c r="H617" i="2"/>
  <c r="F615" i="2"/>
  <c r="F612" i="2"/>
  <c r="H609" i="2"/>
  <c r="F607" i="2"/>
  <c r="F604" i="2"/>
  <c r="H601" i="2"/>
  <c r="F599" i="2"/>
  <c r="I596" i="2"/>
  <c r="G594" i="2"/>
  <c r="F592" i="2"/>
  <c r="I589" i="2"/>
  <c r="H587" i="2"/>
  <c r="G585" i="2"/>
  <c r="F583" i="2"/>
  <c r="I580" i="2"/>
  <c r="G578" i="2"/>
  <c r="F576" i="2"/>
  <c r="I573" i="2"/>
  <c r="H571" i="2"/>
  <c r="G569" i="2"/>
  <c r="F567" i="2"/>
  <c r="I564" i="2"/>
  <c r="G562" i="2"/>
  <c r="F560" i="2"/>
  <c r="I557" i="2"/>
  <c r="H555" i="2"/>
  <c r="G553" i="2"/>
  <c r="F551" i="2"/>
  <c r="I548" i="2"/>
  <c r="G546" i="2"/>
  <c r="F544" i="2"/>
  <c r="I541" i="2"/>
  <c r="H539" i="2"/>
  <c r="G537" i="2"/>
  <c r="F535" i="2"/>
  <c r="I532" i="2"/>
  <c r="G530" i="2"/>
  <c r="F528" i="2"/>
  <c r="I525" i="2"/>
  <c r="H523" i="2"/>
  <c r="G521" i="2"/>
  <c r="F519" i="2"/>
  <c r="I516" i="2"/>
  <c r="G514" i="2"/>
  <c r="F512" i="2"/>
  <c r="I509" i="2"/>
  <c r="H507" i="2"/>
  <c r="G505" i="2"/>
  <c r="F503" i="2"/>
  <c r="I500" i="2"/>
  <c r="G498" i="2"/>
  <c r="G496" i="2"/>
  <c r="G494" i="2"/>
  <c r="G492" i="2"/>
  <c r="G490" i="2"/>
  <c r="G488" i="2"/>
  <c r="G486" i="2"/>
  <c r="G484" i="2"/>
  <c r="G482" i="2"/>
  <c r="G480" i="2"/>
  <c r="G478" i="2"/>
  <c r="G476" i="2"/>
  <c r="G474" i="2"/>
  <c r="G472" i="2"/>
  <c r="G470" i="2"/>
  <c r="G468" i="2"/>
  <c r="G466" i="2"/>
  <c r="G464" i="2"/>
  <c r="G462" i="2"/>
  <c r="G460" i="2"/>
  <c r="G458" i="2"/>
  <c r="G456" i="2"/>
  <c r="G454" i="2"/>
  <c r="G452" i="2"/>
  <c r="G450" i="2"/>
  <c r="G448" i="2"/>
  <c r="G446" i="2"/>
  <c r="G444" i="2"/>
  <c r="G442" i="2"/>
  <c r="G440" i="2"/>
  <c r="G438" i="2"/>
  <c r="G436" i="2"/>
  <c r="G434" i="2"/>
  <c r="G432" i="2"/>
  <c r="G430" i="2"/>
  <c r="G428" i="2"/>
  <c r="G426" i="2"/>
  <c r="G424" i="2"/>
  <c r="G422" i="2"/>
  <c r="G420" i="2"/>
  <c r="G418" i="2"/>
  <c r="G416" i="2"/>
  <c r="G414" i="2"/>
  <c r="G412" i="2"/>
  <c r="G410" i="2"/>
  <c r="G408" i="2"/>
  <c r="G406" i="2"/>
  <c r="G404" i="2"/>
  <c r="G402" i="2"/>
  <c r="G400" i="2"/>
  <c r="G398" i="2"/>
  <c r="G396" i="2"/>
  <c r="G394" i="2"/>
  <c r="G392" i="2"/>
  <c r="G390" i="2"/>
  <c r="G388" i="2"/>
  <c r="G386" i="2"/>
  <c r="G384" i="2"/>
  <c r="G382" i="2"/>
  <c r="G380" i="2"/>
  <c r="G378" i="2"/>
  <c r="G376" i="2"/>
  <c r="G374" i="2"/>
  <c r="G372" i="2"/>
  <c r="G370" i="2"/>
  <c r="G368" i="2"/>
  <c r="G366" i="2"/>
  <c r="G364" i="2"/>
  <c r="G362" i="2"/>
  <c r="G360" i="2"/>
  <c r="G358" i="2"/>
  <c r="G356" i="2"/>
  <c r="G354" i="2"/>
  <c r="G352" i="2"/>
  <c r="G350" i="2"/>
  <c r="G348" i="2"/>
  <c r="G346" i="2"/>
  <c r="G344" i="2"/>
  <c r="G342" i="2"/>
  <c r="G340" i="2"/>
  <c r="G338" i="2"/>
  <c r="G336" i="2"/>
  <c r="G334" i="2"/>
  <c r="G332" i="2"/>
  <c r="G330" i="2"/>
  <c r="G328" i="2"/>
  <c r="G326" i="2"/>
  <c r="G324" i="2"/>
  <c r="G322" i="2"/>
  <c r="G320" i="2"/>
  <c r="G318" i="2"/>
  <c r="G316" i="2"/>
  <c r="G314" i="2"/>
  <c r="G312" i="2"/>
  <c r="G310" i="2"/>
  <c r="G308" i="2"/>
  <c r="G306" i="2"/>
  <c r="G304" i="2"/>
  <c r="G302" i="2"/>
  <c r="G300" i="2"/>
  <c r="G298" i="2"/>
  <c r="G296" i="2"/>
  <c r="G294" i="2"/>
  <c r="G292" i="2"/>
  <c r="G290" i="2"/>
  <c r="G288" i="2"/>
  <c r="G286" i="2"/>
  <c r="G284" i="2"/>
  <c r="G282" i="2"/>
  <c r="G280" i="2"/>
  <c r="G278" i="2"/>
  <c r="G276" i="2"/>
  <c r="G274" i="2"/>
  <c r="G272" i="2"/>
  <c r="G270" i="2"/>
  <c r="G268" i="2"/>
  <c r="G266" i="2"/>
  <c r="G264" i="2"/>
  <c r="G262" i="2"/>
  <c r="G260" i="2"/>
  <c r="G258" i="2"/>
  <c r="G256" i="2"/>
  <c r="G254" i="2"/>
  <c r="G252" i="2"/>
  <c r="G250" i="2"/>
  <c r="I2090" i="2"/>
  <c r="F1824" i="2"/>
  <c r="I1685" i="2"/>
  <c r="I1616" i="2"/>
  <c r="F1562" i="2"/>
  <c r="F1520" i="2"/>
  <c r="I1490" i="2"/>
  <c r="H1463" i="2"/>
  <c r="G1439" i="2"/>
  <c r="I1417" i="2"/>
  <c r="G1397" i="2"/>
  <c r="F1379" i="2"/>
  <c r="I1360" i="2"/>
  <c r="F1344" i="2"/>
  <c r="F1328" i="2"/>
  <c r="F1312" i="2"/>
  <c r="F1296" i="2"/>
  <c r="F1280" i="2"/>
  <c r="F1264" i="2"/>
  <c r="F1248" i="2"/>
  <c r="F1232" i="2"/>
  <c r="F1216" i="2"/>
  <c r="F1200" i="2"/>
  <c r="I1186" i="2"/>
  <c r="I1173" i="2"/>
  <c r="F1161" i="2"/>
  <c r="I1150" i="2"/>
  <c r="I1141" i="2"/>
  <c r="H1132" i="2"/>
  <c r="H1123" i="2"/>
  <c r="G1114" i="2"/>
  <c r="F1105" i="2"/>
  <c r="F1096" i="2"/>
  <c r="I1086" i="2"/>
  <c r="I1077" i="2"/>
  <c r="H1068" i="2"/>
  <c r="H1059" i="2"/>
  <c r="G1050" i="2"/>
  <c r="G1042" i="2"/>
  <c r="G1034" i="2"/>
  <c r="G1026" i="2"/>
  <c r="G1018" i="2"/>
  <c r="G1010" i="2"/>
  <c r="G1002" i="2"/>
  <c r="G994" i="2"/>
  <c r="G986" i="2"/>
  <c r="G978" i="2"/>
  <c r="G970" i="2"/>
  <c r="G962" i="2"/>
  <c r="G954" i="2"/>
  <c r="G946" i="2"/>
  <c r="G938" i="2"/>
  <c r="G930" i="2"/>
  <c r="G922" i="2"/>
  <c r="G914" i="2"/>
  <c r="G906" i="2"/>
  <c r="G898" i="2"/>
  <c r="G890" i="2"/>
  <c r="G882" i="2"/>
  <c r="F876" i="2"/>
  <c r="G871" i="2"/>
  <c r="H866" i="2"/>
  <c r="F862" i="2"/>
  <c r="H857" i="2"/>
  <c r="I852" i="2"/>
  <c r="G848" i="2"/>
  <c r="I843" i="2"/>
  <c r="G839" i="2"/>
  <c r="G835" i="2"/>
  <c r="G831" i="2"/>
  <c r="G827" i="2"/>
  <c r="G823" i="2"/>
  <c r="G819" i="2"/>
  <c r="G815" i="2"/>
  <c r="G811" i="2"/>
  <c r="G807" i="2"/>
  <c r="G803" i="2"/>
  <c r="G799" i="2"/>
  <c r="G795" i="2"/>
  <c r="G791" i="2"/>
  <c r="G787" i="2"/>
  <c r="G783" i="2"/>
  <c r="G779" i="2"/>
  <c r="G775" i="2"/>
  <c r="G771" i="2"/>
  <c r="G767" i="2"/>
  <c r="G763" i="2"/>
  <c r="G759" i="2"/>
  <c r="G755" i="2"/>
  <c r="G751" i="2"/>
  <c r="G747" i="2"/>
  <c r="G743" i="2"/>
  <c r="G739" i="2"/>
  <c r="G735" i="2"/>
  <c r="G731" i="2"/>
  <c r="G727" i="2"/>
  <c r="G723" i="2"/>
  <c r="G719" i="2"/>
  <c r="G715" i="2"/>
  <c r="G711" i="2"/>
  <c r="G707" i="2"/>
  <c r="G703" i="2"/>
  <c r="G699" i="2"/>
  <c r="G695" i="2"/>
  <c r="G691" i="2"/>
  <c r="G687" i="2"/>
  <c r="G683" i="2"/>
  <c r="G679" i="2"/>
  <c r="G675" i="2"/>
  <c r="G671" i="2"/>
  <c r="G667" i="2"/>
  <c r="G663" i="2"/>
  <c r="G659" i="2"/>
  <c r="G655" i="2"/>
  <c r="G651" i="2"/>
  <c r="G647" i="2"/>
  <c r="G643" i="2"/>
  <c r="G639" i="2"/>
  <c r="G635" i="2"/>
  <c r="G631" i="2"/>
  <c r="I627" i="2"/>
  <c r="G625" i="2"/>
  <c r="I622" i="2"/>
  <c r="I619" i="2"/>
  <c r="G617" i="2"/>
  <c r="I614" i="2"/>
  <c r="I611" i="2"/>
  <c r="G609" i="2"/>
  <c r="I606" i="2"/>
  <c r="I603" i="2"/>
  <c r="G601" i="2"/>
  <c r="I598" i="2"/>
  <c r="G596" i="2"/>
  <c r="F594" i="2"/>
  <c r="I591" i="2"/>
  <c r="H589" i="2"/>
  <c r="G587" i="2"/>
  <c r="F585" i="2"/>
  <c r="I582" i="2"/>
  <c r="G580" i="2"/>
  <c r="F578" i="2"/>
  <c r="I575" i="2"/>
  <c r="H573" i="2"/>
  <c r="G571" i="2"/>
  <c r="F569" i="2"/>
  <c r="I566" i="2"/>
  <c r="G564" i="2"/>
  <c r="F562" i="2"/>
  <c r="I559" i="2"/>
  <c r="H557" i="2"/>
  <c r="G555" i="2"/>
  <c r="F553" i="2"/>
  <c r="I550" i="2"/>
  <c r="G548" i="2"/>
  <c r="F546" i="2"/>
  <c r="I543" i="2"/>
  <c r="H541" i="2"/>
  <c r="G539" i="2"/>
  <c r="F537" i="2"/>
  <c r="I534" i="2"/>
  <c r="G532" i="2"/>
  <c r="F530" i="2"/>
  <c r="I527" i="2"/>
  <c r="H525" i="2"/>
  <c r="G523" i="2"/>
  <c r="F521" i="2"/>
  <c r="I518" i="2"/>
  <c r="G516" i="2"/>
  <c r="F514" i="2"/>
  <c r="I511" i="2"/>
  <c r="H509" i="2"/>
  <c r="G507" i="2"/>
  <c r="F505" i="2"/>
  <c r="I502" i="2"/>
  <c r="G500" i="2"/>
  <c r="F498" i="2"/>
  <c r="F496" i="2"/>
  <c r="F494" i="2"/>
  <c r="F492" i="2"/>
  <c r="F490" i="2"/>
  <c r="F488" i="2"/>
  <c r="F486" i="2"/>
  <c r="F484" i="2"/>
  <c r="F482" i="2"/>
  <c r="F480" i="2"/>
  <c r="F478" i="2"/>
  <c r="F476" i="2"/>
  <c r="F474" i="2"/>
  <c r="F472" i="2"/>
  <c r="F470" i="2"/>
  <c r="F468" i="2"/>
  <c r="F466" i="2"/>
  <c r="F464" i="2"/>
  <c r="F462" i="2"/>
  <c r="F460" i="2"/>
  <c r="F458" i="2"/>
  <c r="F456" i="2"/>
  <c r="F454" i="2"/>
  <c r="F452" i="2"/>
  <c r="F450" i="2"/>
  <c r="F448" i="2"/>
  <c r="F446" i="2"/>
  <c r="F444" i="2"/>
  <c r="F442" i="2"/>
  <c r="F440" i="2"/>
  <c r="F438" i="2"/>
  <c r="F436" i="2"/>
  <c r="F434" i="2"/>
  <c r="F432" i="2"/>
  <c r="F430" i="2"/>
  <c r="F428" i="2"/>
  <c r="F426" i="2"/>
  <c r="F424" i="2"/>
  <c r="F422" i="2"/>
  <c r="F420" i="2"/>
  <c r="F418" i="2"/>
  <c r="F416" i="2"/>
  <c r="F414" i="2"/>
  <c r="F412" i="2"/>
  <c r="F410" i="2"/>
  <c r="F408" i="2"/>
  <c r="F406" i="2"/>
  <c r="F404" i="2"/>
  <c r="F402" i="2"/>
  <c r="F400" i="2"/>
  <c r="F398" i="2"/>
  <c r="F396" i="2"/>
  <c r="F394" i="2"/>
  <c r="F392" i="2"/>
  <c r="F390" i="2"/>
  <c r="F388" i="2"/>
  <c r="F386" i="2"/>
  <c r="F384" i="2"/>
  <c r="F382" i="2"/>
  <c r="F380" i="2"/>
  <c r="F378" i="2"/>
  <c r="F376" i="2"/>
  <c r="F374" i="2"/>
  <c r="F372" i="2"/>
  <c r="F370" i="2"/>
  <c r="F368" i="2"/>
  <c r="F366" i="2"/>
  <c r="F364" i="2"/>
  <c r="F362" i="2"/>
  <c r="F360" i="2"/>
  <c r="F358" i="2"/>
  <c r="F356" i="2"/>
  <c r="F354" i="2"/>
  <c r="F352" i="2"/>
  <c r="F350" i="2"/>
  <c r="F348" i="2"/>
  <c r="F346" i="2"/>
  <c r="F344" i="2"/>
  <c r="F342" i="2"/>
  <c r="F340" i="2"/>
  <c r="F338" i="2"/>
  <c r="F336" i="2"/>
  <c r="G2063" i="2"/>
  <c r="H1817" i="2"/>
  <c r="H1684" i="2"/>
  <c r="G1616" i="2"/>
  <c r="F1560" i="2"/>
  <c r="I1518" i="2"/>
  <c r="I1489" i="2"/>
  <c r="F1463" i="2"/>
  <c r="I1438" i="2"/>
  <c r="G1417" i="2"/>
  <c r="I1396" i="2"/>
  <c r="H1378" i="2"/>
  <c r="F1360" i="2"/>
  <c r="H1343" i="2"/>
  <c r="H1327" i="2"/>
  <c r="H1311" i="2"/>
  <c r="H1295" i="2"/>
  <c r="H1279" i="2"/>
  <c r="H1263" i="2"/>
  <c r="H1247" i="2"/>
  <c r="H1231" i="2"/>
  <c r="H1215" i="2"/>
  <c r="H1199" i="2"/>
  <c r="I1185" i="2"/>
  <c r="F1173" i="2"/>
  <c r="F1160" i="2"/>
  <c r="G1150" i="2"/>
  <c r="F1141" i="2"/>
  <c r="F1132" i="2"/>
  <c r="I1122" i="2"/>
  <c r="I1113" i="2"/>
  <c r="H1104" i="2"/>
  <c r="H1095" i="2"/>
  <c r="G1086" i="2"/>
  <c r="F1077" i="2"/>
  <c r="F1068" i="2"/>
  <c r="I1058" i="2"/>
  <c r="I1049" i="2"/>
  <c r="I1041" i="2"/>
  <c r="I1033" i="2"/>
  <c r="I1025" i="2"/>
  <c r="I1017" i="2"/>
  <c r="I1009" i="2"/>
  <c r="I1001" i="2"/>
  <c r="I993" i="2"/>
  <c r="I985" i="2"/>
  <c r="I977" i="2"/>
  <c r="I969" i="2"/>
  <c r="I961" i="2"/>
  <c r="I953" i="2"/>
  <c r="I945" i="2"/>
  <c r="I937" i="2"/>
  <c r="I929" i="2"/>
  <c r="I921" i="2"/>
  <c r="I913" i="2"/>
  <c r="I905" i="2"/>
  <c r="I897" i="2"/>
  <c r="I889" i="2"/>
  <c r="I881" i="2"/>
  <c r="H875" i="2"/>
  <c r="H870" i="2"/>
  <c r="F866" i="2"/>
  <c r="H861" i="2"/>
  <c r="I856" i="2"/>
  <c r="G852" i="2"/>
  <c r="I847" i="2"/>
  <c r="G843" i="2"/>
  <c r="I838" i="2"/>
  <c r="I834" i="2"/>
  <c r="I830" i="2"/>
  <c r="I826" i="2"/>
  <c r="I822" i="2"/>
  <c r="I818" i="2"/>
  <c r="I814" i="2"/>
  <c r="I810" i="2"/>
  <c r="I806" i="2"/>
  <c r="I802" i="2"/>
  <c r="I798" i="2"/>
  <c r="I794" i="2"/>
  <c r="I790" i="2"/>
  <c r="I786" i="2"/>
  <c r="I782" i="2"/>
  <c r="I778" i="2"/>
  <c r="I774" i="2"/>
  <c r="I770" i="2"/>
  <c r="I766" i="2"/>
  <c r="I762" i="2"/>
  <c r="I758" i="2"/>
  <c r="I754" i="2"/>
  <c r="I750" i="2"/>
  <c r="I746" i="2"/>
  <c r="I742" i="2"/>
  <c r="I738" i="2"/>
  <c r="I734" i="2"/>
  <c r="I730" i="2"/>
  <c r="I726" i="2"/>
  <c r="I722" i="2"/>
  <c r="I718" i="2"/>
  <c r="I714" i="2"/>
  <c r="I710" i="2"/>
  <c r="I706" i="2"/>
  <c r="I702" i="2"/>
  <c r="I698" i="2"/>
  <c r="I694" i="2"/>
  <c r="I690" i="2"/>
  <c r="I686" i="2"/>
  <c r="I682" i="2"/>
  <c r="I678" i="2"/>
  <c r="I674" i="2"/>
  <c r="I670" i="2"/>
  <c r="I666" i="2"/>
  <c r="I662" i="2"/>
  <c r="I658" i="2"/>
  <c r="I654" i="2"/>
  <c r="I650" i="2"/>
  <c r="I646" i="2"/>
  <c r="I642" i="2"/>
  <c r="I638" i="2"/>
  <c r="I634" i="2"/>
  <c r="I630" i="2"/>
  <c r="G627" i="2"/>
  <c r="I624" i="2"/>
  <c r="I621" i="2"/>
  <c r="G619" i="2"/>
  <c r="I616" i="2"/>
  <c r="I613" i="2"/>
  <c r="G611" i="2"/>
  <c r="I608" i="2"/>
  <c r="I605" i="2"/>
  <c r="G603" i="2"/>
  <c r="I600" i="2"/>
  <c r="F598" i="2"/>
  <c r="I595" i="2"/>
  <c r="H593" i="2"/>
  <c r="G591" i="2"/>
  <c r="F589" i="2"/>
  <c r="I586" i="2"/>
  <c r="G584" i="2"/>
  <c r="F582" i="2"/>
  <c r="I579" i="2"/>
  <c r="H577" i="2"/>
  <c r="G575" i="2"/>
  <c r="F573" i="2"/>
  <c r="I570" i="2"/>
  <c r="G568" i="2"/>
  <c r="F566" i="2"/>
  <c r="I563" i="2"/>
  <c r="H561" i="2"/>
  <c r="G559" i="2"/>
  <c r="F557" i="2"/>
  <c r="I554" i="2"/>
  <c r="G552" i="2"/>
  <c r="F550" i="2"/>
  <c r="I547" i="2"/>
  <c r="H545" i="2"/>
  <c r="G543" i="2"/>
  <c r="F541" i="2"/>
  <c r="I538" i="2"/>
  <c r="G536" i="2"/>
  <c r="F534" i="2"/>
  <c r="I531" i="2"/>
  <c r="H529" i="2"/>
  <c r="G527" i="2"/>
  <c r="F525" i="2"/>
  <c r="I522" i="2"/>
  <c r="G520" i="2"/>
  <c r="F518" i="2"/>
  <c r="I515" i="2"/>
  <c r="H513" i="2"/>
  <c r="G511" i="2"/>
  <c r="F509" i="2"/>
  <c r="I506" i="2"/>
  <c r="G504" i="2"/>
  <c r="F502" i="2"/>
  <c r="I499" i="2"/>
  <c r="H497" i="2"/>
  <c r="H495" i="2"/>
  <c r="H493" i="2"/>
  <c r="H491" i="2"/>
  <c r="H489" i="2"/>
  <c r="H487" i="2"/>
  <c r="H485" i="2"/>
  <c r="H483" i="2"/>
  <c r="H481" i="2"/>
  <c r="H479" i="2"/>
  <c r="H477" i="2"/>
  <c r="H475" i="2"/>
  <c r="H473" i="2"/>
  <c r="H471" i="2"/>
  <c r="H469" i="2"/>
  <c r="H467" i="2"/>
  <c r="H465" i="2"/>
  <c r="H463" i="2"/>
  <c r="H461" i="2"/>
  <c r="H459" i="2"/>
  <c r="H457" i="2"/>
  <c r="H455" i="2"/>
  <c r="H453" i="2"/>
  <c r="H451" i="2"/>
  <c r="H449" i="2"/>
  <c r="H447" i="2"/>
  <c r="H445" i="2"/>
  <c r="H443" i="2"/>
  <c r="H441" i="2"/>
  <c r="H439" i="2"/>
  <c r="H437" i="2"/>
  <c r="H435" i="2"/>
  <c r="H433" i="2"/>
  <c r="H431" i="2"/>
  <c r="H429" i="2"/>
  <c r="H427" i="2"/>
  <c r="H425" i="2"/>
  <c r="H423" i="2"/>
  <c r="H421" i="2"/>
  <c r="H419" i="2"/>
  <c r="H417" i="2"/>
  <c r="H415" i="2"/>
  <c r="H413" i="2"/>
  <c r="H411" i="2"/>
  <c r="H409" i="2"/>
  <c r="H407" i="2"/>
  <c r="H405" i="2"/>
  <c r="H403" i="2"/>
  <c r="H401" i="2"/>
  <c r="H399" i="2"/>
  <c r="H397" i="2"/>
  <c r="H395" i="2"/>
  <c r="H393" i="2"/>
  <c r="H391" i="2"/>
  <c r="H389" i="2"/>
  <c r="H387" i="2"/>
  <c r="H385" i="2"/>
  <c r="H383" i="2"/>
  <c r="H381" i="2"/>
  <c r="H379" i="2"/>
  <c r="H377" i="2"/>
  <c r="H375" i="2"/>
  <c r="H373" i="2"/>
  <c r="H371" i="2"/>
  <c r="H369" i="2"/>
  <c r="H367" i="2"/>
  <c r="H365" i="2"/>
  <c r="H363" i="2"/>
  <c r="H361" i="2"/>
  <c r="H359" i="2"/>
  <c r="H357" i="2"/>
  <c r="H355" i="2"/>
  <c r="H353" i="2"/>
  <c r="H351" i="2"/>
  <c r="H349" i="2"/>
  <c r="H347" i="2"/>
  <c r="H345" i="2"/>
  <c r="H343" i="2"/>
  <c r="H341" i="2"/>
  <c r="H339" i="2"/>
  <c r="I1987" i="2"/>
  <c r="H1769" i="2"/>
  <c r="I1667" i="2"/>
  <c r="H1602" i="2"/>
  <c r="F1548" i="2"/>
  <c r="I1511" i="2"/>
  <c r="F1483" i="2"/>
  <c r="F1457" i="2"/>
  <c r="H1433" i="2"/>
  <c r="H1412" i="2"/>
  <c r="H1392" i="2"/>
  <c r="F1374" i="2"/>
  <c r="I1355" i="2"/>
  <c r="I1339" i="2"/>
  <c r="I1323" i="2"/>
  <c r="I1307" i="2"/>
  <c r="I1291" i="2"/>
  <c r="I1275" i="2"/>
  <c r="I1259" i="2"/>
  <c r="I1243" i="2"/>
  <c r="I1227" i="2"/>
  <c r="I1211" i="2"/>
  <c r="I1195" i="2"/>
  <c r="F1183" i="2"/>
  <c r="F1170" i="2"/>
  <c r="H1157" i="2"/>
  <c r="G1148" i="2"/>
  <c r="F1139" i="2"/>
  <c r="F1130" i="2"/>
  <c r="I1120" i="2"/>
  <c r="I1111" i="2"/>
  <c r="H1102" i="2"/>
  <c r="H1093" i="2"/>
  <c r="G1084" i="2"/>
  <c r="F1075" i="2"/>
  <c r="F1066" i="2"/>
  <c r="I1056" i="2"/>
  <c r="F1048" i="2"/>
  <c r="F1040" i="2"/>
  <c r="F1032" i="2"/>
  <c r="F1024" i="2"/>
  <c r="F1016" i="2"/>
  <c r="F1008" i="2"/>
  <c r="F1000" i="2"/>
  <c r="F992" i="2"/>
  <c r="F984" i="2"/>
  <c r="F976" i="2"/>
  <c r="F968" i="2"/>
  <c r="F960" i="2"/>
  <c r="F952" i="2"/>
  <c r="F944" i="2"/>
  <c r="F936" i="2"/>
  <c r="F928" i="2"/>
  <c r="F920" i="2"/>
  <c r="F912" i="2"/>
  <c r="F904" i="2"/>
  <c r="F896" i="2"/>
  <c r="F888" i="2"/>
  <c r="F880" i="2"/>
  <c r="G874" i="2"/>
  <c r="I869" i="2"/>
  <c r="G865" i="2"/>
  <c r="H860" i="2"/>
  <c r="F856" i="2"/>
  <c r="H851" i="2"/>
  <c r="I846" i="2"/>
  <c r="G842" i="2"/>
  <c r="F838" i="2"/>
  <c r="F834" i="2"/>
  <c r="F830" i="2"/>
  <c r="F826" i="2"/>
  <c r="F822" i="2"/>
  <c r="F818" i="2"/>
  <c r="F814" i="2"/>
  <c r="F810" i="2"/>
  <c r="F806" i="2"/>
  <c r="F802" i="2"/>
  <c r="F798" i="2"/>
  <c r="F794" i="2"/>
  <c r="F790" i="2"/>
  <c r="F786" i="2"/>
  <c r="F782" i="2"/>
  <c r="F778" i="2"/>
  <c r="F774" i="2"/>
  <c r="F770" i="2"/>
  <c r="F766" i="2"/>
  <c r="F762" i="2"/>
  <c r="F758" i="2"/>
  <c r="F754" i="2"/>
  <c r="F750" i="2"/>
  <c r="F746" i="2"/>
  <c r="F742" i="2"/>
  <c r="F738" i="2"/>
  <c r="F734" i="2"/>
  <c r="F730" i="2"/>
  <c r="F726" i="2"/>
  <c r="F722" i="2"/>
  <c r="F718" i="2"/>
  <c r="F714" i="2"/>
  <c r="F710" i="2"/>
  <c r="F706" i="2"/>
  <c r="F702" i="2"/>
  <c r="F698" i="2"/>
  <c r="F694" i="2"/>
  <c r="F690" i="2"/>
  <c r="F686" i="2"/>
  <c r="F682" i="2"/>
  <c r="F678" i="2"/>
  <c r="F674" i="2"/>
  <c r="F670" i="2"/>
  <c r="F666" i="2"/>
  <c r="F662" i="2"/>
  <c r="F658" i="2"/>
  <c r="F654" i="2"/>
  <c r="F650" i="2"/>
  <c r="F646" i="2"/>
  <c r="F642" i="2"/>
  <c r="F638" i="2"/>
  <c r="F634" i="2"/>
  <c r="F630" i="2"/>
  <c r="F627" i="2"/>
  <c r="F624" i="2"/>
  <c r="H621" i="2"/>
  <c r="F619" i="2"/>
  <c r="F616" i="2"/>
  <c r="H613" i="2"/>
  <c r="F611" i="2"/>
  <c r="F608" i="2"/>
  <c r="H605" i="2"/>
  <c r="F603" i="2"/>
  <c r="F600" i="2"/>
  <c r="I597" i="2"/>
  <c r="H595" i="2"/>
  <c r="G593" i="2"/>
  <c r="F591" i="2"/>
  <c r="I588" i="2"/>
  <c r="G586" i="2"/>
  <c r="F584" i="2"/>
  <c r="I581" i="2"/>
  <c r="H579" i="2"/>
  <c r="G577" i="2"/>
  <c r="F575" i="2"/>
  <c r="I572" i="2"/>
  <c r="G570" i="2"/>
  <c r="F568" i="2"/>
  <c r="I565" i="2"/>
  <c r="H563" i="2"/>
  <c r="G561" i="2"/>
  <c r="F559" i="2"/>
  <c r="I556" i="2"/>
  <c r="G554" i="2"/>
  <c r="F552" i="2"/>
  <c r="I549" i="2"/>
  <c r="H547" i="2"/>
  <c r="G545" i="2"/>
  <c r="F543" i="2"/>
  <c r="I540" i="2"/>
  <c r="G538" i="2"/>
  <c r="F536" i="2"/>
  <c r="I533" i="2"/>
  <c r="H531" i="2"/>
  <c r="G529" i="2"/>
  <c r="F527" i="2"/>
  <c r="I524" i="2"/>
  <c r="G522" i="2"/>
  <c r="F520" i="2"/>
  <c r="I517" i="2"/>
  <c r="H515" i="2"/>
  <c r="G513" i="2"/>
  <c r="F511" i="2"/>
  <c r="I508" i="2"/>
  <c r="G506" i="2"/>
  <c r="F504" i="2"/>
  <c r="I501" i="2"/>
  <c r="H499" i="2"/>
  <c r="G497" i="2"/>
  <c r="G495" i="2"/>
  <c r="G493" i="2"/>
  <c r="G491" i="2"/>
  <c r="G489" i="2"/>
  <c r="G487" i="2"/>
  <c r="G485" i="2"/>
  <c r="G483" i="2"/>
  <c r="G481" i="2"/>
  <c r="G479" i="2"/>
  <c r="G477" i="2"/>
  <c r="G475" i="2"/>
  <c r="G473" i="2"/>
  <c r="G471" i="2"/>
  <c r="G469" i="2"/>
  <c r="G467" i="2"/>
  <c r="G465" i="2"/>
  <c r="G463" i="2"/>
  <c r="G461" i="2"/>
  <c r="G459" i="2"/>
  <c r="G457" i="2"/>
  <c r="G455" i="2"/>
  <c r="G453" i="2"/>
  <c r="G451" i="2"/>
  <c r="G449" i="2"/>
  <c r="G447" i="2"/>
  <c r="G445" i="2"/>
  <c r="G443" i="2"/>
  <c r="G441" i="2"/>
  <c r="G439" i="2"/>
  <c r="G437" i="2"/>
  <c r="G435" i="2"/>
  <c r="G433" i="2"/>
  <c r="G431" i="2"/>
  <c r="G429" i="2"/>
  <c r="G427" i="2"/>
  <c r="G425" i="2"/>
  <c r="G423" i="2"/>
  <c r="G421" i="2"/>
  <c r="G419" i="2"/>
  <c r="G417" i="2"/>
  <c r="G415" i="2"/>
  <c r="G413" i="2"/>
  <c r="G411" i="2"/>
  <c r="G409" i="2"/>
  <c r="G407" i="2"/>
  <c r="G405" i="2"/>
  <c r="G403" i="2"/>
  <c r="G401" i="2"/>
  <c r="G399" i="2"/>
  <c r="G397" i="2"/>
  <c r="G395" i="2"/>
  <c r="G393" i="2"/>
  <c r="G391" i="2"/>
  <c r="G389" i="2"/>
  <c r="G387" i="2"/>
  <c r="G385" i="2"/>
  <c r="G383" i="2"/>
  <c r="G381" i="2"/>
  <c r="G379" i="2"/>
  <c r="G377" i="2"/>
  <c r="G375" i="2"/>
  <c r="G373" i="2"/>
  <c r="G371" i="2"/>
  <c r="G369" i="2"/>
  <c r="G367" i="2"/>
  <c r="G365" i="2"/>
  <c r="G363" i="2"/>
  <c r="G361" i="2"/>
  <c r="G359" i="2"/>
  <c r="G357" i="2"/>
  <c r="G355" i="2"/>
  <c r="G353" i="2"/>
  <c r="G351" i="2"/>
  <c r="G349" i="2"/>
  <c r="G347" i="2"/>
  <c r="G345" i="2"/>
  <c r="G343" i="2"/>
  <c r="G341" i="2"/>
  <c r="G339" i="2"/>
  <c r="F2077" i="2"/>
  <c r="H1685" i="2"/>
  <c r="G1560" i="2"/>
  <c r="G1490" i="2"/>
  <c r="F1439" i="2"/>
  <c r="F1397" i="2"/>
  <c r="H1360" i="2"/>
  <c r="I1327" i="2"/>
  <c r="I1295" i="2"/>
  <c r="I1263" i="2"/>
  <c r="I1231" i="2"/>
  <c r="I1199" i="2"/>
  <c r="H1173" i="2"/>
  <c r="H1150" i="2"/>
  <c r="G1132" i="2"/>
  <c r="F1114" i="2"/>
  <c r="I1095" i="2"/>
  <c r="H1077" i="2"/>
  <c r="F1059" i="2"/>
  <c r="F1042" i="2"/>
  <c r="F1026" i="2"/>
  <c r="F1010" i="2"/>
  <c r="F994" i="2"/>
  <c r="F978" i="2"/>
  <c r="F962" i="2"/>
  <c r="F946" i="2"/>
  <c r="F930" i="2"/>
  <c r="F914" i="2"/>
  <c r="F898" i="2"/>
  <c r="F882" i="2"/>
  <c r="I870" i="2"/>
  <c r="I861" i="2"/>
  <c r="H852" i="2"/>
  <c r="H843" i="2"/>
  <c r="F835" i="2"/>
  <c r="F827" i="2"/>
  <c r="F819" i="2"/>
  <c r="F811" i="2"/>
  <c r="F803" i="2"/>
  <c r="F795" i="2"/>
  <c r="F787" i="2"/>
  <c r="F779" i="2"/>
  <c r="F771" i="2"/>
  <c r="F763" i="2"/>
  <c r="F755" i="2"/>
  <c r="F747" i="2"/>
  <c r="F739" i="2"/>
  <c r="F731" i="2"/>
  <c r="F723" i="2"/>
  <c r="F715" i="2"/>
  <c r="F707" i="2"/>
  <c r="F699" i="2"/>
  <c r="F691" i="2"/>
  <c r="F683" i="2"/>
  <c r="F675" i="2"/>
  <c r="F667" i="2"/>
  <c r="F659" i="2"/>
  <c r="F651" i="2"/>
  <c r="F643" i="2"/>
  <c r="F635" i="2"/>
  <c r="H627" i="2"/>
  <c r="F622" i="2"/>
  <c r="F617" i="2"/>
  <c r="H611" i="2"/>
  <c r="F606" i="2"/>
  <c r="F601" i="2"/>
  <c r="F596" i="2"/>
  <c r="H591" i="2"/>
  <c r="F587" i="2"/>
  <c r="G582" i="2"/>
  <c r="I577" i="2"/>
  <c r="G573" i="2"/>
  <c r="I568" i="2"/>
  <c r="F564" i="2"/>
  <c r="H559" i="2"/>
  <c r="F555" i="2"/>
  <c r="G550" i="2"/>
  <c r="I545" i="2"/>
  <c r="G541" i="2"/>
  <c r="I536" i="2"/>
  <c r="F532" i="2"/>
  <c r="H527" i="2"/>
  <c r="F523" i="2"/>
  <c r="G518" i="2"/>
  <c r="I513" i="2"/>
  <c r="G509" i="2"/>
  <c r="I504" i="2"/>
  <c r="F500" i="2"/>
  <c r="I495" i="2"/>
  <c r="I491" i="2"/>
  <c r="I487" i="2"/>
  <c r="I483" i="2"/>
  <c r="I479" i="2"/>
  <c r="I475" i="2"/>
  <c r="I471" i="2"/>
  <c r="I467" i="2"/>
  <c r="I463" i="2"/>
  <c r="I459" i="2"/>
  <c r="I455" i="2"/>
  <c r="I451" i="2"/>
  <c r="I447" i="2"/>
  <c r="I443" i="2"/>
  <c r="I439" i="2"/>
  <c r="I435" i="2"/>
  <c r="I431" i="2"/>
  <c r="I427" i="2"/>
  <c r="I423" i="2"/>
  <c r="I419" i="2"/>
  <c r="I415" i="2"/>
  <c r="I411" i="2"/>
  <c r="I407" i="2"/>
  <c r="I403" i="2"/>
  <c r="I399" i="2"/>
  <c r="I395" i="2"/>
  <c r="I391" i="2"/>
  <c r="I387" i="2"/>
  <c r="I383" i="2"/>
  <c r="I379" i="2"/>
  <c r="I375" i="2"/>
  <c r="I371" i="2"/>
  <c r="I367" i="2"/>
  <c r="I363" i="2"/>
  <c r="I359" i="2"/>
  <c r="I355" i="2"/>
  <c r="I351" i="2"/>
  <c r="I347" i="2"/>
  <c r="I343" i="2"/>
  <c r="I339" i="2"/>
  <c r="I336" i="2"/>
  <c r="F334" i="2"/>
  <c r="I331" i="2"/>
  <c r="H329" i="2"/>
  <c r="G327" i="2"/>
  <c r="F325" i="2"/>
  <c r="I322" i="2"/>
  <c r="H320" i="2"/>
  <c r="F318" i="2"/>
  <c r="I315" i="2"/>
  <c r="H313" i="2"/>
  <c r="G311" i="2"/>
  <c r="F309" i="2"/>
  <c r="I306" i="2"/>
  <c r="H304" i="2"/>
  <c r="F302" i="2"/>
  <c r="I299" i="2"/>
  <c r="H297" i="2"/>
  <c r="G295" i="2"/>
  <c r="F293" i="2"/>
  <c r="I290" i="2"/>
  <c r="H288" i="2"/>
  <c r="F286" i="2"/>
  <c r="I283" i="2"/>
  <c r="H281" i="2"/>
  <c r="G279" i="2"/>
  <c r="F277" i="2"/>
  <c r="I274" i="2"/>
  <c r="H272" i="2"/>
  <c r="F270" i="2"/>
  <c r="I267" i="2"/>
  <c r="H265" i="2"/>
  <c r="G263" i="2"/>
  <c r="F261" i="2"/>
  <c r="I258" i="2"/>
  <c r="H256" i="2"/>
  <c r="F254" i="2"/>
  <c r="I251" i="2"/>
  <c r="H249" i="2"/>
  <c r="H247" i="2"/>
  <c r="H245" i="2"/>
  <c r="H243" i="2"/>
  <c r="H241" i="2"/>
  <c r="H239" i="2"/>
  <c r="H237" i="2"/>
  <c r="H235" i="2"/>
  <c r="H233" i="2"/>
  <c r="H231" i="2"/>
  <c r="H229" i="2"/>
  <c r="H227" i="2"/>
  <c r="H225" i="2"/>
  <c r="H223" i="2"/>
  <c r="H221" i="2"/>
  <c r="H219" i="2"/>
  <c r="H217" i="2"/>
  <c r="H215" i="2"/>
  <c r="H213" i="2"/>
  <c r="H211" i="2"/>
  <c r="H209" i="2"/>
  <c r="H207" i="2"/>
  <c r="H205" i="2"/>
  <c r="H203" i="2"/>
  <c r="H115" i="2"/>
  <c r="H113" i="2"/>
  <c r="H111" i="2"/>
  <c r="H109" i="2"/>
  <c r="H107" i="2"/>
  <c r="H105" i="2"/>
  <c r="H103" i="2"/>
  <c r="H101" i="2"/>
  <c r="H99" i="2"/>
  <c r="H97" i="2"/>
  <c r="H95" i="2"/>
  <c r="H93" i="2"/>
  <c r="H91" i="2"/>
  <c r="H89" i="2"/>
  <c r="H87" i="2"/>
  <c r="H85" i="2"/>
  <c r="H83" i="2"/>
  <c r="H81" i="2"/>
  <c r="H79" i="2"/>
  <c r="H77" i="2"/>
  <c r="H75" i="2"/>
  <c r="H73" i="2"/>
  <c r="H71" i="2"/>
  <c r="H69" i="2"/>
  <c r="H67" i="2"/>
  <c r="H65" i="2"/>
  <c r="H63" i="2"/>
  <c r="H61" i="2"/>
  <c r="H59" i="2"/>
  <c r="H57" i="2"/>
  <c r="H55" i="2"/>
  <c r="H53" i="2"/>
  <c r="H51" i="2"/>
  <c r="H49" i="2"/>
  <c r="H47" i="2"/>
  <c r="H45" i="2"/>
  <c r="H43" i="2"/>
  <c r="H41" i="2"/>
  <c r="H39" i="2"/>
  <c r="H37" i="2"/>
  <c r="H35" i="2"/>
  <c r="H33" i="2"/>
  <c r="H31" i="2"/>
  <c r="H29" i="2"/>
  <c r="H27" i="2"/>
  <c r="H25" i="2"/>
  <c r="H23" i="2"/>
  <c r="H21" i="2"/>
  <c r="H19" i="2"/>
  <c r="H17" i="2"/>
  <c r="H15" i="2"/>
  <c r="H13" i="2"/>
  <c r="H11" i="2"/>
  <c r="H9" i="2"/>
  <c r="H7" i="2"/>
  <c r="H5" i="2"/>
  <c r="H3" i="2"/>
  <c r="F1933" i="2"/>
  <c r="F1652" i="2"/>
  <c r="F1536" i="2"/>
  <c r="H1476" i="2"/>
  <c r="I1428" i="2"/>
  <c r="F1388" i="2"/>
  <c r="F1352" i="2"/>
  <c r="F1320" i="2"/>
  <c r="F1288" i="2"/>
  <c r="F1256" i="2"/>
  <c r="F1224" i="2"/>
  <c r="F1193" i="2"/>
  <c r="H1167" i="2"/>
  <c r="G1146" i="2"/>
  <c r="F1128" i="2"/>
  <c r="I1109" i="2"/>
  <c r="H1091" i="2"/>
  <c r="F1073" i="2"/>
  <c r="I1054" i="2"/>
  <c r="G1038" i="2"/>
  <c r="G1022" i="2"/>
  <c r="G1006" i="2"/>
  <c r="G990" i="2"/>
  <c r="G974" i="2"/>
  <c r="G958" i="2"/>
  <c r="G942" i="2"/>
  <c r="G926" i="2"/>
  <c r="G910" i="2"/>
  <c r="G894" i="2"/>
  <c r="H878" i="2"/>
  <c r="I868" i="2"/>
  <c r="I859" i="2"/>
  <c r="H850" i="2"/>
  <c r="H841" i="2"/>
  <c r="G833" i="2"/>
  <c r="G825" i="2"/>
  <c r="G817" i="2"/>
  <c r="G809" i="2"/>
  <c r="G801" i="2"/>
  <c r="G793" i="2"/>
  <c r="G785" i="2"/>
  <c r="G777" i="2"/>
  <c r="G769" i="2"/>
  <c r="G761" i="2"/>
  <c r="G753" i="2"/>
  <c r="G745" i="2"/>
  <c r="G737" i="2"/>
  <c r="G729" i="2"/>
  <c r="G721" i="2"/>
  <c r="G713" i="2"/>
  <c r="G705" i="2"/>
  <c r="G697" i="2"/>
  <c r="G689" i="2"/>
  <c r="G681" i="2"/>
  <c r="G673" i="2"/>
  <c r="G665" i="2"/>
  <c r="G657" i="2"/>
  <c r="G649" i="2"/>
  <c r="G641" i="2"/>
  <c r="G633" i="2"/>
  <c r="I626" i="2"/>
  <c r="G621" i="2"/>
  <c r="I615" i="2"/>
  <c r="I610" i="2"/>
  <c r="G605" i="2"/>
  <c r="I599" i="2"/>
  <c r="G595" i="2"/>
  <c r="I590" i="2"/>
  <c r="F586" i="2"/>
  <c r="H581" i="2"/>
  <c r="F577" i="2"/>
  <c r="G572" i="2"/>
  <c r="I567" i="2"/>
  <c r="G563" i="2"/>
  <c r="I558" i="2"/>
  <c r="F554" i="2"/>
  <c r="H549" i="2"/>
  <c r="F545" i="2"/>
  <c r="G540" i="2"/>
  <c r="I535" i="2"/>
  <c r="G531" i="2"/>
  <c r="I526" i="2"/>
  <c r="F522" i="2"/>
  <c r="H517" i="2"/>
  <c r="F513" i="2"/>
  <c r="G508" i="2"/>
  <c r="I503" i="2"/>
  <c r="G499" i="2"/>
  <c r="F495" i="2"/>
  <c r="F491" i="2"/>
  <c r="F487" i="2"/>
  <c r="F483" i="2"/>
  <c r="F479" i="2"/>
  <c r="F475" i="2"/>
  <c r="F471" i="2"/>
  <c r="F467" i="2"/>
  <c r="F463" i="2"/>
  <c r="F459" i="2"/>
  <c r="F455" i="2"/>
  <c r="F451" i="2"/>
  <c r="F447" i="2"/>
  <c r="F443" i="2"/>
  <c r="F439" i="2"/>
  <c r="F435" i="2"/>
  <c r="F431" i="2"/>
  <c r="F427" i="2"/>
  <c r="F423" i="2"/>
  <c r="F419" i="2"/>
  <c r="F415" i="2"/>
  <c r="F411" i="2"/>
  <c r="F407" i="2"/>
  <c r="F403" i="2"/>
  <c r="F399" i="2"/>
  <c r="F395" i="2"/>
  <c r="F391" i="2"/>
  <c r="F387" i="2"/>
  <c r="F383" i="2"/>
  <c r="F379" i="2"/>
  <c r="F375" i="2"/>
  <c r="F371" i="2"/>
  <c r="F367" i="2"/>
  <c r="F363" i="2"/>
  <c r="F359" i="2"/>
  <c r="F355" i="2"/>
  <c r="F351" i="2"/>
  <c r="F347" i="2"/>
  <c r="F343" i="2"/>
  <c r="F339" i="2"/>
  <c r="H336" i="2"/>
  <c r="I333" i="2"/>
  <c r="H331" i="2"/>
  <c r="G329" i="2"/>
  <c r="F327" i="2"/>
  <c r="I324" i="2"/>
  <c r="H322" i="2"/>
  <c r="F320" i="2"/>
  <c r="I317" i="2"/>
  <c r="H315" i="2"/>
  <c r="G313" i="2"/>
  <c r="F311" i="2"/>
  <c r="I308" i="2"/>
  <c r="H306" i="2"/>
  <c r="F304" i="2"/>
  <c r="I301" i="2"/>
  <c r="H299" i="2"/>
  <c r="G297" i="2"/>
  <c r="F295" i="2"/>
  <c r="I292" i="2"/>
  <c r="H290" i="2"/>
  <c r="F288" i="2"/>
  <c r="I285" i="2"/>
  <c r="H283" i="2"/>
  <c r="G281" i="2"/>
  <c r="F279" i="2"/>
  <c r="I276" i="2"/>
  <c r="H274" i="2"/>
  <c r="F272" i="2"/>
  <c r="I269" i="2"/>
  <c r="H267" i="2"/>
  <c r="G265" i="2"/>
  <c r="F263" i="2"/>
  <c r="I260" i="2"/>
  <c r="H258" i="2"/>
  <c r="F256" i="2"/>
  <c r="I253" i="2"/>
  <c r="H251" i="2"/>
  <c r="G249" i="2"/>
  <c r="G247" i="2"/>
  <c r="G245" i="2"/>
  <c r="G243" i="2"/>
  <c r="G241" i="2"/>
  <c r="G239" i="2"/>
  <c r="G237" i="2"/>
  <c r="G235" i="2"/>
  <c r="G233" i="2"/>
  <c r="G231" i="2"/>
  <c r="G229" i="2"/>
  <c r="G227" i="2"/>
  <c r="G225" i="2"/>
  <c r="G223" i="2"/>
  <c r="G221" i="2"/>
  <c r="G219" i="2"/>
  <c r="G217" i="2"/>
  <c r="G215" i="2"/>
  <c r="G213" i="2"/>
  <c r="G211" i="2"/>
  <c r="G209" i="2"/>
  <c r="G207" i="2"/>
  <c r="G205" i="2"/>
  <c r="G203" i="2"/>
  <c r="G115" i="2"/>
  <c r="G113" i="2"/>
  <c r="G111" i="2"/>
  <c r="G109" i="2"/>
  <c r="G107" i="2"/>
  <c r="G105" i="2"/>
  <c r="G103" i="2"/>
  <c r="G101" i="2"/>
  <c r="G99" i="2"/>
  <c r="G97" i="2"/>
  <c r="G95" i="2"/>
  <c r="G93" i="2"/>
  <c r="G91" i="2"/>
  <c r="G89" i="2"/>
  <c r="G87" i="2"/>
  <c r="G85" i="2"/>
  <c r="G83" i="2"/>
  <c r="G81" i="2"/>
  <c r="G79" i="2"/>
  <c r="G77" i="2"/>
  <c r="G75" i="2"/>
  <c r="G73" i="2"/>
  <c r="G71" i="2"/>
  <c r="G69" i="2"/>
  <c r="G67" i="2"/>
  <c r="G65" i="2"/>
  <c r="G63" i="2"/>
  <c r="G61" i="2"/>
  <c r="G59" i="2"/>
  <c r="G57" i="2"/>
  <c r="G55" i="2"/>
  <c r="G53" i="2"/>
  <c r="G51" i="2"/>
  <c r="G49" i="2"/>
  <c r="G47" i="2"/>
  <c r="G45" i="2"/>
  <c r="G43" i="2"/>
  <c r="G41" i="2"/>
  <c r="G39" i="2"/>
  <c r="G37" i="2"/>
  <c r="G35" i="2"/>
  <c r="G33" i="2"/>
  <c r="G31" i="2"/>
  <c r="G29" i="2"/>
  <c r="G27" i="2"/>
  <c r="G25" i="2"/>
  <c r="G23" i="2"/>
  <c r="G21" i="2"/>
  <c r="G19" i="2"/>
  <c r="G17" i="2"/>
  <c r="G15" i="2"/>
  <c r="G13" i="2"/>
  <c r="G11" i="2"/>
  <c r="G9" i="2"/>
  <c r="G7" i="2"/>
  <c r="G5" i="2"/>
  <c r="G3" i="2"/>
  <c r="H1930" i="2"/>
  <c r="H1650" i="2"/>
  <c r="I1535" i="2"/>
  <c r="I1475" i="2"/>
  <c r="H1428" i="2"/>
  <c r="I1387" i="2"/>
  <c r="I1351" i="2"/>
  <c r="I1319" i="2"/>
  <c r="I1287" i="2"/>
  <c r="I1255" i="2"/>
  <c r="I1223" i="2"/>
  <c r="I1192" i="2"/>
  <c r="F1167" i="2"/>
  <c r="F1146" i="2"/>
  <c r="I1127" i="2"/>
  <c r="H1109" i="2"/>
  <c r="F1091" i="2"/>
  <c r="I1072" i="2"/>
  <c r="H1054" i="2"/>
  <c r="F1038" i="2"/>
  <c r="F1022" i="2"/>
  <c r="F1006" i="2"/>
  <c r="F990" i="2"/>
  <c r="F974" i="2"/>
  <c r="F958" i="2"/>
  <c r="F942" i="2"/>
  <c r="F926" i="2"/>
  <c r="F910" i="2"/>
  <c r="F894" i="2"/>
  <c r="G878" i="2"/>
  <c r="H868" i="2"/>
  <c r="H859" i="2"/>
  <c r="G850" i="2"/>
  <c r="G841" i="2"/>
  <c r="F833" i="2"/>
  <c r="F825" i="2"/>
  <c r="F817" i="2"/>
  <c r="F809" i="2"/>
  <c r="F801" i="2"/>
  <c r="F793" i="2"/>
  <c r="F785" i="2"/>
  <c r="F777" i="2"/>
  <c r="F769" i="2"/>
  <c r="F761" i="2"/>
  <c r="F753" i="2"/>
  <c r="F745" i="2"/>
  <c r="F737" i="2"/>
  <c r="F729" i="2"/>
  <c r="F721" i="2"/>
  <c r="F713" i="2"/>
  <c r="F705" i="2"/>
  <c r="F697" i="2"/>
  <c r="F689" i="2"/>
  <c r="F681" i="2"/>
  <c r="F673" i="2"/>
  <c r="F665" i="2"/>
  <c r="F657" i="2"/>
  <c r="F649" i="2"/>
  <c r="F641" i="2"/>
  <c r="F633" i="2"/>
  <c r="F626" i="2"/>
  <c r="F621" i="2"/>
  <c r="H615" i="2"/>
  <c r="F610" i="2"/>
  <c r="F605" i="2"/>
  <c r="H599" i="2"/>
  <c r="F595" i="2"/>
  <c r="G590" i="2"/>
  <c r="I585" i="2"/>
  <c r="G581" i="2"/>
  <c r="I576" i="2"/>
  <c r="F572" i="2"/>
  <c r="H567" i="2"/>
  <c r="F563" i="2"/>
  <c r="G558" i="2"/>
  <c r="I553" i="2"/>
  <c r="G549" i="2"/>
  <c r="I544" i="2"/>
  <c r="F540" i="2"/>
  <c r="H535" i="2"/>
  <c r="F531" i="2"/>
  <c r="G526" i="2"/>
  <c r="I521" i="2"/>
  <c r="G517" i="2"/>
  <c r="I512" i="2"/>
  <c r="F508" i="2"/>
  <c r="H503" i="2"/>
  <c r="F499" i="2"/>
  <c r="I494" i="2"/>
  <c r="I490" i="2"/>
  <c r="I486" i="2"/>
  <c r="I482" i="2"/>
  <c r="I478" i="2"/>
  <c r="I474" i="2"/>
  <c r="I470" i="2"/>
  <c r="I466" i="2"/>
  <c r="I462" i="2"/>
  <c r="I458" i="2"/>
  <c r="I454" i="2"/>
  <c r="I450" i="2"/>
  <c r="I446" i="2"/>
  <c r="I442" i="2"/>
  <c r="I438" i="2"/>
  <c r="I434" i="2"/>
  <c r="I430" i="2"/>
  <c r="I426" i="2"/>
  <c r="I422" i="2"/>
  <c r="I418" i="2"/>
  <c r="I414" i="2"/>
  <c r="I410" i="2"/>
  <c r="I406" i="2"/>
  <c r="I402" i="2"/>
  <c r="I398" i="2"/>
  <c r="I394" i="2"/>
  <c r="I390" i="2"/>
  <c r="I386" i="2"/>
  <c r="I382" i="2"/>
  <c r="I378" i="2"/>
  <c r="I374" i="2"/>
  <c r="I370" i="2"/>
  <c r="I366" i="2"/>
  <c r="I362" i="2"/>
  <c r="I358" i="2"/>
  <c r="I354" i="2"/>
  <c r="I350" i="2"/>
  <c r="I346" i="2"/>
  <c r="I342" i="2"/>
  <c r="I338" i="2"/>
  <c r="I335" i="2"/>
  <c r="H333" i="2"/>
  <c r="G331" i="2"/>
  <c r="F329" i="2"/>
  <c r="I326" i="2"/>
  <c r="H324" i="2"/>
  <c r="F322" i="2"/>
  <c r="I319" i="2"/>
  <c r="H317" i="2"/>
  <c r="G315" i="2"/>
  <c r="F313" i="2"/>
  <c r="I310" i="2"/>
  <c r="H308" i="2"/>
  <c r="F306" i="2"/>
  <c r="I303" i="2"/>
  <c r="H301" i="2"/>
  <c r="G299" i="2"/>
  <c r="F297" i="2"/>
  <c r="I294" i="2"/>
  <c r="H292" i="2"/>
  <c r="F290" i="2"/>
  <c r="I287" i="2"/>
  <c r="H285" i="2"/>
  <c r="G283" i="2"/>
  <c r="F281" i="2"/>
  <c r="I278" i="2"/>
  <c r="H276" i="2"/>
  <c r="F274" i="2"/>
  <c r="I271" i="2"/>
  <c r="H269" i="2"/>
  <c r="G267" i="2"/>
  <c r="F265" i="2"/>
  <c r="I262" i="2"/>
  <c r="H260" i="2"/>
  <c r="F258" i="2"/>
  <c r="I255" i="2"/>
  <c r="H253" i="2"/>
  <c r="G251" i="2"/>
  <c r="F249" i="2"/>
  <c r="F247" i="2"/>
  <c r="F245" i="2"/>
  <c r="F243" i="2"/>
  <c r="F241" i="2"/>
  <c r="F239" i="2"/>
  <c r="F237" i="2"/>
  <c r="F235" i="2"/>
  <c r="F233" i="2"/>
  <c r="F231" i="2"/>
  <c r="F229" i="2"/>
  <c r="F227" i="2"/>
  <c r="F225" i="2"/>
  <c r="F223" i="2"/>
  <c r="F221" i="2"/>
  <c r="F219" i="2"/>
  <c r="F217" i="2"/>
  <c r="F215" i="2"/>
  <c r="F213" i="2"/>
  <c r="F211" i="2"/>
  <c r="F209" i="2"/>
  <c r="F207" i="2"/>
  <c r="F205" i="2"/>
  <c r="F203" i="2"/>
  <c r="F115" i="2"/>
  <c r="F113" i="2"/>
  <c r="F111" i="2"/>
  <c r="F109" i="2"/>
  <c r="F107" i="2"/>
  <c r="F105" i="2"/>
  <c r="F103" i="2"/>
  <c r="F101" i="2"/>
  <c r="F99" i="2"/>
  <c r="F97" i="2"/>
  <c r="F95" i="2"/>
  <c r="F93" i="2"/>
  <c r="F91" i="2"/>
  <c r="F89" i="2"/>
  <c r="F87" i="2"/>
  <c r="F85" i="2"/>
  <c r="F83" i="2"/>
  <c r="F81" i="2"/>
  <c r="F79" i="2"/>
  <c r="F77" i="2"/>
  <c r="F75" i="2"/>
  <c r="F73" i="2"/>
  <c r="F71" i="2"/>
  <c r="F69" i="2"/>
  <c r="F67" i="2"/>
  <c r="F65" i="2"/>
  <c r="F63" i="2"/>
  <c r="F61" i="2"/>
  <c r="F59" i="2"/>
  <c r="F57" i="2"/>
  <c r="F55" i="2"/>
  <c r="F53" i="2"/>
  <c r="F51" i="2"/>
  <c r="F49" i="2"/>
  <c r="F47" i="2"/>
  <c r="F45" i="2"/>
  <c r="F43" i="2"/>
  <c r="F41" i="2"/>
  <c r="F39" i="2"/>
  <c r="F37" i="2"/>
  <c r="F35" i="2"/>
  <c r="F33" i="2"/>
  <c r="F31" i="2"/>
  <c r="F29" i="2"/>
  <c r="F27" i="2"/>
  <c r="F25" i="2"/>
  <c r="F23" i="2"/>
  <c r="F21" i="2"/>
  <c r="F19" i="2"/>
  <c r="F17" i="2"/>
  <c r="F15" i="2"/>
  <c r="F13" i="2"/>
  <c r="F11" i="2"/>
  <c r="F9" i="2"/>
  <c r="F7" i="2"/>
  <c r="F5" i="2"/>
  <c r="F3" i="2"/>
  <c r="F1929" i="2"/>
  <c r="G1648" i="2"/>
  <c r="H1535" i="2"/>
  <c r="H1475" i="2"/>
  <c r="I1427" i="2"/>
  <c r="H1387" i="2"/>
  <c r="H1351" i="2"/>
  <c r="H1319" i="2"/>
  <c r="H1287" i="2"/>
  <c r="H1255" i="2"/>
  <c r="H1223" i="2"/>
  <c r="F1192" i="2"/>
  <c r="I1166" i="2"/>
  <c r="I1145" i="2"/>
  <c r="H1127" i="2"/>
  <c r="F1109" i="2"/>
  <c r="I1090" i="2"/>
  <c r="H1072" i="2"/>
  <c r="G1054" i="2"/>
  <c r="I1037" i="2"/>
  <c r="I1021" i="2"/>
  <c r="I1005" i="2"/>
  <c r="I989" i="2"/>
  <c r="I973" i="2"/>
  <c r="I957" i="2"/>
  <c r="I941" i="2"/>
  <c r="I925" i="2"/>
  <c r="I909" i="2"/>
  <c r="I893" i="2"/>
  <c r="F878" i="2"/>
  <c r="G868" i="2"/>
  <c r="G859" i="2"/>
  <c r="F850" i="2"/>
  <c r="I840" i="2"/>
  <c r="I832" i="2"/>
  <c r="I824" i="2"/>
  <c r="I816" i="2"/>
  <c r="I808" i="2"/>
  <c r="I800" i="2"/>
  <c r="I792" i="2"/>
  <c r="I784" i="2"/>
  <c r="I776" i="2"/>
  <c r="I768" i="2"/>
  <c r="I760" i="2"/>
  <c r="I752" i="2"/>
  <c r="I744" i="2"/>
  <c r="I736" i="2"/>
  <c r="I728" i="2"/>
  <c r="I720" i="2"/>
  <c r="I712" i="2"/>
  <c r="I704" i="2"/>
  <c r="I696" i="2"/>
  <c r="I688" i="2"/>
  <c r="I680" i="2"/>
  <c r="I672" i="2"/>
  <c r="I664" i="2"/>
  <c r="I656" i="2"/>
  <c r="I648" i="2"/>
  <c r="I640" i="2"/>
  <c r="I632" i="2"/>
  <c r="I625" i="2"/>
  <c r="I620" i="2"/>
  <c r="G615" i="2"/>
  <c r="I609" i="2"/>
  <c r="I604" i="2"/>
  <c r="G599" i="2"/>
  <c r="I594" i="2"/>
  <c r="F590" i="2"/>
  <c r="H585" i="2"/>
  <c r="F581" i="2"/>
  <c r="G576" i="2"/>
  <c r="I571" i="2"/>
  <c r="G567" i="2"/>
  <c r="I562" i="2"/>
  <c r="F558" i="2"/>
  <c r="H553" i="2"/>
  <c r="F549" i="2"/>
  <c r="G544" i="2"/>
  <c r="I539" i="2"/>
  <c r="G535" i="2"/>
  <c r="I530" i="2"/>
  <c r="F526" i="2"/>
  <c r="H521" i="2"/>
  <c r="F517" i="2"/>
  <c r="G512" i="2"/>
  <c r="I507" i="2"/>
  <c r="G503" i="2"/>
  <c r="I498" i="2"/>
  <c r="H494" i="2"/>
  <c r="H490" i="2"/>
  <c r="H486" i="2"/>
  <c r="H482" i="2"/>
  <c r="H478" i="2"/>
  <c r="H474" i="2"/>
  <c r="H470" i="2"/>
  <c r="H466" i="2"/>
  <c r="H462" i="2"/>
  <c r="H458" i="2"/>
  <c r="H454" i="2"/>
  <c r="H450" i="2"/>
  <c r="H446" i="2"/>
  <c r="H442" i="2"/>
  <c r="H438" i="2"/>
  <c r="H434" i="2"/>
  <c r="H430" i="2"/>
  <c r="H426" i="2"/>
  <c r="H422" i="2"/>
  <c r="H418" i="2"/>
  <c r="H414" i="2"/>
  <c r="H410" i="2"/>
  <c r="H406" i="2"/>
  <c r="H402" i="2"/>
  <c r="H398" i="2"/>
  <c r="H394" i="2"/>
  <c r="H390" i="2"/>
  <c r="H386" i="2"/>
  <c r="H382" i="2"/>
  <c r="H378" i="2"/>
  <c r="H374" i="2"/>
  <c r="H370" i="2"/>
  <c r="H366" i="2"/>
  <c r="H362" i="2"/>
  <c r="H358" i="2"/>
  <c r="H354" i="2"/>
  <c r="H350" i="2"/>
  <c r="H346" i="2"/>
  <c r="H342" i="2"/>
  <c r="H338" i="2"/>
  <c r="H335" i="2"/>
  <c r="G333" i="2"/>
  <c r="F331" i="2"/>
  <c r="I328" i="2"/>
  <c r="H326" i="2"/>
  <c r="F324" i="2"/>
  <c r="I321" i="2"/>
  <c r="H319" i="2"/>
  <c r="G317" i="2"/>
  <c r="H1823" i="2"/>
  <c r="H1616" i="2"/>
  <c r="H1519" i="2"/>
  <c r="G1463" i="2"/>
  <c r="H1417" i="2"/>
  <c r="I1378" i="2"/>
  <c r="I1343" i="2"/>
  <c r="I1311" i="2"/>
  <c r="I1279" i="2"/>
  <c r="I1247" i="2"/>
  <c r="I1215" i="2"/>
  <c r="F1186" i="2"/>
  <c r="I1160" i="2"/>
  <c r="H1141" i="2"/>
  <c r="F1123" i="2"/>
  <c r="I1104" i="2"/>
  <c r="H1086" i="2"/>
  <c r="G1068" i="2"/>
  <c r="F1050" i="2"/>
  <c r="F1034" i="2"/>
  <c r="F1018" i="2"/>
  <c r="F1002" i="2"/>
  <c r="F986" i="2"/>
  <c r="F970" i="2"/>
  <c r="F954" i="2"/>
  <c r="F938" i="2"/>
  <c r="F922" i="2"/>
  <c r="F906" i="2"/>
  <c r="F890" i="2"/>
  <c r="I875" i="2"/>
  <c r="G866" i="2"/>
  <c r="G857" i="2"/>
  <c r="F848" i="2"/>
  <c r="F839" i="2"/>
  <c r="F831" i="2"/>
  <c r="F823" i="2"/>
  <c r="F815" i="2"/>
  <c r="F807" i="2"/>
  <c r="F799" i="2"/>
  <c r="F791" i="2"/>
  <c r="F783" i="2"/>
  <c r="F775" i="2"/>
  <c r="F767" i="2"/>
  <c r="F759" i="2"/>
  <c r="F751" i="2"/>
  <c r="F743" i="2"/>
  <c r="F735" i="2"/>
  <c r="F727" i="2"/>
  <c r="F719" i="2"/>
  <c r="F711" i="2"/>
  <c r="F703" i="2"/>
  <c r="F695" i="2"/>
  <c r="F687" i="2"/>
  <c r="F679" i="2"/>
  <c r="F671" i="2"/>
  <c r="F663" i="2"/>
  <c r="F655" i="2"/>
  <c r="F647" i="2"/>
  <c r="F639" i="2"/>
  <c r="F631" i="2"/>
  <c r="F625" i="2"/>
  <c r="H619" i="2"/>
  <c r="F614" i="2"/>
  <c r="F609" i="2"/>
  <c r="H603" i="2"/>
  <c r="G598" i="2"/>
  <c r="I593" i="2"/>
  <c r="G589" i="2"/>
  <c r="I584" i="2"/>
  <c r="F580" i="2"/>
  <c r="H575" i="2"/>
  <c r="F571" i="2"/>
  <c r="G566" i="2"/>
  <c r="I561" i="2"/>
  <c r="G557" i="2"/>
  <c r="I552" i="2"/>
  <c r="F548" i="2"/>
  <c r="H543" i="2"/>
  <c r="F539" i="2"/>
  <c r="G534" i="2"/>
  <c r="I529" i="2"/>
  <c r="G525" i="2"/>
  <c r="I520" i="2"/>
  <c r="F516" i="2"/>
  <c r="H511" i="2"/>
  <c r="F507" i="2"/>
  <c r="G502" i="2"/>
  <c r="I497" i="2"/>
  <c r="I493" i="2"/>
  <c r="I489" i="2"/>
  <c r="I485" i="2"/>
  <c r="I481" i="2"/>
  <c r="I477" i="2"/>
  <c r="I473" i="2"/>
  <c r="I469" i="2"/>
  <c r="I465" i="2"/>
  <c r="I461" i="2"/>
  <c r="I457" i="2"/>
  <c r="I453" i="2"/>
  <c r="I449" i="2"/>
  <c r="I445" i="2"/>
  <c r="I441" i="2"/>
  <c r="I437" i="2"/>
  <c r="I433" i="2"/>
  <c r="I429" i="2"/>
  <c r="I425" i="2"/>
  <c r="I421" i="2"/>
  <c r="I417" i="2"/>
  <c r="I413" i="2"/>
  <c r="I409" i="2"/>
  <c r="I405" i="2"/>
  <c r="I401" i="2"/>
  <c r="I397" i="2"/>
  <c r="I393" i="2"/>
  <c r="I389" i="2"/>
  <c r="I385" i="2"/>
  <c r="I381" i="2"/>
  <c r="I377" i="2"/>
  <c r="I373" i="2"/>
  <c r="I369" i="2"/>
  <c r="I365" i="2"/>
  <c r="I361" i="2"/>
  <c r="I357" i="2"/>
  <c r="I353" i="2"/>
  <c r="I349" i="2"/>
  <c r="I345" i="2"/>
  <c r="I341" i="2"/>
  <c r="I337" i="2"/>
  <c r="G335" i="2"/>
  <c r="F333" i="2"/>
  <c r="I330" i="2"/>
  <c r="H328" i="2"/>
  <c r="F326" i="2"/>
  <c r="I323" i="2"/>
  <c r="H321" i="2"/>
  <c r="G319" i="2"/>
  <c r="F317" i="2"/>
  <c r="I314" i="2"/>
  <c r="H312" i="2"/>
  <c r="F310" i="2"/>
  <c r="I307" i="2"/>
  <c r="H305" i="2"/>
  <c r="G303" i="2"/>
  <c r="F301" i="2"/>
  <c r="I298" i="2"/>
  <c r="H296" i="2"/>
  <c r="F294" i="2"/>
  <c r="I291" i="2"/>
  <c r="H289" i="2"/>
  <c r="G287" i="2"/>
  <c r="F285" i="2"/>
  <c r="I282" i="2"/>
  <c r="H280" i="2"/>
  <c r="F278" i="2"/>
  <c r="I275" i="2"/>
  <c r="H273" i="2"/>
  <c r="G271" i="2"/>
  <c r="F269" i="2"/>
  <c r="I266" i="2"/>
  <c r="H264" i="2"/>
  <c r="F262" i="2"/>
  <c r="I259" i="2"/>
  <c r="H257" i="2"/>
  <c r="G255" i="2"/>
  <c r="F253" i="2"/>
  <c r="I250" i="2"/>
  <c r="H248" i="2"/>
  <c r="H246" i="2"/>
  <c r="H244" i="2"/>
  <c r="H242" i="2"/>
  <c r="H240" i="2"/>
  <c r="H238" i="2"/>
  <c r="H236" i="2"/>
  <c r="H234" i="2"/>
  <c r="H232" i="2"/>
  <c r="H230" i="2"/>
  <c r="H228" i="2"/>
  <c r="H226" i="2"/>
  <c r="H224" i="2"/>
  <c r="H222" i="2"/>
  <c r="H220" i="2"/>
  <c r="H218" i="2"/>
  <c r="H216" i="2"/>
  <c r="H214" i="2"/>
  <c r="H212" i="2"/>
  <c r="H210" i="2"/>
  <c r="H208" i="2"/>
  <c r="H206" i="2"/>
  <c r="H204" i="2"/>
  <c r="H202" i="2"/>
  <c r="H114" i="2"/>
  <c r="H112" i="2"/>
  <c r="H110" i="2"/>
  <c r="H108" i="2"/>
  <c r="H106" i="2"/>
  <c r="H104" i="2"/>
  <c r="H102" i="2"/>
  <c r="H100" i="2"/>
  <c r="H98" i="2"/>
  <c r="H96" i="2"/>
  <c r="H94" i="2"/>
  <c r="H92" i="2"/>
  <c r="H90" i="2"/>
  <c r="H88" i="2"/>
  <c r="H86" i="2"/>
  <c r="H84" i="2"/>
  <c r="H82" i="2"/>
  <c r="H80" i="2"/>
  <c r="H78" i="2"/>
  <c r="H76" i="2"/>
  <c r="H74" i="2"/>
  <c r="H72" i="2"/>
  <c r="H70" i="2"/>
  <c r="H68" i="2"/>
  <c r="H66" i="2"/>
  <c r="H64" i="2"/>
  <c r="H62" i="2"/>
  <c r="H60" i="2"/>
  <c r="H58" i="2"/>
  <c r="H56" i="2"/>
  <c r="H54" i="2"/>
  <c r="H52" i="2"/>
  <c r="H50" i="2"/>
  <c r="H48" i="2"/>
  <c r="H46" i="2"/>
  <c r="H44" i="2"/>
  <c r="H42" i="2"/>
  <c r="H40" i="2"/>
  <c r="H38" i="2"/>
  <c r="H36" i="2"/>
  <c r="H34" i="2"/>
  <c r="H32" i="2"/>
  <c r="H30" i="2"/>
  <c r="H28" i="2"/>
  <c r="H26" i="2"/>
  <c r="H24" i="2"/>
  <c r="H22" i="2"/>
  <c r="H20" i="2"/>
  <c r="H18" i="2"/>
  <c r="H16" i="2"/>
  <c r="H14" i="2"/>
  <c r="H12" i="2"/>
  <c r="H10" i="2"/>
  <c r="H8" i="2"/>
  <c r="H6" i="2"/>
  <c r="H4" i="2"/>
  <c r="H2" i="2"/>
  <c r="F1741" i="2"/>
  <c r="I1588" i="2"/>
  <c r="F1505" i="2"/>
  <c r="F1451" i="2"/>
  <c r="G1407" i="2"/>
  <c r="I1369" i="2"/>
  <c r="F1336" i="2"/>
  <c r="F1304" i="2"/>
  <c r="F1272" i="2"/>
  <c r="F1240" i="2"/>
  <c r="F1208" i="2"/>
  <c r="F1180" i="2"/>
  <c r="H1155" i="2"/>
  <c r="F1137" i="2"/>
  <c r="I1118" i="2"/>
  <c r="H1100" i="2"/>
  <c r="G1082" i="2"/>
  <c r="F1064" i="2"/>
  <c r="G1046" i="2"/>
  <c r="G1030" i="2"/>
  <c r="G1014" i="2"/>
  <c r="G998" i="2"/>
  <c r="G982" i="2"/>
  <c r="G966" i="2"/>
  <c r="G950" i="2"/>
  <c r="G934" i="2"/>
  <c r="G918" i="2"/>
  <c r="G902" i="2"/>
  <c r="G886" i="2"/>
  <c r="H873" i="2"/>
  <c r="G864" i="2"/>
  <c r="G855" i="2"/>
  <c r="F846" i="2"/>
  <c r="G837" i="2"/>
  <c r="G829" i="2"/>
  <c r="G821" i="2"/>
  <c r="G813" i="2"/>
  <c r="G805" i="2"/>
  <c r="G797" i="2"/>
  <c r="G789" i="2"/>
  <c r="G781" i="2"/>
  <c r="G773" i="2"/>
  <c r="G765" i="2"/>
  <c r="G757" i="2"/>
  <c r="G749" i="2"/>
  <c r="G741" i="2"/>
  <c r="G733" i="2"/>
  <c r="G725" i="2"/>
  <c r="G717" i="2"/>
  <c r="G709" i="2"/>
  <c r="G701" i="2"/>
  <c r="G693" i="2"/>
  <c r="G685" i="2"/>
  <c r="G677" i="2"/>
  <c r="G669" i="2"/>
  <c r="G661" i="2"/>
  <c r="G653" i="2"/>
  <c r="G645" i="2"/>
  <c r="G637" i="2"/>
  <c r="G629" i="2"/>
  <c r="I623" i="2"/>
  <c r="I618" i="2"/>
  <c r="G613" i="2"/>
  <c r="I607" i="2"/>
  <c r="I602" i="2"/>
  <c r="H597" i="2"/>
  <c r="F593" i="2"/>
  <c r="G588" i="2"/>
  <c r="I583" i="2"/>
  <c r="G579" i="2"/>
  <c r="I574" i="2"/>
  <c r="F570" i="2"/>
  <c r="H565" i="2"/>
  <c r="F561" i="2"/>
  <c r="G556" i="2"/>
  <c r="I551" i="2"/>
  <c r="G547" i="2"/>
  <c r="I542" i="2"/>
  <c r="F538" i="2"/>
  <c r="H533" i="2"/>
  <c r="F529" i="2"/>
  <c r="G524" i="2"/>
  <c r="I519" i="2"/>
  <c r="G515" i="2"/>
  <c r="I510" i="2"/>
  <c r="F506" i="2"/>
  <c r="H501" i="2"/>
  <c r="F497" i="2"/>
  <c r="F493" i="2"/>
  <c r="F489" i="2"/>
  <c r="F485" i="2"/>
  <c r="F481" i="2"/>
  <c r="F477" i="2"/>
  <c r="F473" i="2"/>
  <c r="F469" i="2"/>
  <c r="F465" i="2"/>
  <c r="F461" i="2"/>
  <c r="F457" i="2"/>
  <c r="F453" i="2"/>
  <c r="F449" i="2"/>
  <c r="F445" i="2"/>
  <c r="F441" i="2"/>
  <c r="F437" i="2"/>
  <c r="F433" i="2"/>
  <c r="F429" i="2"/>
  <c r="F425" i="2"/>
  <c r="F421" i="2"/>
  <c r="F417" i="2"/>
  <c r="F413" i="2"/>
  <c r="F409" i="2"/>
  <c r="F405" i="2"/>
  <c r="F401" i="2"/>
  <c r="F397" i="2"/>
  <c r="F393" i="2"/>
  <c r="F389" i="2"/>
  <c r="F385" i="2"/>
  <c r="F381" i="2"/>
  <c r="F377" i="2"/>
  <c r="F373" i="2"/>
  <c r="F369" i="2"/>
  <c r="F365" i="2"/>
  <c r="F361" i="2"/>
  <c r="F357" i="2"/>
  <c r="F353" i="2"/>
  <c r="F349" i="2"/>
  <c r="F345" i="2"/>
  <c r="F341" i="2"/>
  <c r="I1737" i="2"/>
  <c r="G1588" i="2"/>
  <c r="I1504" i="2"/>
  <c r="H1450" i="2"/>
  <c r="F1407" i="2"/>
  <c r="H1369" i="2"/>
  <c r="I1335" i="2"/>
  <c r="I1303" i="2"/>
  <c r="I1271" i="2"/>
  <c r="I1239" i="2"/>
  <c r="I1207" i="2"/>
  <c r="I1179" i="2"/>
  <c r="F1155" i="2"/>
  <c r="I1136" i="2"/>
  <c r="H1118" i="2"/>
  <c r="G1100" i="2"/>
  <c r="F1082" i="2"/>
  <c r="I1063" i="2"/>
  <c r="F1046" i="2"/>
  <c r="F1030" i="2"/>
  <c r="F1014" i="2"/>
  <c r="F998" i="2"/>
  <c r="F982" i="2"/>
  <c r="F966" i="2"/>
  <c r="F950" i="2"/>
  <c r="F934" i="2"/>
  <c r="F918" i="2"/>
  <c r="F902" i="2"/>
  <c r="F886" i="2"/>
  <c r="G873" i="2"/>
  <c r="F864" i="2"/>
  <c r="I854" i="2"/>
  <c r="I845" i="2"/>
  <c r="F837" i="2"/>
  <c r="F829" i="2"/>
  <c r="F821" i="2"/>
  <c r="F813" i="2"/>
  <c r="F805" i="2"/>
  <c r="F797" i="2"/>
  <c r="F789" i="2"/>
  <c r="F781" i="2"/>
  <c r="F773" i="2"/>
  <c r="F765" i="2"/>
  <c r="F757" i="2"/>
  <c r="F749" i="2"/>
  <c r="F741" i="2"/>
  <c r="F733" i="2"/>
  <c r="F725" i="2"/>
  <c r="F717" i="2"/>
  <c r="F709" i="2"/>
  <c r="F701" i="2"/>
  <c r="F693" i="2"/>
  <c r="F685" i="2"/>
  <c r="F677" i="2"/>
  <c r="F669" i="2"/>
  <c r="F661" i="2"/>
  <c r="F653" i="2"/>
  <c r="F645" i="2"/>
  <c r="F637" i="2"/>
  <c r="F629" i="2"/>
  <c r="H623" i="2"/>
  <c r="F618" i="2"/>
  <c r="F613" i="2"/>
  <c r="H607" i="2"/>
  <c r="F602" i="2"/>
  <c r="G597" i="2"/>
  <c r="I592" i="2"/>
  <c r="F588" i="2"/>
  <c r="H583" i="2"/>
  <c r="F579" i="2"/>
  <c r="G574" i="2"/>
  <c r="I569" i="2"/>
  <c r="G565" i="2"/>
  <c r="I560" i="2"/>
  <c r="F556" i="2"/>
  <c r="H551" i="2"/>
  <c r="F547" i="2"/>
  <c r="G542" i="2"/>
  <c r="I537" i="2"/>
  <c r="G533" i="2"/>
  <c r="I528" i="2"/>
  <c r="F524" i="2"/>
  <c r="H519" i="2"/>
  <c r="F515" i="2"/>
  <c r="G510" i="2"/>
  <c r="I505" i="2"/>
  <c r="G501" i="2"/>
  <c r="I496" i="2"/>
  <c r="I492" i="2"/>
  <c r="I488" i="2"/>
  <c r="I484" i="2"/>
  <c r="I480" i="2"/>
  <c r="I476" i="2"/>
  <c r="I472" i="2"/>
  <c r="I468" i="2"/>
  <c r="I464" i="2"/>
  <c r="I460" i="2"/>
  <c r="I456" i="2"/>
  <c r="I452" i="2"/>
  <c r="I448" i="2"/>
  <c r="I444" i="2"/>
  <c r="I440" i="2"/>
  <c r="I436" i="2"/>
  <c r="I432" i="2"/>
  <c r="I428" i="2"/>
  <c r="I424" i="2"/>
  <c r="I420" i="2"/>
  <c r="I416" i="2"/>
  <c r="I412" i="2"/>
  <c r="I408" i="2"/>
  <c r="I404" i="2"/>
  <c r="I400" i="2"/>
  <c r="I396" i="2"/>
  <c r="I392" i="2"/>
  <c r="I388" i="2"/>
  <c r="I384" i="2"/>
  <c r="I380" i="2"/>
  <c r="I376" i="2"/>
  <c r="I372" i="2"/>
  <c r="I368" i="2"/>
  <c r="I364" i="2"/>
  <c r="I360" i="2"/>
  <c r="I356" i="2"/>
  <c r="H1736" i="2"/>
  <c r="H1271" i="2"/>
  <c r="I1081" i="2"/>
  <c r="I949" i="2"/>
  <c r="H845" i="2"/>
  <c r="I780" i="2"/>
  <c r="I716" i="2"/>
  <c r="I652" i="2"/>
  <c r="I601" i="2"/>
  <c r="F565" i="2"/>
  <c r="G528" i="2"/>
  <c r="H492" i="2"/>
  <c r="H460" i="2"/>
  <c r="H428" i="2"/>
  <c r="H396" i="2"/>
  <c r="H364" i="2"/>
  <c r="H344" i="2"/>
  <c r="H334" i="2"/>
  <c r="I327" i="2"/>
  <c r="G321" i="2"/>
  <c r="F316" i="2"/>
  <c r="H311" i="2"/>
  <c r="F307" i="2"/>
  <c r="H302" i="2"/>
  <c r="I297" i="2"/>
  <c r="G293" i="2"/>
  <c r="I288" i="2"/>
  <c r="F284" i="2"/>
  <c r="H279" i="2"/>
  <c r="F275" i="2"/>
  <c r="H270" i="2"/>
  <c r="I265" i="2"/>
  <c r="G261" i="2"/>
  <c r="I256" i="2"/>
  <c r="F252" i="2"/>
  <c r="I247" i="2"/>
  <c r="I243" i="2"/>
  <c r="I239" i="2"/>
  <c r="I235" i="2"/>
  <c r="I231" i="2"/>
  <c r="I227" i="2"/>
  <c r="I223" i="2"/>
  <c r="I219" i="2"/>
  <c r="I215" i="2"/>
  <c r="I211" i="2"/>
  <c r="I207" i="2"/>
  <c r="I203" i="2"/>
  <c r="I113" i="2"/>
  <c r="I109" i="2"/>
  <c r="I105" i="2"/>
  <c r="I101" i="2"/>
  <c r="I97" i="2"/>
  <c r="I93" i="2"/>
  <c r="I89" i="2"/>
  <c r="I85" i="2"/>
  <c r="I81" i="2"/>
  <c r="I77" i="2"/>
  <c r="I73" i="2"/>
  <c r="I69" i="2"/>
  <c r="I65" i="2"/>
  <c r="I61" i="2"/>
  <c r="I57" i="2"/>
  <c r="I53" i="2"/>
  <c r="I49" i="2"/>
  <c r="I45" i="2"/>
  <c r="I41" i="2"/>
  <c r="I37" i="2"/>
  <c r="I33" i="2"/>
  <c r="I29" i="2"/>
  <c r="I25" i="2"/>
  <c r="I21" i="2"/>
  <c r="I17" i="2"/>
  <c r="I13" i="2"/>
  <c r="I9" i="2"/>
  <c r="I5" i="2"/>
  <c r="I1586" i="2"/>
  <c r="H1239" i="2"/>
  <c r="H1063" i="2"/>
  <c r="I933" i="2"/>
  <c r="I836" i="2"/>
  <c r="I772" i="2"/>
  <c r="I708" i="2"/>
  <c r="I644" i="2"/>
  <c r="F597" i="2"/>
  <c r="G560" i="2"/>
  <c r="I523" i="2"/>
  <c r="H488" i="2"/>
  <c r="H456" i="2"/>
  <c r="H424" i="2"/>
  <c r="H392" i="2"/>
  <c r="H360" i="2"/>
  <c r="I340" i="2"/>
  <c r="I332" i="2"/>
  <c r="H327" i="2"/>
  <c r="F321" i="2"/>
  <c r="F315" i="2"/>
  <c r="H310" i="2"/>
  <c r="I305" i="2"/>
  <c r="G301" i="2"/>
  <c r="I296" i="2"/>
  <c r="F292" i="2"/>
  <c r="H287" i="2"/>
  <c r="F283" i="2"/>
  <c r="H278" i="2"/>
  <c r="I273" i="2"/>
  <c r="G269" i="2"/>
  <c r="I264" i="2"/>
  <c r="F260" i="2"/>
  <c r="H255" i="2"/>
  <c r="F251" i="2"/>
  <c r="I246" i="2"/>
  <c r="I242" i="2"/>
  <c r="I238" i="2"/>
  <c r="I234" i="2"/>
  <c r="I230" i="2"/>
  <c r="I226" i="2"/>
  <c r="I222" i="2"/>
  <c r="I218" i="2"/>
  <c r="I214" i="2"/>
  <c r="I210" i="2"/>
  <c r="I206" i="2"/>
  <c r="I202" i="2"/>
  <c r="I112" i="2"/>
  <c r="I108" i="2"/>
  <c r="I104" i="2"/>
  <c r="I100" i="2"/>
  <c r="I96" i="2"/>
  <c r="I92" i="2"/>
  <c r="I88" i="2"/>
  <c r="I84" i="2"/>
  <c r="I80" i="2"/>
  <c r="I76" i="2"/>
  <c r="I72" i="2"/>
  <c r="I68" i="2"/>
  <c r="I64" i="2"/>
  <c r="I60" i="2"/>
  <c r="I56" i="2"/>
  <c r="I52" i="2"/>
  <c r="I48" i="2"/>
  <c r="I44" i="2"/>
  <c r="I40" i="2"/>
  <c r="I36" i="2"/>
  <c r="I32" i="2"/>
  <c r="I28" i="2"/>
  <c r="I24" i="2"/>
  <c r="I20" i="2"/>
  <c r="I16" i="2"/>
  <c r="I12" i="2"/>
  <c r="I8" i="2"/>
  <c r="I4" i="2"/>
  <c r="G1504" i="2"/>
  <c r="H1207" i="2"/>
  <c r="I1045" i="2"/>
  <c r="I917" i="2"/>
  <c r="I828" i="2"/>
  <c r="I764" i="2"/>
  <c r="I700" i="2"/>
  <c r="I636" i="2"/>
  <c r="G592" i="2"/>
  <c r="I555" i="2"/>
  <c r="G519" i="2"/>
  <c r="H484" i="2"/>
  <c r="H452" i="2"/>
  <c r="H420" i="2"/>
  <c r="H388" i="2"/>
  <c r="H356" i="2"/>
  <c r="H340" i="2"/>
  <c r="H332" i="2"/>
  <c r="I325" i="2"/>
  <c r="I320" i="2"/>
  <c r="H314" i="2"/>
  <c r="I309" i="2"/>
  <c r="G305" i="2"/>
  <c r="I300" i="2"/>
  <c r="F296" i="2"/>
  <c r="H291" i="2"/>
  <c r="F287" i="2"/>
  <c r="H282" i="2"/>
  <c r="I277" i="2"/>
  <c r="G273" i="2"/>
  <c r="I268" i="2"/>
  <c r="F264" i="2"/>
  <c r="H259" i="2"/>
  <c r="F255" i="2"/>
  <c r="H250" i="2"/>
  <c r="G246" i="2"/>
  <c r="G242" i="2"/>
  <c r="G238" i="2"/>
  <c r="G234" i="2"/>
  <c r="G230" i="2"/>
  <c r="G226" i="2"/>
  <c r="G222" i="2"/>
  <c r="G218" i="2"/>
  <c r="G214" i="2"/>
  <c r="G210" i="2"/>
  <c r="G206" i="2"/>
  <c r="G202" i="2"/>
  <c r="G112" i="2"/>
  <c r="G108" i="2"/>
  <c r="G104" i="2"/>
  <c r="G100" i="2"/>
  <c r="G96" i="2"/>
  <c r="G92" i="2"/>
  <c r="G88" i="2"/>
  <c r="G84" i="2"/>
  <c r="G80" i="2"/>
  <c r="G76" i="2"/>
  <c r="G72" i="2"/>
  <c r="G68" i="2"/>
  <c r="G64" i="2"/>
  <c r="G60" i="2"/>
  <c r="G56" i="2"/>
  <c r="G52" i="2"/>
  <c r="G48" i="2"/>
  <c r="G44" i="2"/>
  <c r="G40" i="2"/>
  <c r="G36" i="2"/>
  <c r="G32" i="2"/>
  <c r="G28" i="2"/>
  <c r="G24" i="2"/>
  <c r="G20" i="2"/>
  <c r="G16" i="2"/>
  <c r="G12" i="2"/>
  <c r="G8" i="2"/>
  <c r="G4" i="2"/>
  <c r="I1449" i="2"/>
  <c r="H1179" i="2"/>
  <c r="I1029" i="2"/>
  <c r="I901" i="2"/>
  <c r="I820" i="2"/>
  <c r="I756" i="2"/>
  <c r="I692" i="2"/>
  <c r="I628" i="2"/>
  <c r="I587" i="2"/>
  <c r="G551" i="2"/>
  <c r="I514" i="2"/>
  <c r="H480" i="2"/>
  <c r="H448" i="2"/>
  <c r="H416" i="2"/>
  <c r="H384" i="2"/>
  <c r="I352" i="2"/>
  <c r="H337" i="2"/>
  <c r="F332" i="2"/>
  <c r="H325" i="2"/>
  <c r="F319" i="2"/>
  <c r="F314" i="2"/>
  <c r="H309" i="2"/>
  <c r="F305" i="2"/>
  <c r="H300" i="2"/>
  <c r="I295" i="2"/>
  <c r="G291" i="2"/>
  <c r="I286" i="2"/>
  <c r="F282" i="2"/>
  <c r="H277" i="2"/>
  <c r="F273" i="2"/>
  <c r="H268" i="2"/>
  <c r="I263" i="2"/>
  <c r="G259" i="2"/>
  <c r="I254" i="2"/>
  <c r="F250" i="2"/>
  <c r="F246" i="2"/>
  <c r="F242" i="2"/>
  <c r="F238" i="2"/>
  <c r="F234" i="2"/>
  <c r="F230" i="2"/>
  <c r="F226" i="2"/>
  <c r="F222" i="2"/>
  <c r="F218" i="2"/>
  <c r="F214" i="2"/>
  <c r="F210" i="2"/>
  <c r="F206" i="2"/>
  <c r="F202" i="2"/>
  <c r="F112" i="2"/>
  <c r="F108" i="2"/>
  <c r="F104" i="2"/>
  <c r="F100" i="2"/>
  <c r="F96" i="2"/>
  <c r="F92" i="2"/>
  <c r="F88" i="2"/>
  <c r="F84" i="2"/>
  <c r="F80" i="2"/>
  <c r="F76" i="2"/>
  <c r="F72" i="2"/>
  <c r="F68" i="2"/>
  <c r="F64" i="2"/>
  <c r="F60" i="2"/>
  <c r="F56" i="2"/>
  <c r="F52" i="2"/>
  <c r="F48" i="2"/>
  <c r="F44" i="2"/>
  <c r="F40" i="2"/>
  <c r="F36" i="2"/>
  <c r="F32" i="2"/>
  <c r="F28" i="2"/>
  <c r="F24" i="2"/>
  <c r="F20" i="2"/>
  <c r="F16" i="2"/>
  <c r="F12" i="2"/>
  <c r="F8" i="2"/>
  <c r="F4" i="2"/>
  <c r="I1406" i="2"/>
  <c r="I1154" i="2"/>
  <c r="I1013" i="2"/>
  <c r="I885" i="2"/>
  <c r="I812" i="2"/>
  <c r="I748" i="2"/>
  <c r="I684" i="2"/>
  <c r="G623" i="2"/>
  <c r="G583" i="2"/>
  <c r="I546" i="2"/>
  <c r="F510" i="2"/>
  <c r="H476" i="2"/>
  <c r="H444" i="2"/>
  <c r="H412" i="2"/>
  <c r="H380" i="2"/>
  <c r="H352" i="2"/>
  <c r="G337" i="2"/>
  <c r="H330" i="2"/>
  <c r="G325" i="2"/>
  <c r="I318" i="2"/>
  <c r="I313" i="2"/>
  <c r="G309" i="2"/>
  <c r="I304" i="2"/>
  <c r="F300" i="2"/>
  <c r="H295" i="2"/>
  <c r="F291" i="2"/>
  <c r="H286" i="2"/>
  <c r="I281" i="2"/>
  <c r="G277" i="2"/>
  <c r="I272" i="2"/>
  <c r="F268" i="2"/>
  <c r="H263" i="2"/>
  <c r="F259" i="2"/>
  <c r="H254" i="2"/>
  <c r="I249" i="2"/>
  <c r="I245" i="2"/>
  <c r="I241" i="2"/>
  <c r="I237" i="2"/>
  <c r="I233" i="2"/>
  <c r="I229" i="2"/>
  <c r="I225" i="2"/>
  <c r="I221" i="2"/>
  <c r="I217" i="2"/>
  <c r="I213" i="2"/>
  <c r="I209" i="2"/>
  <c r="I205" i="2"/>
  <c r="I115" i="2"/>
  <c r="I111" i="2"/>
  <c r="I107" i="2"/>
  <c r="I103" i="2"/>
  <c r="I99" i="2"/>
  <c r="I95" i="2"/>
  <c r="I91" i="2"/>
  <c r="I87" i="2"/>
  <c r="I83" i="2"/>
  <c r="I79" i="2"/>
  <c r="I75" i="2"/>
  <c r="I71" i="2"/>
  <c r="I67" i="2"/>
  <c r="I63" i="2"/>
  <c r="I59" i="2"/>
  <c r="I55" i="2"/>
  <c r="I51" i="2"/>
  <c r="I47" i="2"/>
  <c r="I43" i="2"/>
  <c r="I39" i="2"/>
  <c r="I35" i="2"/>
  <c r="I31" i="2"/>
  <c r="I27" i="2"/>
  <c r="I23" i="2"/>
  <c r="I19" i="2"/>
  <c r="I15" i="2"/>
  <c r="I11" i="2"/>
  <c r="I7" i="2"/>
  <c r="I3" i="2"/>
  <c r="G1369" i="2"/>
  <c r="H1136" i="2"/>
  <c r="I997" i="2"/>
  <c r="I872" i="2"/>
  <c r="I804" i="2"/>
  <c r="I740" i="2"/>
  <c r="I676" i="2"/>
  <c r="I617" i="2"/>
  <c r="I578" i="2"/>
  <c r="F542" i="2"/>
  <c r="H505" i="2"/>
  <c r="H472" i="2"/>
  <c r="H440" i="2"/>
  <c r="H408" i="2"/>
  <c r="H376" i="2"/>
  <c r="I348" i="2"/>
  <c r="F337" i="2"/>
  <c r="F330" i="2"/>
  <c r="H323" i="2"/>
  <c r="H318" i="2"/>
  <c r="I312" i="2"/>
  <c r="F308" i="2"/>
  <c r="H303" i="2"/>
  <c r="F299" i="2"/>
  <c r="H294" i="2"/>
  <c r="I289" i="2"/>
  <c r="G285" i="2"/>
  <c r="I280" i="2"/>
  <c r="F276" i="2"/>
  <c r="H271" i="2"/>
  <c r="F267" i="2"/>
  <c r="H262" i="2"/>
  <c r="I257" i="2"/>
  <c r="G253" i="2"/>
  <c r="I248" i="2"/>
  <c r="I244" i="2"/>
  <c r="I240" i="2"/>
  <c r="I236" i="2"/>
  <c r="I232" i="2"/>
  <c r="I228" i="2"/>
  <c r="I224" i="2"/>
  <c r="I220" i="2"/>
  <c r="I216" i="2"/>
  <c r="I212" i="2"/>
  <c r="I208" i="2"/>
  <c r="I204" i="2"/>
  <c r="I114" i="2"/>
  <c r="I110" i="2"/>
  <c r="I106" i="2"/>
  <c r="I102" i="2"/>
  <c r="I98" i="2"/>
  <c r="I94" i="2"/>
  <c r="I90" i="2"/>
  <c r="I86" i="2"/>
  <c r="I82" i="2"/>
  <c r="I78" i="2"/>
  <c r="I74" i="2"/>
  <c r="I70" i="2"/>
  <c r="I66" i="2"/>
  <c r="I62" i="2"/>
  <c r="I58" i="2"/>
  <c r="I54" i="2"/>
  <c r="I50" i="2"/>
  <c r="I46" i="2"/>
  <c r="I42" i="2"/>
  <c r="I38" i="2"/>
  <c r="I34" i="2"/>
  <c r="I30" i="2"/>
  <c r="I26" i="2"/>
  <c r="I22" i="2"/>
  <c r="I18" i="2"/>
  <c r="I14" i="2"/>
  <c r="I10" i="2"/>
  <c r="I6" i="2"/>
  <c r="I2" i="2"/>
  <c r="H1335" i="2"/>
  <c r="G1118" i="2"/>
  <c r="I981" i="2"/>
  <c r="I863" i="2"/>
  <c r="I796" i="2"/>
  <c r="I732" i="2"/>
  <c r="I668" i="2"/>
  <c r="I612" i="2"/>
  <c r="F574" i="2"/>
  <c r="H537" i="2"/>
  <c r="F501" i="2"/>
  <c r="H468" i="2"/>
  <c r="H436" i="2"/>
  <c r="H404" i="2"/>
  <c r="H372" i="2"/>
  <c r="H348" i="2"/>
  <c r="F335" i="2"/>
  <c r="I329" i="2"/>
  <c r="G323" i="2"/>
  <c r="I316" i="2"/>
  <c r="F312" i="2"/>
  <c r="H307" i="2"/>
  <c r="F303" i="2"/>
  <c r="H298" i="2"/>
  <c r="I293" i="2"/>
  <c r="G289" i="2"/>
  <c r="I284" i="2"/>
  <c r="F280" i="2"/>
  <c r="H275" i="2"/>
  <c r="F271" i="2"/>
  <c r="H266" i="2"/>
  <c r="I261" i="2"/>
  <c r="G257" i="2"/>
  <c r="I252" i="2"/>
  <c r="G248" i="2"/>
  <c r="G244" i="2"/>
  <c r="G240" i="2"/>
  <c r="G236" i="2"/>
  <c r="G232" i="2"/>
  <c r="G228" i="2"/>
  <c r="G224" i="2"/>
  <c r="G220" i="2"/>
  <c r="G216" i="2"/>
  <c r="G212" i="2"/>
  <c r="G208" i="2"/>
  <c r="G204" i="2"/>
  <c r="G114" i="2"/>
  <c r="G110" i="2"/>
  <c r="G106" i="2"/>
  <c r="G102" i="2"/>
  <c r="G98" i="2"/>
  <c r="G94" i="2"/>
  <c r="G90" i="2"/>
  <c r="G86" i="2"/>
  <c r="G82" i="2"/>
  <c r="G78" i="2"/>
  <c r="G74" i="2"/>
  <c r="G70" i="2"/>
  <c r="G66" i="2"/>
  <c r="G62" i="2"/>
  <c r="G58" i="2"/>
  <c r="G54" i="2"/>
  <c r="G50" i="2"/>
  <c r="G46" i="2"/>
  <c r="G42" i="2"/>
  <c r="G38" i="2"/>
  <c r="G34" i="2"/>
  <c r="G30" i="2"/>
  <c r="G26" i="2"/>
  <c r="G22" i="2"/>
  <c r="G18" i="2"/>
  <c r="G14" i="2"/>
  <c r="G10" i="2"/>
  <c r="G6" i="2"/>
  <c r="G2" i="2"/>
  <c r="H1303" i="2"/>
  <c r="F1100" i="2"/>
  <c r="I965" i="2"/>
  <c r="H854" i="2"/>
  <c r="I788" i="2"/>
  <c r="I724" i="2"/>
  <c r="I660" i="2"/>
  <c r="G607" i="2"/>
  <c r="H569" i="2"/>
  <c r="F533" i="2"/>
  <c r="H496" i="2"/>
  <c r="H464" i="2"/>
  <c r="H432" i="2"/>
  <c r="H400" i="2"/>
  <c r="H368" i="2"/>
  <c r="I344" i="2"/>
  <c r="I334" i="2"/>
  <c r="F328" i="2"/>
  <c r="F323" i="2"/>
  <c r="H316" i="2"/>
  <c r="I311" i="2"/>
  <c r="G307" i="2"/>
  <c r="I302" i="2"/>
  <c r="F298" i="2"/>
  <c r="H293" i="2"/>
  <c r="F289" i="2"/>
  <c r="H284" i="2"/>
  <c r="I279" i="2"/>
  <c r="G275" i="2"/>
  <c r="I270" i="2"/>
  <c r="F266" i="2"/>
  <c r="H261" i="2"/>
  <c r="F257" i="2"/>
  <c r="H252" i="2"/>
  <c r="F248" i="2"/>
  <c r="F244" i="2"/>
  <c r="F240" i="2"/>
  <c r="F236" i="2"/>
  <c r="F232" i="2"/>
  <c r="F228" i="2"/>
  <c r="F224" i="2"/>
  <c r="F220" i="2"/>
  <c r="F216" i="2"/>
  <c r="F212" i="2"/>
  <c r="F208" i="2"/>
  <c r="F204" i="2"/>
  <c r="F114" i="2"/>
  <c r="F110" i="2"/>
  <c r="F106" i="2"/>
  <c r="F102" i="2"/>
  <c r="F98" i="2"/>
  <c r="F94" i="2"/>
  <c r="F90" i="2"/>
  <c r="F86" i="2"/>
  <c r="F82" i="2"/>
  <c r="F78" i="2"/>
  <c r="F74" i="2"/>
  <c r="F70" i="2"/>
  <c r="F66" i="2"/>
  <c r="F62" i="2"/>
  <c r="F58" i="2"/>
  <c r="F54" i="2"/>
  <c r="F50" i="2"/>
  <c r="F46" i="2"/>
  <c r="F42" i="2"/>
  <c r="F38" i="2"/>
  <c r="F34" i="2"/>
  <c r="F30" i="2"/>
  <c r="F26" i="2"/>
  <c r="F22" i="2"/>
  <c r="F18" i="2"/>
  <c r="F14" i="2"/>
  <c r="F10" i="2"/>
  <c r="F6" i="2"/>
  <c r="F2" i="2"/>
  <c r="F8" i="1" l="1"/>
  <c r="F12" i="1"/>
  <c r="F16" i="1"/>
  <c r="F20" i="1"/>
  <c r="F24" i="1"/>
  <c r="F28" i="1"/>
  <c r="F32" i="1"/>
  <c r="F36" i="1"/>
  <c r="F40" i="1"/>
  <c r="F44" i="1"/>
  <c r="F48" i="1"/>
  <c r="F52" i="1"/>
  <c r="F56" i="1"/>
  <c r="F60" i="1"/>
  <c r="F64" i="1"/>
  <c r="F68" i="1"/>
  <c r="F72" i="1"/>
  <c r="F76" i="1"/>
  <c r="F80" i="1"/>
  <c r="F84" i="1"/>
  <c r="F88" i="1"/>
  <c r="F92" i="1"/>
  <c r="F96" i="1"/>
  <c r="F100" i="1"/>
  <c r="F104" i="1"/>
  <c r="F108" i="1"/>
  <c r="F112" i="1"/>
  <c r="F116" i="1"/>
  <c r="F120" i="1"/>
  <c r="F186" i="1"/>
  <c r="F190" i="1"/>
  <c r="F194" i="1"/>
  <c r="F198" i="1"/>
  <c r="F202" i="1"/>
  <c r="F206" i="1"/>
  <c r="F210" i="1"/>
  <c r="F214" i="1"/>
  <c r="F218" i="1"/>
  <c r="F222" i="1"/>
  <c r="F226" i="1"/>
  <c r="F230" i="1"/>
  <c r="H234" i="1"/>
  <c r="F239" i="1"/>
  <c r="H243" i="1"/>
  <c r="F248" i="1"/>
  <c r="I252" i="1"/>
  <c r="G257" i="1"/>
  <c r="I261" i="1"/>
  <c r="H266" i="1"/>
  <c r="F271" i="1"/>
  <c r="H275" i="1"/>
  <c r="F280" i="1"/>
  <c r="I284" i="1"/>
  <c r="G289" i="1"/>
  <c r="I293" i="1"/>
  <c r="H298" i="1"/>
  <c r="F305" i="1"/>
  <c r="F310" i="1"/>
  <c r="I316" i="1"/>
  <c r="I326" i="1"/>
  <c r="H350" i="1"/>
  <c r="H382" i="1"/>
  <c r="H414" i="1"/>
  <c r="H446" i="1"/>
  <c r="H478" i="1"/>
  <c r="F515" i="1"/>
  <c r="H551" i="1"/>
  <c r="G589" i="1"/>
  <c r="I642" i="1"/>
  <c r="I706" i="1"/>
  <c r="I770" i="1"/>
  <c r="H836" i="1"/>
  <c r="I947" i="1"/>
  <c r="F1082" i="1"/>
  <c r="H1285" i="1"/>
  <c r="G8" i="1"/>
  <c r="G12" i="1"/>
  <c r="G16" i="1"/>
  <c r="G20" i="1"/>
  <c r="G24" i="1"/>
  <c r="G28" i="1"/>
  <c r="G32" i="1"/>
  <c r="G36" i="1"/>
  <c r="G40" i="1"/>
  <c r="G44" i="1"/>
  <c r="G48" i="1"/>
  <c r="G52" i="1"/>
  <c r="G56" i="1"/>
  <c r="G60" i="1"/>
  <c r="G64" i="1"/>
  <c r="G68" i="1"/>
  <c r="G72" i="1"/>
  <c r="G76" i="1"/>
  <c r="G80" i="1"/>
  <c r="G84" i="1"/>
  <c r="G88" i="1"/>
  <c r="G92" i="1"/>
  <c r="G96" i="1"/>
  <c r="G100" i="1"/>
  <c r="G104" i="1"/>
  <c r="G108" i="1"/>
  <c r="G112" i="1"/>
  <c r="G116" i="1"/>
  <c r="G120" i="1"/>
  <c r="G186" i="1"/>
  <c r="G190" i="1"/>
  <c r="G194" i="1"/>
  <c r="G198" i="1"/>
  <c r="G202" i="1"/>
  <c r="G206" i="1"/>
  <c r="G210" i="1"/>
  <c r="G214" i="1"/>
  <c r="G218" i="1"/>
  <c r="G222" i="1"/>
  <c r="G226" i="1"/>
  <c r="G230" i="1"/>
  <c r="I234" i="1"/>
  <c r="G239" i="1"/>
  <c r="I243" i="1"/>
  <c r="H248" i="1"/>
  <c r="F253" i="1"/>
  <c r="H257" i="1"/>
  <c r="F262" i="1"/>
  <c r="I266" i="1"/>
  <c r="G271" i="1"/>
  <c r="I275" i="1"/>
  <c r="H280" i="1"/>
  <c r="F285" i="1"/>
  <c r="H289" i="1"/>
  <c r="F294" i="1"/>
  <c r="I298" i="1"/>
  <c r="G305" i="1"/>
  <c r="I311" i="1"/>
  <c r="F317" i="1"/>
  <c r="H330" i="1"/>
  <c r="H354" i="1"/>
  <c r="H386" i="1"/>
  <c r="H418" i="1"/>
  <c r="H450" i="1"/>
  <c r="F483" i="1"/>
  <c r="H519" i="1"/>
  <c r="F556" i="1"/>
  <c r="I594" i="1"/>
  <c r="I650" i="1"/>
  <c r="I714" i="1"/>
  <c r="I778" i="1"/>
  <c r="I845" i="1"/>
  <c r="I963" i="1"/>
  <c r="G1100" i="1"/>
  <c r="H1317" i="1"/>
  <c r="I8" i="1"/>
  <c r="I12" i="1"/>
  <c r="I16" i="1"/>
  <c r="I20" i="1"/>
  <c r="I24" i="1"/>
  <c r="I28" i="1"/>
  <c r="I32" i="1"/>
  <c r="I36" i="1"/>
  <c r="I40" i="1"/>
  <c r="I44" i="1"/>
  <c r="I48" i="1"/>
  <c r="I52" i="1"/>
  <c r="I56" i="1"/>
  <c r="I60" i="1"/>
  <c r="I64" i="1"/>
  <c r="I68" i="1"/>
  <c r="I72" i="1"/>
  <c r="I76" i="1"/>
  <c r="I80" i="1"/>
  <c r="I84" i="1"/>
  <c r="I88" i="1"/>
  <c r="I92" i="1"/>
  <c r="I96" i="1"/>
  <c r="I100" i="1"/>
  <c r="I104" i="1"/>
  <c r="I108" i="1"/>
  <c r="I112" i="1"/>
  <c r="I116" i="1"/>
  <c r="I120" i="1"/>
  <c r="I186" i="1"/>
  <c r="I190" i="1"/>
  <c r="I194" i="1"/>
  <c r="I198" i="1"/>
  <c r="I202" i="1"/>
  <c r="I206" i="1"/>
  <c r="I210" i="1"/>
  <c r="I214" i="1"/>
  <c r="I218" i="1"/>
  <c r="I222" i="1"/>
  <c r="I226" i="1"/>
  <c r="I230" i="1"/>
  <c r="G235" i="1"/>
  <c r="I239" i="1"/>
  <c r="H244" i="1"/>
  <c r="F249" i="1"/>
  <c r="H253" i="1"/>
  <c r="F258" i="1"/>
  <c r="I262" i="1"/>
  <c r="G267" i="1"/>
  <c r="I271" i="1"/>
  <c r="H276" i="1"/>
  <c r="F281" i="1"/>
  <c r="H285" i="1"/>
  <c r="F290" i="1"/>
  <c r="I294" i="1"/>
  <c r="H300" i="1"/>
  <c r="H305" i="1"/>
  <c r="F312" i="1"/>
  <c r="F319" i="1"/>
  <c r="I330" i="1"/>
  <c r="H358" i="1"/>
  <c r="H390" i="1"/>
  <c r="H422" i="1"/>
  <c r="H454" i="1"/>
  <c r="H487" i="1"/>
  <c r="F524" i="1"/>
  <c r="I560" i="1"/>
  <c r="I599" i="1"/>
  <c r="I658" i="1"/>
  <c r="I722" i="1"/>
  <c r="I786" i="1"/>
  <c r="I854" i="1"/>
  <c r="I979" i="1"/>
  <c r="H1118" i="1"/>
  <c r="G1351" i="1"/>
  <c r="I9" i="1"/>
  <c r="I13" i="1"/>
  <c r="I17" i="1"/>
  <c r="I21" i="1"/>
  <c r="I25" i="1"/>
  <c r="I29" i="1"/>
  <c r="I33" i="1"/>
  <c r="I37" i="1"/>
  <c r="I41" i="1"/>
  <c r="I45" i="1"/>
  <c r="I49" i="1"/>
  <c r="I53" i="1"/>
  <c r="I57" i="1"/>
  <c r="I61" i="1"/>
  <c r="I65" i="1"/>
  <c r="I69" i="1"/>
  <c r="I73" i="1"/>
  <c r="I77" i="1"/>
  <c r="I81" i="1"/>
  <c r="I85" i="1"/>
  <c r="I89" i="1"/>
  <c r="I93" i="1"/>
  <c r="I97" i="1"/>
  <c r="I101" i="1"/>
  <c r="I105" i="1"/>
  <c r="I109" i="1"/>
  <c r="I113" i="1"/>
  <c r="I117" i="1"/>
  <c r="I121" i="1"/>
  <c r="I187" i="1"/>
  <c r="I191" i="1"/>
  <c r="I195" i="1"/>
  <c r="I199" i="1"/>
  <c r="I203" i="1"/>
  <c r="I207" i="1"/>
  <c r="I211" i="1"/>
  <c r="I215" i="1"/>
  <c r="I219" i="1"/>
  <c r="I223" i="1"/>
  <c r="I227" i="1"/>
  <c r="I231" i="1"/>
  <c r="H236" i="1"/>
  <c r="F241" i="1"/>
  <c r="H245" i="1"/>
  <c r="F250" i="1"/>
  <c r="I254" i="1"/>
  <c r="G259" i="1"/>
  <c r="I263" i="1"/>
  <c r="H268" i="1"/>
  <c r="F273" i="1"/>
  <c r="H277" i="1"/>
  <c r="F282" i="1"/>
  <c r="I286" i="1"/>
  <c r="G291" i="1"/>
  <c r="I295" i="1"/>
  <c r="I300" i="1"/>
  <c r="G307" i="1"/>
  <c r="H312" i="1"/>
  <c r="G319" i="1"/>
  <c r="H334" i="1"/>
  <c r="H362" i="1"/>
  <c r="H394" i="1"/>
  <c r="H426" i="1"/>
  <c r="H458" i="1"/>
  <c r="F492" i="1"/>
  <c r="I528" i="1"/>
  <c r="G565" i="1"/>
  <c r="G605" i="1"/>
  <c r="I666" i="1"/>
  <c r="I730" i="1"/>
  <c r="I794" i="1"/>
  <c r="I867" i="1"/>
  <c r="I995" i="1"/>
  <c r="I1136" i="1"/>
  <c r="I1388" i="1"/>
  <c r="F10" i="1"/>
  <c r="F14" i="1"/>
  <c r="F18" i="1"/>
  <c r="F22" i="1"/>
  <c r="F26" i="1"/>
  <c r="F30" i="1"/>
  <c r="F34" i="1"/>
  <c r="F38" i="1"/>
  <c r="F42" i="1"/>
  <c r="F46" i="1"/>
  <c r="F50" i="1"/>
  <c r="F54" i="1"/>
  <c r="F58" i="1"/>
  <c r="F62" i="1"/>
  <c r="F66" i="1"/>
  <c r="F70" i="1"/>
  <c r="F74" i="1"/>
  <c r="F78" i="1"/>
  <c r="F82" i="1"/>
  <c r="F86" i="1"/>
  <c r="F90" i="1"/>
  <c r="F94" i="1"/>
  <c r="F98" i="1"/>
  <c r="F102" i="1"/>
  <c r="F106" i="1"/>
  <c r="F110" i="1"/>
  <c r="F114" i="1"/>
  <c r="F118" i="1"/>
  <c r="F184" i="1"/>
  <c r="F188" i="1"/>
  <c r="F192" i="1"/>
  <c r="F196" i="1"/>
  <c r="F200" i="1"/>
  <c r="F204" i="1"/>
  <c r="F208" i="1"/>
  <c r="F212" i="1"/>
  <c r="F216" i="1"/>
  <c r="F220" i="1"/>
  <c r="F224" i="1"/>
  <c r="F228" i="1"/>
  <c r="F232" i="1"/>
  <c r="I236" i="1"/>
  <c r="G241" i="1"/>
  <c r="I245" i="1"/>
  <c r="H250" i="1"/>
  <c r="F255" i="1"/>
  <c r="H259" i="1"/>
  <c r="F264" i="1"/>
  <c r="I268" i="1"/>
  <c r="G273" i="1"/>
  <c r="I277" i="1"/>
  <c r="H282" i="1"/>
  <c r="F287" i="1"/>
  <c r="H291" i="1"/>
  <c r="F296" i="1"/>
  <c r="F301" i="1"/>
  <c r="H307" i="1"/>
  <c r="F314" i="1"/>
  <c r="H319" i="1"/>
  <c r="I334" i="1"/>
  <c r="H366" i="1"/>
  <c r="H398" i="1"/>
  <c r="H430" i="1"/>
  <c r="H462" i="1"/>
  <c r="I496" i="1"/>
  <c r="G533" i="1"/>
  <c r="I569" i="1"/>
  <c r="I610" i="1"/>
  <c r="I674" i="1"/>
  <c r="I738" i="1"/>
  <c r="I802" i="1"/>
  <c r="I883" i="1"/>
  <c r="I1011" i="1"/>
  <c r="H1161" i="1"/>
  <c r="I1431" i="1"/>
  <c r="G10" i="1"/>
  <c r="G14" i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  <c r="G78" i="1"/>
  <c r="G82" i="1"/>
  <c r="G86" i="1"/>
  <c r="G90" i="1"/>
  <c r="G94" i="1"/>
  <c r="G98" i="1"/>
  <c r="G102" i="1"/>
  <c r="G106" i="1"/>
  <c r="G110" i="1"/>
  <c r="G114" i="1"/>
  <c r="G118" i="1"/>
  <c r="G184" i="1"/>
  <c r="G188" i="1"/>
  <c r="G192" i="1"/>
  <c r="G196" i="1"/>
  <c r="G200" i="1"/>
  <c r="G204" i="1"/>
  <c r="G208" i="1"/>
  <c r="G212" i="1"/>
  <c r="G216" i="1"/>
  <c r="G220" i="1"/>
  <c r="G224" i="1"/>
  <c r="G228" i="1"/>
  <c r="H232" i="1"/>
  <c r="F237" i="1"/>
  <c r="H241" i="1"/>
  <c r="F246" i="1"/>
  <c r="I250" i="1"/>
  <c r="G255" i="1"/>
  <c r="I259" i="1"/>
  <c r="H264" i="1"/>
  <c r="F269" i="1"/>
  <c r="H273" i="1"/>
  <c r="F278" i="1"/>
  <c r="I282" i="1"/>
  <c r="G287" i="1"/>
  <c r="I291" i="1"/>
  <c r="H296" i="1"/>
  <c r="I302" i="1"/>
  <c r="I307" i="1"/>
  <c r="H314" i="1"/>
  <c r="H322" i="1"/>
  <c r="H338" i="1"/>
  <c r="H370" i="1"/>
  <c r="H402" i="1"/>
  <c r="H434" i="1"/>
  <c r="H466" i="1"/>
  <c r="G501" i="1"/>
  <c r="I537" i="1"/>
  <c r="G574" i="1"/>
  <c r="I618" i="1"/>
  <c r="I682" i="1"/>
  <c r="I746" i="1"/>
  <c r="I810" i="1"/>
  <c r="I899" i="1"/>
  <c r="I1027" i="1"/>
  <c r="H1189" i="1"/>
  <c r="G1486" i="1"/>
  <c r="I10" i="1"/>
  <c r="I14" i="1"/>
  <c r="I18" i="1"/>
  <c r="I22" i="1"/>
  <c r="I26" i="1"/>
  <c r="I30" i="1"/>
  <c r="I34" i="1"/>
  <c r="I38" i="1"/>
  <c r="I42" i="1"/>
  <c r="I46" i="1"/>
  <c r="I50" i="1"/>
  <c r="I54" i="1"/>
  <c r="I58" i="1"/>
  <c r="I62" i="1"/>
  <c r="I66" i="1"/>
  <c r="I70" i="1"/>
  <c r="I74" i="1"/>
  <c r="I78" i="1"/>
  <c r="I82" i="1"/>
  <c r="I86" i="1"/>
  <c r="I90" i="1"/>
  <c r="I94" i="1"/>
  <c r="I98" i="1"/>
  <c r="I102" i="1"/>
  <c r="I106" i="1"/>
  <c r="I110" i="1"/>
  <c r="I114" i="1"/>
  <c r="I118" i="1"/>
  <c r="I184" i="1"/>
  <c r="I188" i="1"/>
  <c r="I192" i="1"/>
  <c r="I196" i="1"/>
  <c r="I200" i="1"/>
  <c r="I204" i="1"/>
  <c r="I208" i="1"/>
  <c r="I212" i="1"/>
  <c r="I216" i="1"/>
  <c r="I220" i="1"/>
  <c r="I224" i="1"/>
  <c r="I228" i="1"/>
  <c r="F233" i="1"/>
  <c r="H237" i="1"/>
  <c r="F242" i="1"/>
  <c r="I246" i="1"/>
  <c r="G251" i="1"/>
  <c r="I255" i="1"/>
  <c r="H260" i="1"/>
  <c r="F265" i="1"/>
  <c r="H269" i="1"/>
  <c r="F274" i="1"/>
  <c r="I278" i="1"/>
  <c r="G283" i="1"/>
  <c r="I287" i="1"/>
  <c r="H292" i="1"/>
  <c r="F297" i="1"/>
  <c r="F303" i="1"/>
  <c r="H309" i="1"/>
  <c r="I314" i="1"/>
  <c r="I322" i="1"/>
  <c r="H342" i="1"/>
  <c r="H374" i="1"/>
  <c r="H406" i="1"/>
  <c r="H438" i="1"/>
  <c r="H470" i="1"/>
  <c r="I505" i="1"/>
  <c r="G542" i="1"/>
  <c r="F579" i="1"/>
  <c r="I626" i="1"/>
  <c r="I690" i="1"/>
  <c r="I754" i="1"/>
  <c r="I818" i="1"/>
  <c r="I915" i="1"/>
  <c r="H1045" i="1"/>
  <c r="H1221" i="1"/>
  <c r="I1568" i="1"/>
  <c r="I11" i="1"/>
  <c r="I15" i="1"/>
  <c r="I19" i="1"/>
  <c r="I23" i="1"/>
  <c r="I27" i="1"/>
  <c r="I31" i="1"/>
  <c r="I35" i="1"/>
  <c r="I39" i="1"/>
  <c r="I43" i="1"/>
  <c r="I47" i="1"/>
  <c r="I51" i="1"/>
  <c r="I55" i="1"/>
  <c r="I59" i="1"/>
  <c r="I63" i="1"/>
  <c r="I67" i="1"/>
  <c r="I71" i="1"/>
  <c r="I75" i="1"/>
  <c r="I79" i="1"/>
  <c r="I83" i="1"/>
  <c r="I87" i="1"/>
  <c r="I91" i="1"/>
  <c r="I95" i="1"/>
  <c r="I99" i="1"/>
  <c r="I103" i="1"/>
  <c r="I107" i="1"/>
  <c r="I111" i="1"/>
  <c r="I115" i="1"/>
  <c r="I119" i="1"/>
  <c r="I185" i="1"/>
  <c r="I189" i="1"/>
  <c r="I193" i="1"/>
  <c r="I197" i="1"/>
  <c r="I201" i="1"/>
  <c r="I205" i="1"/>
  <c r="I209" i="1"/>
  <c r="I213" i="1"/>
  <c r="I217" i="1"/>
  <c r="I221" i="1"/>
  <c r="I225" i="1"/>
  <c r="I229" i="1"/>
  <c r="F234" i="1"/>
  <c r="I238" i="1"/>
  <c r="G243" i="1"/>
  <c r="I247" i="1"/>
  <c r="H252" i="1"/>
  <c r="F257" i="1"/>
  <c r="H261" i="1"/>
  <c r="F266" i="1"/>
  <c r="I270" i="1"/>
  <c r="G275" i="1"/>
  <c r="I279" i="1"/>
  <c r="H284" i="1"/>
  <c r="F289" i="1"/>
  <c r="H293" i="1"/>
  <c r="F298" i="1"/>
  <c r="G303" i="1"/>
  <c r="I309" i="1"/>
  <c r="H316" i="1"/>
  <c r="H326" i="1"/>
  <c r="H346" i="1"/>
  <c r="H378" i="1"/>
  <c r="H410" i="1"/>
  <c r="H442" i="1"/>
  <c r="H474" i="1"/>
  <c r="G510" i="1"/>
  <c r="F547" i="1"/>
  <c r="I583" i="1"/>
  <c r="I634" i="1"/>
  <c r="I698" i="1"/>
  <c r="I762" i="1"/>
  <c r="H827" i="1"/>
  <c r="I931" i="1"/>
  <c r="I1063" i="1"/>
  <c r="H1253" i="1"/>
  <c r="H1718" i="1"/>
  <c r="I338" i="1"/>
  <c r="I342" i="1"/>
  <c r="I346" i="1"/>
  <c r="I350" i="1"/>
  <c r="I354" i="1"/>
  <c r="I358" i="1"/>
  <c r="I362" i="1"/>
  <c r="I366" i="1"/>
  <c r="I370" i="1"/>
  <c r="I374" i="1"/>
  <c r="I378" i="1"/>
  <c r="I382" i="1"/>
  <c r="I386" i="1"/>
  <c r="I390" i="1"/>
  <c r="I394" i="1"/>
  <c r="I398" i="1"/>
  <c r="I402" i="1"/>
  <c r="I406" i="1"/>
  <c r="I410" i="1"/>
  <c r="I414" i="1"/>
  <c r="I418" i="1"/>
  <c r="I422" i="1"/>
  <c r="I426" i="1"/>
  <c r="I430" i="1"/>
  <c r="I434" i="1"/>
  <c r="I438" i="1"/>
  <c r="I442" i="1"/>
  <c r="I446" i="1"/>
  <c r="I450" i="1"/>
  <c r="I454" i="1"/>
  <c r="I458" i="1"/>
  <c r="I462" i="1"/>
  <c r="I466" i="1"/>
  <c r="I470" i="1"/>
  <c r="I474" i="1"/>
  <c r="I478" i="1"/>
  <c r="G483" i="1"/>
  <c r="I487" i="1"/>
  <c r="G492" i="1"/>
  <c r="F497" i="1"/>
  <c r="H501" i="1"/>
  <c r="F506" i="1"/>
  <c r="I510" i="1"/>
  <c r="G515" i="1"/>
  <c r="I519" i="1"/>
  <c r="G524" i="1"/>
  <c r="F529" i="1"/>
  <c r="H533" i="1"/>
  <c r="F538" i="1"/>
  <c r="I542" i="1"/>
  <c r="G547" i="1"/>
  <c r="I551" i="1"/>
  <c r="G556" i="1"/>
  <c r="F561" i="1"/>
  <c r="H565" i="1"/>
  <c r="F570" i="1"/>
  <c r="I574" i="1"/>
  <c r="G579" i="1"/>
  <c r="F584" i="1"/>
  <c r="H589" i="1"/>
  <c r="F595" i="1"/>
  <c r="F600" i="1"/>
  <c r="H605" i="1"/>
  <c r="F611" i="1"/>
  <c r="F619" i="1"/>
  <c r="F627" i="1"/>
  <c r="F635" i="1"/>
  <c r="F643" i="1"/>
  <c r="F651" i="1"/>
  <c r="F659" i="1"/>
  <c r="F667" i="1"/>
  <c r="F675" i="1"/>
  <c r="F683" i="1"/>
  <c r="F691" i="1"/>
  <c r="F699" i="1"/>
  <c r="F707" i="1"/>
  <c r="F715" i="1"/>
  <c r="F723" i="1"/>
  <c r="F731" i="1"/>
  <c r="F739" i="1"/>
  <c r="F747" i="1"/>
  <c r="F755" i="1"/>
  <c r="F763" i="1"/>
  <c r="F771" i="1"/>
  <c r="F779" i="1"/>
  <c r="F787" i="1"/>
  <c r="F795" i="1"/>
  <c r="F803" i="1"/>
  <c r="F811" i="1"/>
  <c r="F819" i="1"/>
  <c r="I827" i="1"/>
  <c r="I836" i="1"/>
  <c r="F846" i="1"/>
  <c r="G855" i="1"/>
  <c r="F868" i="1"/>
  <c r="F884" i="1"/>
  <c r="F900" i="1"/>
  <c r="F916" i="1"/>
  <c r="F932" i="1"/>
  <c r="F948" i="1"/>
  <c r="F964" i="1"/>
  <c r="F980" i="1"/>
  <c r="F996" i="1"/>
  <c r="F1012" i="1"/>
  <c r="F1028" i="1"/>
  <c r="I1045" i="1"/>
  <c r="F1064" i="1"/>
  <c r="G1082" i="1"/>
  <c r="H1100" i="1"/>
  <c r="I1118" i="1"/>
  <c r="F1137" i="1"/>
  <c r="I1161" i="1"/>
  <c r="I1189" i="1"/>
  <c r="I1221" i="1"/>
  <c r="I1253" i="1"/>
  <c r="I1285" i="1"/>
  <c r="I1317" i="1"/>
  <c r="H1351" i="1"/>
  <c r="F1389" i="1"/>
  <c r="H1432" i="1"/>
  <c r="I1486" i="1"/>
  <c r="G1570" i="1"/>
  <c r="I1719" i="1"/>
  <c r="F323" i="1"/>
  <c r="F327" i="1"/>
  <c r="F331" i="1"/>
  <c r="F335" i="1"/>
  <c r="F339" i="1"/>
  <c r="F343" i="1"/>
  <c r="F347" i="1"/>
  <c r="F351" i="1"/>
  <c r="F355" i="1"/>
  <c r="F359" i="1"/>
  <c r="F363" i="1"/>
  <c r="F367" i="1"/>
  <c r="F371" i="1"/>
  <c r="F375" i="1"/>
  <c r="F379" i="1"/>
  <c r="F383" i="1"/>
  <c r="F387" i="1"/>
  <c r="F391" i="1"/>
  <c r="F395" i="1"/>
  <c r="F399" i="1"/>
  <c r="F403" i="1"/>
  <c r="F407" i="1"/>
  <c r="F411" i="1"/>
  <c r="F415" i="1"/>
  <c r="F419" i="1"/>
  <c r="F423" i="1"/>
  <c r="F427" i="1"/>
  <c r="F431" i="1"/>
  <c r="F435" i="1"/>
  <c r="F439" i="1"/>
  <c r="F443" i="1"/>
  <c r="F447" i="1"/>
  <c r="F451" i="1"/>
  <c r="F455" i="1"/>
  <c r="F459" i="1"/>
  <c r="F463" i="1"/>
  <c r="F467" i="1"/>
  <c r="F471" i="1"/>
  <c r="F475" i="1"/>
  <c r="F479" i="1"/>
  <c r="H483" i="1"/>
  <c r="F488" i="1"/>
  <c r="I492" i="1"/>
  <c r="G497" i="1"/>
  <c r="I501" i="1"/>
  <c r="G506" i="1"/>
  <c r="F511" i="1"/>
  <c r="H515" i="1"/>
  <c r="F520" i="1"/>
  <c r="I524" i="1"/>
  <c r="G529" i="1"/>
  <c r="I533" i="1"/>
  <c r="G538" i="1"/>
  <c r="F543" i="1"/>
  <c r="H547" i="1"/>
  <c r="F552" i="1"/>
  <c r="I556" i="1"/>
  <c r="G561" i="1"/>
  <c r="I565" i="1"/>
  <c r="G570" i="1"/>
  <c r="F575" i="1"/>
  <c r="H579" i="1"/>
  <c r="I584" i="1"/>
  <c r="I589" i="1"/>
  <c r="G595" i="1"/>
  <c r="I600" i="1"/>
  <c r="I605" i="1"/>
  <c r="G611" i="1"/>
  <c r="G619" i="1"/>
  <c r="G627" i="1"/>
  <c r="G635" i="1"/>
  <c r="G643" i="1"/>
  <c r="G651" i="1"/>
  <c r="G659" i="1"/>
  <c r="G667" i="1"/>
  <c r="G675" i="1"/>
  <c r="G683" i="1"/>
  <c r="G691" i="1"/>
  <c r="G699" i="1"/>
  <c r="G707" i="1"/>
  <c r="G715" i="1"/>
  <c r="G723" i="1"/>
  <c r="G731" i="1"/>
  <c r="G739" i="1"/>
  <c r="G747" i="1"/>
  <c r="G755" i="1"/>
  <c r="G763" i="1"/>
  <c r="G771" i="1"/>
  <c r="G779" i="1"/>
  <c r="G787" i="1"/>
  <c r="G795" i="1"/>
  <c r="G803" i="1"/>
  <c r="G811" i="1"/>
  <c r="G819" i="1"/>
  <c r="F828" i="1"/>
  <c r="G837" i="1"/>
  <c r="G846" i="1"/>
  <c r="H855" i="1"/>
  <c r="G868" i="1"/>
  <c r="G884" i="1"/>
  <c r="G900" i="1"/>
  <c r="G916" i="1"/>
  <c r="G932" i="1"/>
  <c r="G948" i="1"/>
  <c r="G964" i="1"/>
  <c r="G980" i="1"/>
  <c r="G996" i="1"/>
  <c r="G1012" i="1"/>
  <c r="G1028" i="1"/>
  <c r="F1046" i="1"/>
  <c r="G1064" i="1"/>
  <c r="H1082" i="1"/>
  <c r="I1100" i="1"/>
  <c r="F1119" i="1"/>
  <c r="H1137" i="1"/>
  <c r="F1162" i="1"/>
  <c r="F1190" i="1"/>
  <c r="F1222" i="1"/>
  <c r="F1254" i="1"/>
  <c r="F1286" i="1"/>
  <c r="F1318" i="1"/>
  <c r="I1351" i="1"/>
  <c r="G1389" i="1"/>
  <c r="F1433" i="1"/>
  <c r="F1487" i="1"/>
  <c r="I1570" i="1"/>
  <c r="F1723" i="1"/>
  <c r="H8" i="1"/>
  <c r="H10" i="1"/>
  <c r="H12" i="1"/>
  <c r="H14" i="1"/>
  <c r="H16" i="1"/>
  <c r="H18" i="1"/>
  <c r="H20" i="1"/>
  <c r="H22" i="1"/>
  <c r="H24" i="1"/>
  <c r="H26" i="1"/>
  <c r="H28" i="1"/>
  <c r="H30" i="1"/>
  <c r="H32" i="1"/>
  <c r="H34" i="1"/>
  <c r="H36" i="1"/>
  <c r="H38" i="1"/>
  <c r="H40" i="1"/>
  <c r="H42" i="1"/>
  <c r="H44" i="1"/>
  <c r="H46" i="1"/>
  <c r="H48" i="1"/>
  <c r="H50" i="1"/>
  <c r="H52" i="1"/>
  <c r="H54" i="1"/>
  <c r="H56" i="1"/>
  <c r="H58" i="1"/>
  <c r="H60" i="1"/>
  <c r="H62" i="1"/>
  <c r="H64" i="1"/>
  <c r="H66" i="1"/>
  <c r="H68" i="1"/>
  <c r="H70" i="1"/>
  <c r="H72" i="1"/>
  <c r="H74" i="1"/>
  <c r="H76" i="1"/>
  <c r="H78" i="1"/>
  <c r="H80" i="1"/>
  <c r="H82" i="1"/>
  <c r="H84" i="1"/>
  <c r="H86" i="1"/>
  <c r="H88" i="1"/>
  <c r="H90" i="1"/>
  <c r="H92" i="1"/>
  <c r="H94" i="1"/>
  <c r="H96" i="1"/>
  <c r="H98" i="1"/>
  <c r="H100" i="1"/>
  <c r="H102" i="1"/>
  <c r="H104" i="1"/>
  <c r="H106" i="1"/>
  <c r="H108" i="1"/>
  <c r="H110" i="1"/>
  <c r="H112" i="1"/>
  <c r="H114" i="1"/>
  <c r="H116" i="1"/>
  <c r="H118" i="1"/>
  <c r="H120" i="1"/>
  <c r="H184" i="1"/>
  <c r="H186" i="1"/>
  <c r="H188" i="1"/>
  <c r="H190" i="1"/>
  <c r="H192" i="1"/>
  <c r="H194" i="1"/>
  <c r="H196" i="1"/>
  <c r="H198" i="1"/>
  <c r="H200" i="1"/>
  <c r="H202" i="1"/>
  <c r="H204" i="1"/>
  <c r="H206" i="1"/>
  <c r="H208" i="1"/>
  <c r="H210" i="1"/>
  <c r="H212" i="1"/>
  <c r="H214" i="1"/>
  <c r="H216" i="1"/>
  <c r="H218" i="1"/>
  <c r="H220" i="1"/>
  <c r="H222" i="1"/>
  <c r="H224" i="1"/>
  <c r="H226" i="1"/>
  <c r="H228" i="1"/>
  <c r="H230" i="1"/>
  <c r="I232" i="1"/>
  <c r="F235" i="1"/>
  <c r="G237" i="1"/>
  <c r="H239" i="1"/>
  <c r="I241" i="1"/>
  <c r="F244" i="1"/>
  <c r="H246" i="1"/>
  <c r="I248" i="1"/>
  <c r="F251" i="1"/>
  <c r="G253" i="1"/>
  <c r="H255" i="1"/>
  <c r="I257" i="1"/>
  <c r="F260" i="1"/>
  <c r="H262" i="1"/>
  <c r="I264" i="1"/>
  <c r="F267" i="1"/>
  <c r="G269" i="1"/>
  <c r="H271" i="1"/>
  <c r="I273" i="1"/>
  <c r="F276" i="1"/>
  <c r="H278" i="1"/>
  <c r="I280" i="1"/>
  <c r="F283" i="1"/>
  <c r="G285" i="1"/>
  <c r="H287" i="1"/>
  <c r="I289" i="1"/>
  <c r="F292" i="1"/>
  <c r="H294" i="1"/>
  <c r="I296" i="1"/>
  <c r="F299" i="1"/>
  <c r="G301" i="1"/>
  <c r="H303" i="1"/>
  <c r="I305" i="1"/>
  <c r="F308" i="1"/>
  <c r="H310" i="1"/>
  <c r="I312" i="1"/>
  <c r="F315" i="1"/>
  <c r="G317" i="1"/>
  <c r="I319" i="1"/>
  <c r="I323" i="1"/>
  <c r="I327" i="1"/>
  <c r="I331" i="1"/>
  <c r="I335" i="1"/>
  <c r="I339" i="1"/>
  <c r="I343" i="1"/>
  <c r="I347" i="1"/>
  <c r="I351" i="1"/>
  <c r="I355" i="1"/>
  <c r="I359" i="1"/>
  <c r="I363" i="1"/>
  <c r="I367" i="1"/>
  <c r="I371" i="1"/>
  <c r="I375" i="1"/>
  <c r="I379" i="1"/>
  <c r="I383" i="1"/>
  <c r="I387" i="1"/>
  <c r="I391" i="1"/>
  <c r="I395" i="1"/>
  <c r="I399" i="1"/>
  <c r="I403" i="1"/>
  <c r="I407" i="1"/>
  <c r="I411" i="1"/>
  <c r="I415" i="1"/>
  <c r="I419" i="1"/>
  <c r="I423" i="1"/>
  <c r="I427" i="1"/>
  <c r="I431" i="1"/>
  <c r="I435" i="1"/>
  <c r="I439" i="1"/>
  <c r="I443" i="1"/>
  <c r="I447" i="1"/>
  <c r="I451" i="1"/>
  <c r="I455" i="1"/>
  <c r="I459" i="1"/>
  <c r="I463" i="1"/>
  <c r="I467" i="1"/>
  <c r="I471" i="1"/>
  <c r="I475" i="1"/>
  <c r="I479" i="1"/>
  <c r="G484" i="1"/>
  <c r="F489" i="1"/>
  <c r="H493" i="1"/>
  <c r="F498" i="1"/>
  <c r="I502" i="1"/>
  <c r="G507" i="1"/>
  <c r="I511" i="1"/>
  <c r="G516" i="1"/>
  <c r="F521" i="1"/>
  <c r="H525" i="1"/>
  <c r="F530" i="1"/>
  <c r="I534" i="1"/>
  <c r="G539" i="1"/>
  <c r="I543" i="1"/>
  <c r="G548" i="1"/>
  <c r="F553" i="1"/>
  <c r="H557" i="1"/>
  <c r="F562" i="1"/>
  <c r="I566" i="1"/>
  <c r="G571" i="1"/>
  <c r="I575" i="1"/>
  <c r="G580" i="1"/>
  <c r="H585" i="1"/>
  <c r="F591" i="1"/>
  <c r="F596" i="1"/>
  <c r="H601" i="1"/>
  <c r="F607" i="1"/>
  <c r="F613" i="1"/>
  <c r="F621" i="1"/>
  <c r="F629" i="1"/>
  <c r="F637" i="1"/>
  <c r="F645" i="1"/>
  <c r="F653" i="1"/>
  <c r="F661" i="1"/>
  <c r="F669" i="1"/>
  <c r="F677" i="1"/>
  <c r="F685" i="1"/>
  <c r="F693" i="1"/>
  <c r="F701" i="1"/>
  <c r="F709" i="1"/>
  <c r="F717" i="1"/>
  <c r="F725" i="1"/>
  <c r="F733" i="1"/>
  <c r="F741" i="1"/>
  <c r="F749" i="1"/>
  <c r="F757" i="1"/>
  <c r="F765" i="1"/>
  <c r="F773" i="1"/>
  <c r="F781" i="1"/>
  <c r="F789" i="1"/>
  <c r="F797" i="1"/>
  <c r="F805" i="1"/>
  <c r="F813" i="1"/>
  <c r="F821" i="1"/>
  <c r="F830" i="1"/>
  <c r="G839" i="1"/>
  <c r="G848" i="1"/>
  <c r="I857" i="1"/>
  <c r="F872" i="1"/>
  <c r="F888" i="1"/>
  <c r="F904" i="1"/>
  <c r="F920" i="1"/>
  <c r="F936" i="1"/>
  <c r="F952" i="1"/>
  <c r="F968" i="1"/>
  <c r="F984" i="1"/>
  <c r="F1000" i="1"/>
  <c r="F1016" i="1"/>
  <c r="F1032" i="1"/>
  <c r="G1050" i="1"/>
  <c r="H1068" i="1"/>
  <c r="I1086" i="1"/>
  <c r="F1105" i="1"/>
  <c r="H1123" i="1"/>
  <c r="I1142" i="1"/>
  <c r="F1168" i="1"/>
  <c r="I1197" i="1"/>
  <c r="I1229" i="1"/>
  <c r="I1261" i="1"/>
  <c r="I1293" i="1"/>
  <c r="I1325" i="1"/>
  <c r="I1360" i="1"/>
  <c r="H1399" i="1"/>
  <c r="G1445" i="1"/>
  <c r="H1501" i="1"/>
  <c r="H1598" i="1"/>
  <c r="H1805" i="1"/>
  <c r="G299" i="1"/>
  <c r="H301" i="1"/>
  <c r="I303" i="1"/>
  <c r="F306" i="1"/>
  <c r="H308" i="1"/>
  <c r="I310" i="1"/>
  <c r="F313" i="1"/>
  <c r="G315" i="1"/>
  <c r="H317" i="1"/>
  <c r="H320" i="1"/>
  <c r="H324" i="1"/>
  <c r="H328" i="1"/>
  <c r="H332" i="1"/>
  <c r="H336" i="1"/>
  <c r="H340" i="1"/>
  <c r="H344" i="1"/>
  <c r="H348" i="1"/>
  <c r="H352" i="1"/>
  <c r="H356" i="1"/>
  <c r="H360" i="1"/>
  <c r="H364" i="1"/>
  <c r="H368" i="1"/>
  <c r="H372" i="1"/>
  <c r="H376" i="1"/>
  <c r="H380" i="1"/>
  <c r="H384" i="1"/>
  <c r="H388" i="1"/>
  <c r="H392" i="1"/>
  <c r="H396" i="1"/>
  <c r="H400" i="1"/>
  <c r="H404" i="1"/>
  <c r="H408" i="1"/>
  <c r="H412" i="1"/>
  <c r="H416" i="1"/>
  <c r="H420" i="1"/>
  <c r="H424" i="1"/>
  <c r="H428" i="1"/>
  <c r="H432" i="1"/>
  <c r="H436" i="1"/>
  <c r="H440" i="1"/>
  <c r="H444" i="1"/>
  <c r="H448" i="1"/>
  <c r="H452" i="1"/>
  <c r="H456" i="1"/>
  <c r="H460" i="1"/>
  <c r="H464" i="1"/>
  <c r="H468" i="1"/>
  <c r="H472" i="1"/>
  <c r="H476" i="1"/>
  <c r="I480" i="1"/>
  <c r="G485" i="1"/>
  <c r="I489" i="1"/>
  <c r="G494" i="1"/>
  <c r="F499" i="1"/>
  <c r="H503" i="1"/>
  <c r="F508" i="1"/>
  <c r="I512" i="1"/>
  <c r="G517" i="1"/>
  <c r="I521" i="1"/>
  <c r="G526" i="1"/>
  <c r="F531" i="1"/>
  <c r="H535" i="1"/>
  <c r="F540" i="1"/>
  <c r="I544" i="1"/>
  <c r="G549" i="1"/>
  <c r="I553" i="1"/>
  <c r="G558" i="1"/>
  <c r="F563" i="1"/>
  <c r="H567" i="1"/>
  <c r="F572" i="1"/>
  <c r="I576" i="1"/>
  <c r="G581" i="1"/>
  <c r="I586" i="1"/>
  <c r="I591" i="1"/>
  <c r="G597" i="1"/>
  <c r="I602" i="1"/>
  <c r="I607" i="1"/>
  <c r="I614" i="1"/>
  <c r="I622" i="1"/>
  <c r="I630" i="1"/>
  <c r="I638" i="1"/>
  <c r="I646" i="1"/>
  <c r="I654" i="1"/>
  <c r="I662" i="1"/>
  <c r="I670" i="1"/>
  <c r="I678" i="1"/>
  <c r="I686" i="1"/>
  <c r="I694" i="1"/>
  <c r="I702" i="1"/>
  <c r="I710" i="1"/>
  <c r="I718" i="1"/>
  <c r="I726" i="1"/>
  <c r="I734" i="1"/>
  <c r="I742" i="1"/>
  <c r="I750" i="1"/>
  <c r="I758" i="1"/>
  <c r="I766" i="1"/>
  <c r="I774" i="1"/>
  <c r="I782" i="1"/>
  <c r="I790" i="1"/>
  <c r="I798" i="1"/>
  <c r="I806" i="1"/>
  <c r="I814" i="1"/>
  <c r="I822" i="1"/>
  <c r="F832" i="1"/>
  <c r="G841" i="1"/>
  <c r="G850" i="1"/>
  <c r="F860" i="1"/>
  <c r="I875" i="1"/>
  <c r="I891" i="1"/>
  <c r="I907" i="1"/>
  <c r="I923" i="1"/>
  <c r="I939" i="1"/>
  <c r="I955" i="1"/>
  <c r="I971" i="1"/>
  <c r="I987" i="1"/>
  <c r="I1003" i="1"/>
  <c r="I1019" i="1"/>
  <c r="G1036" i="1"/>
  <c r="H1054" i="1"/>
  <c r="I1072" i="1"/>
  <c r="F1091" i="1"/>
  <c r="H1109" i="1"/>
  <c r="I1127" i="1"/>
  <c r="I1148" i="1"/>
  <c r="F1174" i="1"/>
  <c r="H1205" i="1"/>
  <c r="H1237" i="1"/>
  <c r="H1269" i="1"/>
  <c r="H1301" i="1"/>
  <c r="H1333" i="1"/>
  <c r="H1369" i="1"/>
  <c r="I1409" i="1"/>
  <c r="H1457" i="1"/>
  <c r="H1517" i="1"/>
  <c r="G1630" i="1"/>
  <c r="F1911" i="1"/>
  <c r="F9" i="1"/>
  <c r="F11" i="1"/>
  <c r="F13" i="1"/>
  <c r="F15" i="1"/>
  <c r="F17" i="1"/>
  <c r="F19" i="1"/>
  <c r="F21" i="1"/>
  <c r="F23" i="1"/>
  <c r="F25" i="1"/>
  <c r="F27" i="1"/>
  <c r="F29" i="1"/>
  <c r="F31" i="1"/>
  <c r="F33" i="1"/>
  <c r="F35" i="1"/>
  <c r="F37" i="1"/>
  <c r="F39" i="1"/>
  <c r="F41" i="1"/>
  <c r="F43" i="1"/>
  <c r="F45" i="1"/>
  <c r="F47" i="1"/>
  <c r="F49" i="1"/>
  <c r="F51" i="1"/>
  <c r="F53" i="1"/>
  <c r="F55" i="1"/>
  <c r="F57" i="1"/>
  <c r="F59" i="1"/>
  <c r="F61" i="1"/>
  <c r="F63" i="1"/>
  <c r="F65" i="1"/>
  <c r="F67" i="1"/>
  <c r="F69" i="1"/>
  <c r="F71" i="1"/>
  <c r="F73" i="1"/>
  <c r="F75" i="1"/>
  <c r="F77" i="1"/>
  <c r="F79" i="1"/>
  <c r="F81" i="1"/>
  <c r="F83" i="1"/>
  <c r="F85" i="1"/>
  <c r="F87" i="1"/>
  <c r="F89" i="1"/>
  <c r="F91" i="1"/>
  <c r="F93" i="1"/>
  <c r="F95" i="1"/>
  <c r="F97" i="1"/>
  <c r="F99" i="1"/>
  <c r="F101" i="1"/>
  <c r="F103" i="1"/>
  <c r="F105" i="1"/>
  <c r="F107" i="1"/>
  <c r="F109" i="1"/>
  <c r="F111" i="1"/>
  <c r="F113" i="1"/>
  <c r="F115" i="1"/>
  <c r="F117" i="1"/>
  <c r="F119" i="1"/>
  <c r="F121" i="1"/>
  <c r="F185" i="1"/>
  <c r="F187" i="1"/>
  <c r="F189" i="1"/>
  <c r="F191" i="1"/>
  <c r="F193" i="1"/>
  <c r="F195" i="1"/>
  <c r="F197" i="1"/>
  <c r="F199" i="1"/>
  <c r="F201" i="1"/>
  <c r="F203" i="1"/>
  <c r="F205" i="1"/>
  <c r="F207" i="1"/>
  <c r="F209" i="1"/>
  <c r="F211" i="1"/>
  <c r="F213" i="1"/>
  <c r="F215" i="1"/>
  <c r="F217" i="1"/>
  <c r="F219" i="1"/>
  <c r="F221" i="1"/>
  <c r="F223" i="1"/>
  <c r="F225" i="1"/>
  <c r="F227" i="1"/>
  <c r="F229" i="1"/>
  <c r="F231" i="1"/>
  <c r="G233" i="1"/>
  <c r="H235" i="1"/>
  <c r="I237" i="1"/>
  <c r="F240" i="1"/>
  <c r="H242" i="1"/>
  <c r="I244" i="1"/>
  <c r="F247" i="1"/>
  <c r="G249" i="1"/>
  <c r="H251" i="1"/>
  <c r="I253" i="1"/>
  <c r="F256" i="1"/>
  <c r="H258" i="1"/>
  <c r="I260" i="1"/>
  <c r="F263" i="1"/>
  <c r="G265" i="1"/>
  <c r="H267" i="1"/>
  <c r="I269" i="1"/>
  <c r="F272" i="1"/>
  <c r="H274" i="1"/>
  <c r="I276" i="1"/>
  <c r="F279" i="1"/>
  <c r="G281" i="1"/>
  <c r="H283" i="1"/>
  <c r="I285" i="1"/>
  <c r="F288" i="1"/>
  <c r="H290" i="1"/>
  <c r="I292" i="1"/>
  <c r="F295" i="1"/>
  <c r="G297" i="1"/>
  <c r="H299" i="1"/>
  <c r="I301" i="1"/>
  <c r="F304" i="1"/>
  <c r="H306" i="1"/>
  <c r="I308" i="1"/>
  <c r="F311" i="1"/>
  <c r="G313" i="1"/>
  <c r="H315" i="1"/>
  <c r="I317" i="1"/>
  <c r="I320" i="1"/>
  <c r="I324" i="1"/>
  <c r="I328" i="1"/>
  <c r="I332" i="1"/>
  <c r="I336" i="1"/>
  <c r="I340" i="1"/>
  <c r="I344" i="1"/>
  <c r="I348" i="1"/>
  <c r="I352" i="1"/>
  <c r="I356" i="1"/>
  <c r="I360" i="1"/>
  <c r="I364" i="1"/>
  <c r="I368" i="1"/>
  <c r="I372" i="1"/>
  <c r="I376" i="1"/>
  <c r="I380" i="1"/>
  <c r="I384" i="1"/>
  <c r="I388" i="1"/>
  <c r="I392" i="1"/>
  <c r="I396" i="1"/>
  <c r="I400" i="1"/>
  <c r="I404" i="1"/>
  <c r="I408" i="1"/>
  <c r="I412" i="1"/>
  <c r="I416" i="1"/>
  <c r="I420" i="1"/>
  <c r="I424" i="1"/>
  <c r="I428" i="1"/>
  <c r="I432" i="1"/>
  <c r="I436" i="1"/>
  <c r="I440" i="1"/>
  <c r="I444" i="1"/>
  <c r="I448" i="1"/>
  <c r="I452" i="1"/>
  <c r="I456" i="1"/>
  <c r="I460" i="1"/>
  <c r="I464" i="1"/>
  <c r="I468" i="1"/>
  <c r="I472" i="1"/>
  <c r="I476" i="1"/>
  <c r="F481" i="1"/>
  <c r="H485" i="1"/>
  <c r="F490" i="1"/>
  <c r="I494" i="1"/>
  <c r="G499" i="1"/>
  <c r="I503" i="1"/>
  <c r="G508" i="1"/>
  <c r="F513" i="1"/>
  <c r="H517" i="1"/>
  <c r="F522" i="1"/>
  <c r="I526" i="1"/>
  <c r="G531" i="1"/>
  <c r="I535" i="1"/>
  <c r="G540" i="1"/>
  <c r="F545" i="1"/>
  <c r="H549" i="1"/>
  <c r="F554" i="1"/>
  <c r="I558" i="1"/>
  <c r="G563" i="1"/>
  <c r="I567" i="1"/>
  <c r="G572" i="1"/>
  <c r="F577" i="1"/>
  <c r="H581" i="1"/>
  <c r="F587" i="1"/>
  <c r="F592" i="1"/>
  <c r="H597" i="1"/>
  <c r="F603" i="1"/>
  <c r="F608" i="1"/>
  <c r="F615" i="1"/>
  <c r="F623" i="1"/>
  <c r="F631" i="1"/>
  <c r="F639" i="1"/>
  <c r="F647" i="1"/>
  <c r="F655" i="1"/>
  <c r="F663" i="1"/>
  <c r="F671" i="1"/>
  <c r="F679" i="1"/>
  <c r="F687" i="1"/>
  <c r="F695" i="1"/>
  <c r="F703" i="1"/>
  <c r="F711" i="1"/>
  <c r="F719" i="1"/>
  <c r="F727" i="1"/>
  <c r="F735" i="1"/>
  <c r="F743" i="1"/>
  <c r="F751" i="1"/>
  <c r="F759" i="1"/>
  <c r="F767" i="1"/>
  <c r="F775" i="1"/>
  <c r="F783" i="1"/>
  <c r="F791" i="1"/>
  <c r="F799" i="1"/>
  <c r="F807" i="1"/>
  <c r="F815" i="1"/>
  <c r="G823" i="1"/>
  <c r="G832" i="1"/>
  <c r="H841" i="1"/>
  <c r="H850" i="1"/>
  <c r="G860" i="1"/>
  <c r="F876" i="1"/>
  <c r="F892" i="1"/>
  <c r="F908" i="1"/>
  <c r="F924" i="1"/>
  <c r="F940" i="1"/>
  <c r="F956" i="1"/>
  <c r="F972" i="1"/>
  <c r="F988" i="1"/>
  <c r="F1004" i="1"/>
  <c r="F1020" i="1"/>
  <c r="H1036" i="1"/>
  <c r="I1054" i="1"/>
  <c r="F1073" i="1"/>
  <c r="H1091" i="1"/>
  <c r="I1109" i="1"/>
  <c r="F1128" i="1"/>
  <c r="F1149" i="1"/>
  <c r="I1174" i="1"/>
  <c r="I1205" i="1"/>
  <c r="I1237" i="1"/>
  <c r="I1269" i="1"/>
  <c r="I1301" i="1"/>
  <c r="I1333" i="1"/>
  <c r="I1369" i="1"/>
  <c r="H1410" i="1"/>
  <c r="I1457" i="1"/>
  <c r="I1517" i="1"/>
  <c r="H1632" i="1"/>
  <c r="H1912" i="1"/>
  <c r="G9" i="1"/>
  <c r="G11" i="1"/>
  <c r="G13" i="1"/>
  <c r="G15" i="1"/>
  <c r="G17" i="1"/>
  <c r="G19" i="1"/>
  <c r="G21" i="1"/>
  <c r="G23" i="1"/>
  <c r="G25" i="1"/>
  <c r="G27" i="1"/>
  <c r="G29" i="1"/>
  <c r="G31" i="1"/>
  <c r="G33" i="1"/>
  <c r="G35" i="1"/>
  <c r="G37" i="1"/>
  <c r="G39" i="1"/>
  <c r="G41" i="1"/>
  <c r="G43" i="1"/>
  <c r="G45" i="1"/>
  <c r="G47" i="1"/>
  <c r="G49" i="1"/>
  <c r="G51" i="1"/>
  <c r="G53" i="1"/>
  <c r="G55" i="1"/>
  <c r="G57" i="1"/>
  <c r="G59" i="1"/>
  <c r="G61" i="1"/>
  <c r="G63" i="1"/>
  <c r="G65" i="1"/>
  <c r="G67" i="1"/>
  <c r="G69" i="1"/>
  <c r="G71" i="1"/>
  <c r="G73" i="1"/>
  <c r="G75" i="1"/>
  <c r="G77" i="1"/>
  <c r="G79" i="1"/>
  <c r="G81" i="1"/>
  <c r="G83" i="1"/>
  <c r="G85" i="1"/>
  <c r="G87" i="1"/>
  <c r="G89" i="1"/>
  <c r="G91" i="1"/>
  <c r="G93" i="1"/>
  <c r="G95" i="1"/>
  <c r="G97" i="1"/>
  <c r="G99" i="1"/>
  <c r="G101" i="1"/>
  <c r="G103" i="1"/>
  <c r="G105" i="1"/>
  <c r="G107" i="1"/>
  <c r="G109" i="1"/>
  <c r="G111" i="1"/>
  <c r="G113" i="1"/>
  <c r="G115" i="1"/>
  <c r="G117" i="1"/>
  <c r="G119" i="1"/>
  <c r="G121" i="1"/>
  <c r="G185" i="1"/>
  <c r="G187" i="1"/>
  <c r="G189" i="1"/>
  <c r="G191" i="1"/>
  <c r="G193" i="1"/>
  <c r="G195" i="1"/>
  <c r="G197" i="1"/>
  <c r="G199" i="1"/>
  <c r="G201" i="1"/>
  <c r="G203" i="1"/>
  <c r="G205" i="1"/>
  <c r="G207" i="1"/>
  <c r="G209" i="1"/>
  <c r="G211" i="1"/>
  <c r="G213" i="1"/>
  <c r="G215" i="1"/>
  <c r="G217" i="1"/>
  <c r="G219" i="1"/>
  <c r="G221" i="1"/>
  <c r="G223" i="1"/>
  <c r="G225" i="1"/>
  <c r="G227" i="1"/>
  <c r="G229" i="1"/>
  <c r="G231" i="1"/>
  <c r="H233" i="1"/>
  <c r="I235" i="1"/>
  <c r="F238" i="1"/>
  <c r="H240" i="1"/>
  <c r="I242" i="1"/>
  <c r="F245" i="1"/>
  <c r="G247" i="1"/>
  <c r="H249" i="1"/>
  <c r="I251" i="1"/>
  <c r="F254" i="1"/>
  <c r="H256" i="1"/>
  <c r="I258" i="1"/>
  <c r="F261" i="1"/>
  <c r="G263" i="1"/>
  <c r="H265" i="1"/>
  <c r="I267" i="1"/>
  <c r="F270" i="1"/>
  <c r="H272" i="1"/>
  <c r="I274" i="1"/>
  <c r="F277" i="1"/>
  <c r="G279" i="1"/>
  <c r="H281" i="1"/>
  <c r="I283" i="1"/>
  <c r="F286" i="1"/>
  <c r="H288" i="1"/>
  <c r="I290" i="1"/>
  <c r="F293" i="1"/>
  <c r="G295" i="1"/>
  <c r="H297" i="1"/>
  <c r="I299" i="1"/>
  <c r="F302" i="1"/>
  <c r="H304" i="1"/>
  <c r="I306" i="1"/>
  <c r="F309" i="1"/>
  <c r="G311" i="1"/>
  <c r="H313" i="1"/>
  <c r="I315" i="1"/>
  <c r="H318" i="1"/>
  <c r="F321" i="1"/>
  <c r="F325" i="1"/>
  <c r="F329" i="1"/>
  <c r="F333" i="1"/>
  <c r="F337" i="1"/>
  <c r="F341" i="1"/>
  <c r="F345" i="1"/>
  <c r="F349" i="1"/>
  <c r="F353" i="1"/>
  <c r="F357" i="1"/>
  <c r="F361" i="1"/>
  <c r="F365" i="1"/>
  <c r="F369" i="1"/>
  <c r="F373" i="1"/>
  <c r="F377" i="1"/>
  <c r="F381" i="1"/>
  <c r="F385" i="1"/>
  <c r="F389" i="1"/>
  <c r="F393" i="1"/>
  <c r="F397" i="1"/>
  <c r="F401" i="1"/>
  <c r="F405" i="1"/>
  <c r="F409" i="1"/>
  <c r="F413" i="1"/>
  <c r="F417" i="1"/>
  <c r="F421" i="1"/>
  <c r="F425" i="1"/>
  <c r="F429" i="1"/>
  <c r="F433" i="1"/>
  <c r="F437" i="1"/>
  <c r="F441" i="1"/>
  <c r="F445" i="1"/>
  <c r="F449" i="1"/>
  <c r="F453" i="1"/>
  <c r="F457" i="1"/>
  <c r="F461" i="1"/>
  <c r="F465" i="1"/>
  <c r="F469" i="1"/>
  <c r="F473" i="1"/>
  <c r="F477" i="1"/>
  <c r="G481" i="1"/>
  <c r="I485" i="1"/>
  <c r="G490" i="1"/>
  <c r="F495" i="1"/>
  <c r="H499" i="1"/>
  <c r="F504" i="1"/>
  <c r="I508" i="1"/>
  <c r="G513" i="1"/>
  <c r="I517" i="1"/>
  <c r="G522" i="1"/>
  <c r="F527" i="1"/>
  <c r="H531" i="1"/>
  <c r="F536" i="1"/>
  <c r="I540" i="1"/>
  <c r="G545" i="1"/>
  <c r="I549" i="1"/>
  <c r="G554" i="1"/>
  <c r="F559" i="1"/>
  <c r="H563" i="1"/>
  <c r="F568" i="1"/>
  <c r="I572" i="1"/>
  <c r="G577" i="1"/>
  <c r="I581" i="1"/>
  <c r="G587" i="1"/>
  <c r="I592" i="1"/>
  <c r="I597" i="1"/>
  <c r="G603" i="1"/>
  <c r="I608" i="1"/>
  <c r="G615" i="1"/>
  <c r="G623" i="1"/>
  <c r="G631" i="1"/>
  <c r="G639" i="1"/>
  <c r="G647" i="1"/>
  <c r="G655" i="1"/>
  <c r="G663" i="1"/>
  <c r="G671" i="1"/>
  <c r="G679" i="1"/>
  <c r="G687" i="1"/>
  <c r="G695" i="1"/>
  <c r="G703" i="1"/>
  <c r="G711" i="1"/>
  <c r="G719" i="1"/>
  <c r="G727" i="1"/>
  <c r="G735" i="1"/>
  <c r="G743" i="1"/>
  <c r="G751" i="1"/>
  <c r="G759" i="1"/>
  <c r="G767" i="1"/>
  <c r="G775" i="1"/>
  <c r="G783" i="1"/>
  <c r="G791" i="1"/>
  <c r="G799" i="1"/>
  <c r="G807" i="1"/>
  <c r="G815" i="1"/>
  <c r="H823" i="1"/>
  <c r="H832" i="1"/>
  <c r="I841" i="1"/>
  <c r="I850" i="1"/>
  <c r="H860" i="1"/>
  <c r="G876" i="1"/>
  <c r="G892" i="1"/>
  <c r="G908" i="1"/>
  <c r="G924" i="1"/>
  <c r="G940" i="1"/>
  <c r="G956" i="1"/>
  <c r="G972" i="1"/>
  <c r="G988" i="1"/>
  <c r="G1004" i="1"/>
  <c r="G1020" i="1"/>
  <c r="I1036" i="1"/>
  <c r="F1055" i="1"/>
  <c r="H1073" i="1"/>
  <c r="I1091" i="1"/>
  <c r="F1110" i="1"/>
  <c r="G1128" i="1"/>
  <c r="H1149" i="1"/>
  <c r="F1175" i="1"/>
  <c r="F1206" i="1"/>
  <c r="F1238" i="1"/>
  <c r="F1270" i="1"/>
  <c r="F1302" i="1"/>
  <c r="F1334" i="1"/>
  <c r="F1370" i="1"/>
  <c r="I1410" i="1"/>
  <c r="H1458" i="1"/>
  <c r="F1518" i="1"/>
  <c r="F1634" i="1"/>
  <c r="F1915" i="1"/>
  <c r="H9" i="1"/>
  <c r="H11" i="1"/>
  <c r="H13" i="1"/>
  <c r="H15" i="1"/>
  <c r="H17" i="1"/>
  <c r="H19" i="1"/>
  <c r="H21" i="1"/>
  <c r="H23" i="1"/>
  <c r="H25" i="1"/>
  <c r="H27" i="1"/>
  <c r="H29" i="1"/>
  <c r="H31" i="1"/>
  <c r="H33" i="1"/>
  <c r="H35" i="1"/>
  <c r="H37" i="1"/>
  <c r="H39" i="1"/>
  <c r="H41" i="1"/>
  <c r="H43" i="1"/>
  <c r="H45" i="1"/>
  <c r="H47" i="1"/>
  <c r="H49" i="1"/>
  <c r="H51" i="1"/>
  <c r="H53" i="1"/>
  <c r="H55" i="1"/>
  <c r="H57" i="1"/>
  <c r="H59" i="1"/>
  <c r="H61" i="1"/>
  <c r="H63" i="1"/>
  <c r="H65" i="1"/>
  <c r="H67" i="1"/>
  <c r="H69" i="1"/>
  <c r="H71" i="1"/>
  <c r="H73" i="1"/>
  <c r="H75" i="1"/>
  <c r="H77" i="1"/>
  <c r="H79" i="1"/>
  <c r="H81" i="1"/>
  <c r="H83" i="1"/>
  <c r="H85" i="1"/>
  <c r="H87" i="1"/>
  <c r="H89" i="1"/>
  <c r="H91" i="1"/>
  <c r="H93" i="1"/>
  <c r="H95" i="1"/>
  <c r="H97" i="1"/>
  <c r="H99" i="1"/>
  <c r="H101" i="1"/>
  <c r="H103" i="1"/>
  <c r="H105" i="1"/>
  <c r="H107" i="1"/>
  <c r="H109" i="1"/>
  <c r="H111" i="1"/>
  <c r="H113" i="1"/>
  <c r="H115" i="1"/>
  <c r="H117" i="1"/>
  <c r="H119" i="1"/>
  <c r="H121" i="1"/>
  <c r="H185" i="1"/>
  <c r="H187" i="1"/>
  <c r="H189" i="1"/>
  <c r="H191" i="1"/>
  <c r="H193" i="1"/>
  <c r="H195" i="1"/>
  <c r="H197" i="1"/>
  <c r="H199" i="1"/>
  <c r="H201" i="1"/>
  <c r="H203" i="1"/>
  <c r="H205" i="1"/>
  <c r="H207" i="1"/>
  <c r="H209" i="1"/>
  <c r="H211" i="1"/>
  <c r="H213" i="1"/>
  <c r="H215" i="1"/>
  <c r="H217" i="1"/>
  <c r="H219" i="1"/>
  <c r="H221" i="1"/>
  <c r="H223" i="1"/>
  <c r="H225" i="1"/>
  <c r="H227" i="1"/>
  <c r="H229" i="1"/>
  <c r="H231" i="1"/>
  <c r="I233" i="1"/>
  <c r="F236" i="1"/>
  <c r="H238" i="1"/>
  <c r="I240" i="1"/>
  <c r="F243" i="1"/>
  <c r="G245" i="1"/>
  <c r="H247" i="1"/>
  <c r="I249" i="1"/>
  <c r="F252" i="1"/>
  <c r="H254" i="1"/>
  <c r="I256" i="1"/>
  <c r="F259" i="1"/>
  <c r="G261" i="1"/>
  <c r="H263" i="1"/>
  <c r="I265" i="1"/>
  <c r="F268" i="1"/>
  <c r="H270" i="1"/>
  <c r="I272" i="1"/>
  <c r="F275" i="1"/>
  <c r="G277" i="1"/>
  <c r="H279" i="1"/>
  <c r="I281" i="1"/>
  <c r="F284" i="1"/>
  <c r="H286" i="1"/>
  <c r="I288" i="1"/>
  <c r="F291" i="1"/>
  <c r="G293" i="1"/>
  <c r="H295" i="1"/>
  <c r="I297" i="1"/>
  <c r="F300" i="1"/>
  <c r="H302" i="1"/>
  <c r="I304" i="1"/>
  <c r="F307" i="1"/>
  <c r="G309" i="1"/>
  <c r="H311" i="1"/>
  <c r="I313" i="1"/>
  <c r="F316" i="1"/>
  <c r="I318" i="1"/>
  <c r="I321" i="1"/>
  <c r="I325" i="1"/>
  <c r="I329" i="1"/>
  <c r="I333" i="1"/>
  <c r="I337" i="1"/>
  <c r="I341" i="1"/>
  <c r="I345" i="1"/>
  <c r="I349" i="1"/>
  <c r="I353" i="1"/>
  <c r="I357" i="1"/>
  <c r="I361" i="1"/>
  <c r="I365" i="1"/>
  <c r="I369" i="1"/>
  <c r="I373" i="1"/>
  <c r="I377" i="1"/>
  <c r="I381" i="1"/>
  <c r="I385" i="1"/>
  <c r="I389" i="1"/>
  <c r="I393" i="1"/>
  <c r="I397" i="1"/>
  <c r="I401" i="1"/>
  <c r="I405" i="1"/>
  <c r="I409" i="1"/>
  <c r="I413" i="1"/>
  <c r="I417" i="1"/>
  <c r="I421" i="1"/>
  <c r="I425" i="1"/>
  <c r="I429" i="1"/>
  <c r="I433" i="1"/>
  <c r="I437" i="1"/>
  <c r="I441" i="1"/>
  <c r="I445" i="1"/>
  <c r="I449" i="1"/>
  <c r="I453" i="1"/>
  <c r="I457" i="1"/>
  <c r="I461" i="1"/>
  <c r="I465" i="1"/>
  <c r="I469" i="1"/>
  <c r="I473" i="1"/>
  <c r="I477" i="1"/>
  <c r="F482" i="1"/>
  <c r="I486" i="1"/>
  <c r="G491" i="1"/>
  <c r="I495" i="1"/>
  <c r="G500" i="1"/>
  <c r="F505" i="1"/>
  <c r="H509" i="1"/>
  <c r="F514" i="1"/>
  <c r="I518" i="1"/>
  <c r="G523" i="1"/>
  <c r="I527" i="1"/>
  <c r="G532" i="1"/>
  <c r="F537" i="1"/>
  <c r="H541" i="1"/>
  <c r="F546" i="1"/>
  <c r="I550" i="1"/>
  <c r="G555" i="1"/>
  <c r="I559" i="1"/>
  <c r="G564" i="1"/>
  <c r="F569" i="1"/>
  <c r="H573" i="1"/>
  <c r="F578" i="1"/>
  <c r="F583" i="1"/>
  <c r="F588" i="1"/>
  <c r="H593" i="1"/>
  <c r="F599" i="1"/>
  <c r="F604" i="1"/>
  <c r="H609" i="1"/>
  <c r="F617" i="1"/>
  <c r="F625" i="1"/>
  <c r="F633" i="1"/>
  <c r="F641" i="1"/>
  <c r="F649" i="1"/>
  <c r="F657" i="1"/>
  <c r="F665" i="1"/>
  <c r="F673" i="1"/>
  <c r="F681" i="1"/>
  <c r="F689" i="1"/>
  <c r="F697" i="1"/>
  <c r="F705" i="1"/>
  <c r="F713" i="1"/>
  <c r="F721" i="1"/>
  <c r="F729" i="1"/>
  <c r="F737" i="1"/>
  <c r="F745" i="1"/>
  <c r="F753" i="1"/>
  <c r="F761" i="1"/>
  <c r="F769" i="1"/>
  <c r="F777" i="1"/>
  <c r="F785" i="1"/>
  <c r="F793" i="1"/>
  <c r="F801" i="1"/>
  <c r="F809" i="1"/>
  <c r="F817" i="1"/>
  <c r="H825" i="1"/>
  <c r="H834" i="1"/>
  <c r="I843" i="1"/>
  <c r="I852" i="1"/>
  <c r="F864" i="1"/>
  <c r="F880" i="1"/>
  <c r="F896" i="1"/>
  <c r="F912" i="1"/>
  <c r="F928" i="1"/>
  <c r="F944" i="1"/>
  <c r="F960" i="1"/>
  <c r="F976" i="1"/>
  <c r="F992" i="1"/>
  <c r="F1008" i="1"/>
  <c r="F1024" i="1"/>
  <c r="F1041" i="1"/>
  <c r="H1059" i="1"/>
  <c r="I1077" i="1"/>
  <c r="F1096" i="1"/>
  <c r="G1114" i="1"/>
  <c r="H1132" i="1"/>
  <c r="H1155" i="1"/>
  <c r="I1181" i="1"/>
  <c r="I1213" i="1"/>
  <c r="I1245" i="1"/>
  <c r="I1277" i="1"/>
  <c r="I1309" i="1"/>
  <c r="H1342" i="1"/>
  <c r="F1379" i="1"/>
  <c r="F1421" i="1"/>
  <c r="G1472" i="1"/>
  <c r="G1542" i="1"/>
  <c r="H1667" i="1"/>
  <c r="F2059" i="1"/>
  <c r="G321" i="1"/>
  <c r="G323" i="1"/>
  <c r="G325" i="1"/>
  <c r="G327" i="1"/>
  <c r="G329" i="1"/>
  <c r="G331" i="1"/>
  <c r="G333" i="1"/>
  <c r="G335" i="1"/>
  <c r="G337" i="1"/>
  <c r="G339" i="1"/>
  <c r="G341" i="1"/>
  <c r="G343" i="1"/>
  <c r="G345" i="1"/>
  <c r="G347" i="1"/>
  <c r="G349" i="1"/>
  <c r="G351" i="1"/>
  <c r="G353" i="1"/>
  <c r="G355" i="1"/>
  <c r="G357" i="1"/>
  <c r="G359" i="1"/>
  <c r="G361" i="1"/>
  <c r="G363" i="1"/>
  <c r="G365" i="1"/>
  <c r="G367" i="1"/>
  <c r="G369" i="1"/>
  <c r="G371" i="1"/>
  <c r="G373" i="1"/>
  <c r="G375" i="1"/>
  <c r="G377" i="1"/>
  <c r="G379" i="1"/>
  <c r="G381" i="1"/>
  <c r="G383" i="1"/>
  <c r="G385" i="1"/>
  <c r="G387" i="1"/>
  <c r="G389" i="1"/>
  <c r="G391" i="1"/>
  <c r="G393" i="1"/>
  <c r="G395" i="1"/>
  <c r="G397" i="1"/>
  <c r="G399" i="1"/>
  <c r="G401" i="1"/>
  <c r="G403" i="1"/>
  <c r="G405" i="1"/>
  <c r="G407" i="1"/>
  <c r="G409" i="1"/>
  <c r="G411" i="1"/>
  <c r="G413" i="1"/>
  <c r="G415" i="1"/>
  <c r="G417" i="1"/>
  <c r="G419" i="1"/>
  <c r="G421" i="1"/>
  <c r="G423" i="1"/>
  <c r="G425" i="1"/>
  <c r="G427" i="1"/>
  <c r="G429" i="1"/>
  <c r="G431" i="1"/>
  <c r="G433" i="1"/>
  <c r="G435" i="1"/>
  <c r="G437" i="1"/>
  <c r="G439" i="1"/>
  <c r="G441" i="1"/>
  <c r="G443" i="1"/>
  <c r="G445" i="1"/>
  <c r="G447" i="1"/>
  <c r="G449" i="1"/>
  <c r="G451" i="1"/>
  <c r="G453" i="1"/>
  <c r="G455" i="1"/>
  <c r="G457" i="1"/>
  <c r="G459" i="1"/>
  <c r="G461" i="1"/>
  <c r="G463" i="1"/>
  <c r="G465" i="1"/>
  <c r="G467" i="1"/>
  <c r="G469" i="1"/>
  <c r="G471" i="1"/>
  <c r="G473" i="1"/>
  <c r="G475" i="1"/>
  <c r="G477" i="1"/>
  <c r="G479" i="1"/>
  <c r="H481" i="1"/>
  <c r="I483" i="1"/>
  <c r="F486" i="1"/>
  <c r="G488" i="1"/>
  <c r="I490" i="1"/>
  <c r="F493" i="1"/>
  <c r="G495" i="1"/>
  <c r="H497" i="1"/>
  <c r="I499" i="1"/>
  <c r="F502" i="1"/>
  <c r="G504" i="1"/>
  <c r="I506" i="1"/>
  <c r="F509" i="1"/>
  <c r="G511" i="1"/>
  <c r="H513" i="1"/>
  <c r="I515" i="1"/>
  <c r="F518" i="1"/>
  <c r="G520" i="1"/>
  <c r="I522" i="1"/>
  <c r="F525" i="1"/>
  <c r="G527" i="1"/>
  <c r="H529" i="1"/>
  <c r="I531" i="1"/>
  <c r="F534" i="1"/>
  <c r="G536" i="1"/>
  <c r="I538" i="1"/>
  <c r="F541" i="1"/>
  <c r="G543" i="1"/>
  <c r="H545" i="1"/>
  <c r="I547" i="1"/>
  <c r="F550" i="1"/>
  <c r="G552" i="1"/>
  <c r="I554" i="1"/>
  <c r="F557" i="1"/>
  <c r="G559" i="1"/>
  <c r="H561" i="1"/>
  <c r="I563" i="1"/>
  <c r="F566" i="1"/>
  <c r="G568" i="1"/>
  <c r="I570" i="1"/>
  <c r="F573" i="1"/>
  <c r="G575" i="1"/>
  <c r="H577" i="1"/>
  <c r="I579" i="1"/>
  <c r="F582" i="1"/>
  <c r="F585" i="1"/>
  <c r="H587" i="1"/>
  <c r="F590" i="1"/>
  <c r="F593" i="1"/>
  <c r="H595" i="1"/>
  <c r="F598" i="1"/>
  <c r="F601" i="1"/>
  <c r="H603" i="1"/>
  <c r="F606" i="1"/>
  <c r="F609" i="1"/>
  <c r="F612" i="1"/>
  <c r="F616" i="1"/>
  <c r="F620" i="1"/>
  <c r="F624" i="1"/>
  <c r="F628" i="1"/>
  <c r="F632" i="1"/>
  <c r="F636" i="1"/>
  <c r="F640" i="1"/>
  <c r="F644" i="1"/>
  <c r="F648" i="1"/>
  <c r="F652" i="1"/>
  <c r="F656" i="1"/>
  <c r="F660" i="1"/>
  <c r="F664" i="1"/>
  <c r="F668" i="1"/>
  <c r="F672" i="1"/>
  <c r="F676" i="1"/>
  <c r="F680" i="1"/>
  <c r="F684" i="1"/>
  <c r="F688" i="1"/>
  <c r="F692" i="1"/>
  <c r="F696" i="1"/>
  <c r="F700" i="1"/>
  <c r="F704" i="1"/>
  <c r="F708" i="1"/>
  <c r="F712" i="1"/>
  <c r="F716" i="1"/>
  <c r="F720" i="1"/>
  <c r="F724" i="1"/>
  <c r="F728" i="1"/>
  <c r="F732" i="1"/>
  <c r="F736" i="1"/>
  <c r="F740" i="1"/>
  <c r="F744" i="1"/>
  <c r="F748" i="1"/>
  <c r="F752" i="1"/>
  <c r="F756" i="1"/>
  <c r="F760" i="1"/>
  <c r="F764" i="1"/>
  <c r="F768" i="1"/>
  <c r="F772" i="1"/>
  <c r="F776" i="1"/>
  <c r="F780" i="1"/>
  <c r="F784" i="1"/>
  <c r="F788" i="1"/>
  <c r="F792" i="1"/>
  <c r="F796" i="1"/>
  <c r="F800" i="1"/>
  <c r="F804" i="1"/>
  <c r="F808" i="1"/>
  <c r="F812" i="1"/>
  <c r="F816" i="1"/>
  <c r="F820" i="1"/>
  <c r="G824" i="1"/>
  <c r="I828" i="1"/>
  <c r="H833" i="1"/>
  <c r="F838" i="1"/>
  <c r="H842" i="1"/>
  <c r="G847" i="1"/>
  <c r="I851" i="1"/>
  <c r="G856" i="1"/>
  <c r="F862" i="1"/>
  <c r="F870" i="1"/>
  <c r="F878" i="1"/>
  <c r="F886" i="1"/>
  <c r="F894" i="1"/>
  <c r="F902" i="1"/>
  <c r="F910" i="1"/>
  <c r="F918" i="1"/>
  <c r="F926" i="1"/>
  <c r="F934" i="1"/>
  <c r="F942" i="1"/>
  <c r="F950" i="1"/>
  <c r="F958" i="1"/>
  <c r="F966" i="1"/>
  <c r="F974" i="1"/>
  <c r="F982" i="1"/>
  <c r="F990" i="1"/>
  <c r="F998" i="1"/>
  <c r="F1006" i="1"/>
  <c r="F1014" i="1"/>
  <c r="F1022" i="1"/>
  <c r="F1030" i="1"/>
  <c r="I1038" i="1"/>
  <c r="F1048" i="1"/>
  <c r="F1057" i="1"/>
  <c r="G1066" i="1"/>
  <c r="H1075" i="1"/>
  <c r="H1084" i="1"/>
  <c r="I1093" i="1"/>
  <c r="I1102" i="1"/>
  <c r="F1112" i="1"/>
  <c r="F1121" i="1"/>
  <c r="G1130" i="1"/>
  <c r="H1139" i="1"/>
  <c r="F1152" i="1"/>
  <c r="F1165" i="1"/>
  <c r="I1177" i="1"/>
  <c r="I1193" i="1"/>
  <c r="I1209" i="1"/>
  <c r="I1225" i="1"/>
  <c r="I1241" i="1"/>
  <c r="I1257" i="1"/>
  <c r="I1273" i="1"/>
  <c r="I1289" i="1"/>
  <c r="I1305" i="1"/>
  <c r="I1321" i="1"/>
  <c r="I1337" i="1"/>
  <c r="F1356" i="1"/>
  <c r="H1374" i="1"/>
  <c r="H1394" i="1"/>
  <c r="H1415" i="1"/>
  <c r="F1439" i="1"/>
  <c r="F1465" i="1"/>
  <c r="I1493" i="1"/>
  <c r="F1530" i="1"/>
  <c r="H1584" i="1"/>
  <c r="I1649" i="1"/>
  <c r="H1751" i="1"/>
  <c r="I1969" i="1"/>
  <c r="H321" i="1"/>
  <c r="H323" i="1"/>
  <c r="H325" i="1"/>
  <c r="H327" i="1"/>
  <c r="H329" i="1"/>
  <c r="H331" i="1"/>
  <c r="H333" i="1"/>
  <c r="H335" i="1"/>
  <c r="H337" i="1"/>
  <c r="H339" i="1"/>
  <c r="H341" i="1"/>
  <c r="H343" i="1"/>
  <c r="H345" i="1"/>
  <c r="H347" i="1"/>
  <c r="H349" i="1"/>
  <c r="H351" i="1"/>
  <c r="H353" i="1"/>
  <c r="H355" i="1"/>
  <c r="H357" i="1"/>
  <c r="H359" i="1"/>
  <c r="H361" i="1"/>
  <c r="H363" i="1"/>
  <c r="H365" i="1"/>
  <c r="H367" i="1"/>
  <c r="H369" i="1"/>
  <c r="H371" i="1"/>
  <c r="H373" i="1"/>
  <c r="H375" i="1"/>
  <c r="H377" i="1"/>
  <c r="H379" i="1"/>
  <c r="H381" i="1"/>
  <c r="H383" i="1"/>
  <c r="H385" i="1"/>
  <c r="H387" i="1"/>
  <c r="H389" i="1"/>
  <c r="H391" i="1"/>
  <c r="H393" i="1"/>
  <c r="H395" i="1"/>
  <c r="H397" i="1"/>
  <c r="H399" i="1"/>
  <c r="H401" i="1"/>
  <c r="H403" i="1"/>
  <c r="H405" i="1"/>
  <c r="H407" i="1"/>
  <c r="H409" i="1"/>
  <c r="H411" i="1"/>
  <c r="H413" i="1"/>
  <c r="H415" i="1"/>
  <c r="H417" i="1"/>
  <c r="H419" i="1"/>
  <c r="H421" i="1"/>
  <c r="H423" i="1"/>
  <c r="H425" i="1"/>
  <c r="H427" i="1"/>
  <c r="H429" i="1"/>
  <c r="H431" i="1"/>
  <c r="H433" i="1"/>
  <c r="H435" i="1"/>
  <c r="H437" i="1"/>
  <c r="H439" i="1"/>
  <c r="H441" i="1"/>
  <c r="H443" i="1"/>
  <c r="H445" i="1"/>
  <c r="H447" i="1"/>
  <c r="H449" i="1"/>
  <c r="H451" i="1"/>
  <c r="H453" i="1"/>
  <c r="H455" i="1"/>
  <c r="H457" i="1"/>
  <c r="H459" i="1"/>
  <c r="H461" i="1"/>
  <c r="H463" i="1"/>
  <c r="H465" i="1"/>
  <c r="H467" i="1"/>
  <c r="H469" i="1"/>
  <c r="H471" i="1"/>
  <c r="H473" i="1"/>
  <c r="H475" i="1"/>
  <c r="H477" i="1"/>
  <c r="H479" i="1"/>
  <c r="I481" i="1"/>
  <c r="F484" i="1"/>
  <c r="G486" i="1"/>
  <c r="I488" i="1"/>
  <c r="F491" i="1"/>
  <c r="G493" i="1"/>
  <c r="H495" i="1"/>
  <c r="I497" i="1"/>
  <c r="F500" i="1"/>
  <c r="G502" i="1"/>
  <c r="I504" i="1"/>
  <c r="F507" i="1"/>
  <c r="G509" i="1"/>
  <c r="H511" i="1"/>
  <c r="I513" i="1"/>
  <c r="F516" i="1"/>
  <c r="G518" i="1"/>
  <c r="I520" i="1"/>
  <c r="F523" i="1"/>
  <c r="G525" i="1"/>
  <c r="H527" i="1"/>
  <c r="I529" i="1"/>
  <c r="F532" i="1"/>
  <c r="G534" i="1"/>
  <c r="I536" i="1"/>
  <c r="F539" i="1"/>
  <c r="G541" i="1"/>
  <c r="H543" i="1"/>
  <c r="I545" i="1"/>
  <c r="F548" i="1"/>
  <c r="G550" i="1"/>
  <c r="I552" i="1"/>
  <c r="F555" i="1"/>
  <c r="G557" i="1"/>
  <c r="H559" i="1"/>
  <c r="I561" i="1"/>
  <c r="F564" i="1"/>
  <c r="G566" i="1"/>
  <c r="I568" i="1"/>
  <c r="F571" i="1"/>
  <c r="G573" i="1"/>
  <c r="H575" i="1"/>
  <c r="I577" i="1"/>
  <c r="F580" i="1"/>
  <c r="I582" i="1"/>
  <c r="G585" i="1"/>
  <c r="I587" i="1"/>
  <c r="I590" i="1"/>
  <c r="G593" i="1"/>
  <c r="I595" i="1"/>
  <c r="I598" i="1"/>
  <c r="G601" i="1"/>
  <c r="I603" i="1"/>
  <c r="I606" i="1"/>
  <c r="G609" i="1"/>
  <c r="I612" i="1"/>
  <c r="I616" i="1"/>
  <c r="I620" i="1"/>
  <c r="I624" i="1"/>
  <c r="I628" i="1"/>
  <c r="I632" i="1"/>
  <c r="I636" i="1"/>
  <c r="I640" i="1"/>
  <c r="I644" i="1"/>
  <c r="I648" i="1"/>
  <c r="I652" i="1"/>
  <c r="I656" i="1"/>
  <c r="I660" i="1"/>
  <c r="I664" i="1"/>
  <c r="I668" i="1"/>
  <c r="I672" i="1"/>
  <c r="I676" i="1"/>
  <c r="I680" i="1"/>
  <c r="I684" i="1"/>
  <c r="I688" i="1"/>
  <c r="I692" i="1"/>
  <c r="I696" i="1"/>
  <c r="I700" i="1"/>
  <c r="I704" i="1"/>
  <c r="I708" i="1"/>
  <c r="I712" i="1"/>
  <c r="I716" i="1"/>
  <c r="I720" i="1"/>
  <c r="I724" i="1"/>
  <c r="I728" i="1"/>
  <c r="I732" i="1"/>
  <c r="I736" i="1"/>
  <c r="I740" i="1"/>
  <c r="I744" i="1"/>
  <c r="I748" i="1"/>
  <c r="I752" i="1"/>
  <c r="I756" i="1"/>
  <c r="I760" i="1"/>
  <c r="I764" i="1"/>
  <c r="I768" i="1"/>
  <c r="I772" i="1"/>
  <c r="I776" i="1"/>
  <c r="I780" i="1"/>
  <c r="I784" i="1"/>
  <c r="I788" i="1"/>
  <c r="I792" i="1"/>
  <c r="I796" i="1"/>
  <c r="I800" i="1"/>
  <c r="I804" i="1"/>
  <c r="I808" i="1"/>
  <c r="I812" i="1"/>
  <c r="I816" i="1"/>
  <c r="I820" i="1"/>
  <c r="G825" i="1"/>
  <c r="I829" i="1"/>
  <c r="G834" i="1"/>
  <c r="I838" i="1"/>
  <c r="H843" i="1"/>
  <c r="F848" i="1"/>
  <c r="H852" i="1"/>
  <c r="H857" i="1"/>
  <c r="I863" i="1"/>
  <c r="I871" i="1"/>
  <c r="I879" i="1"/>
  <c r="I887" i="1"/>
  <c r="I895" i="1"/>
  <c r="I903" i="1"/>
  <c r="I911" i="1"/>
  <c r="I919" i="1"/>
  <c r="I927" i="1"/>
  <c r="I935" i="1"/>
  <c r="I943" i="1"/>
  <c r="I951" i="1"/>
  <c r="I959" i="1"/>
  <c r="I967" i="1"/>
  <c r="I975" i="1"/>
  <c r="I983" i="1"/>
  <c r="I991" i="1"/>
  <c r="I999" i="1"/>
  <c r="I1007" i="1"/>
  <c r="I1015" i="1"/>
  <c r="I1023" i="1"/>
  <c r="I1031" i="1"/>
  <c r="I1040" i="1"/>
  <c r="F1050" i="1"/>
  <c r="F1059" i="1"/>
  <c r="G1068" i="1"/>
  <c r="H1077" i="1"/>
  <c r="H1086" i="1"/>
  <c r="I1095" i="1"/>
  <c r="I1104" i="1"/>
  <c r="F1114" i="1"/>
  <c r="F1123" i="1"/>
  <c r="G1132" i="1"/>
  <c r="F1142" i="1"/>
  <c r="F1155" i="1"/>
  <c r="I1167" i="1"/>
  <c r="H1181" i="1"/>
  <c r="H1197" i="1"/>
  <c r="H1213" i="1"/>
  <c r="H1229" i="1"/>
  <c r="H1245" i="1"/>
  <c r="H1261" i="1"/>
  <c r="H1277" i="1"/>
  <c r="H1293" i="1"/>
  <c r="H1309" i="1"/>
  <c r="H1325" i="1"/>
  <c r="F1342" i="1"/>
  <c r="H1360" i="1"/>
  <c r="I1378" i="1"/>
  <c r="G1399" i="1"/>
  <c r="I1420" i="1"/>
  <c r="F1445" i="1"/>
  <c r="I1471" i="1"/>
  <c r="I1500" i="1"/>
  <c r="F1542" i="1"/>
  <c r="G1598" i="1"/>
  <c r="H1666" i="1"/>
  <c r="H1799" i="1"/>
  <c r="G2045" i="1"/>
  <c r="F318" i="1"/>
  <c r="F320" i="1"/>
  <c r="F322" i="1"/>
  <c r="F324" i="1"/>
  <c r="F326" i="1"/>
  <c r="F328" i="1"/>
  <c r="F330" i="1"/>
  <c r="F332" i="1"/>
  <c r="F334" i="1"/>
  <c r="F336" i="1"/>
  <c r="F338" i="1"/>
  <c r="F340" i="1"/>
  <c r="F342" i="1"/>
  <c r="F344" i="1"/>
  <c r="F346" i="1"/>
  <c r="F348" i="1"/>
  <c r="F350" i="1"/>
  <c r="F352" i="1"/>
  <c r="F354" i="1"/>
  <c r="F356" i="1"/>
  <c r="F358" i="1"/>
  <c r="F360" i="1"/>
  <c r="F362" i="1"/>
  <c r="F364" i="1"/>
  <c r="F366" i="1"/>
  <c r="F368" i="1"/>
  <c r="F370" i="1"/>
  <c r="F372" i="1"/>
  <c r="F374" i="1"/>
  <c r="F376" i="1"/>
  <c r="F378" i="1"/>
  <c r="F380" i="1"/>
  <c r="F382" i="1"/>
  <c r="F384" i="1"/>
  <c r="F386" i="1"/>
  <c r="F388" i="1"/>
  <c r="F390" i="1"/>
  <c r="F392" i="1"/>
  <c r="F394" i="1"/>
  <c r="F396" i="1"/>
  <c r="F398" i="1"/>
  <c r="F400" i="1"/>
  <c r="F402" i="1"/>
  <c r="F404" i="1"/>
  <c r="F406" i="1"/>
  <c r="F408" i="1"/>
  <c r="F410" i="1"/>
  <c r="F412" i="1"/>
  <c r="F414" i="1"/>
  <c r="F416" i="1"/>
  <c r="F418" i="1"/>
  <c r="F420" i="1"/>
  <c r="F422" i="1"/>
  <c r="F424" i="1"/>
  <c r="F426" i="1"/>
  <c r="F428" i="1"/>
  <c r="F430" i="1"/>
  <c r="F432" i="1"/>
  <c r="F434" i="1"/>
  <c r="F436" i="1"/>
  <c r="F438" i="1"/>
  <c r="F440" i="1"/>
  <c r="F442" i="1"/>
  <c r="F444" i="1"/>
  <c r="F446" i="1"/>
  <c r="F448" i="1"/>
  <c r="F450" i="1"/>
  <c r="F452" i="1"/>
  <c r="F454" i="1"/>
  <c r="F456" i="1"/>
  <c r="F458" i="1"/>
  <c r="F460" i="1"/>
  <c r="F462" i="1"/>
  <c r="F464" i="1"/>
  <c r="F466" i="1"/>
  <c r="F468" i="1"/>
  <c r="F470" i="1"/>
  <c r="F472" i="1"/>
  <c r="F474" i="1"/>
  <c r="F476" i="1"/>
  <c r="F478" i="1"/>
  <c r="F480" i="1"/>
  <c r="G482" i="1"/>
  <c r="I484" i="1"/>
  <c r="F487" i="1"/>
  <c r="G489" i="1"/>
  <c r="H491" i="1"/>
  <c r="I493" i="1"/>
  <c r="F496" i="1"/>
  <c r="G498" i="1"/>
  <c r="I500" i="1"/>
  <c r="F503" i="1"/>
  <c r="G505" i="1"/>
  <c r="H507" i="1"/>
  <c r="I509" i="1"/>
  <c r="F512" i="1"/>
  <c r="G514" i="1"/>
  <c r="I516" i="1"/>
  <c r="F519" i="1"/>
  <c r="G521" i="1"/>
  <c r="H523" i="1"/>
  <c r="I525" i="1"/>
  <c r="F528" i="1"/>
  <c r="G530" i="1"/>
  <c r="I532" i="1"/>
  <c r="F535" i="1"/>
  <c r="G537" i="1"/>
  <c r="H539" i="1"/>
  <c r="I541" i="1"/>
  <c r="F544" i="1"/>
  <c r="G546" i="1"/>
  <c r="I548" i="1"/>
  <c r="F551" i="1"/>
  <c r="G553" i="1"/>
  <c r="H555" i="1"/>
  <c r="I557" i="1"/>
  <c r="F560" i="1"/>
  <c r="G562" i="1"/>
  <c r="I564" i="1"/>
  <c r="F567" i="1"/>
  <c r="G569" i="1"/>
  <c r="H571" i="1"/>
  <c r="I573" i="1"/>
  <c r="F576" i="1"/>
  <c r="G578" i="1"/>
  <c r="I580" i="1"/>
  <c r="G583" i="1"/>
  <c r="I585" i="1"/>
  <c r="I588" i="1"/>
  <c r="G591" i="1"/>
  <c r="I593" i="1"/>
  <c r="I596" i="1"/>
  <c r="G599" i="1"/>
  <c r="I601" i="1"/>
  <c r="I604" i="1"/>
  <c r="G607" i="1"/>
  <c r="I609" i="1"/>
  <c r="G613" i="1"/>
  <c r="G617" i="1"/>
  <c r="G621" i="1"/>
  <c r="G625" i="1"/>
  <c r="G629" i="1"/>
  <c r="G633" i="1"/>
  <c r="G637" i="1"/>
  <c r="G641" i="1"/>
  <c r="G645" i="1"/>
  <c r="G649" i="1"/>
  <c r="G653" i="1"/>
  <c r="G657" i="1"/>
  <c r="G661" i="1"/>
  <c r="G665" i="1"/>
  <c r="G669" i="1"/>
  <c r="G673" i="1"/>
  <c r="G677" i="1"/>
  <c r="G681" i="1"/>
  <c r="G685" i="1"/>
  <c r="G689" i="1"/>
  <c r="G693" i="1"/>
  <c r="G697" i="1"/>
  <c r="G701" i="1"/>
  <c r="G705" i="1"/>
  <c r="G709" i="1"/>
  <c r="G713" i="1"/>
  <c r="G717" i="1"/>
  <c r="G721" i="1"/>
  <c r="G725" i="1"/>
  <c r="G729" i="1"/>
  <c r="G733" i="1"/>
  <c r="G737" i="1"/>
  <c r="G741" i="1"/>
  <c r="G745" i="1"/>
  <c r="G749" i="1"/>
  <c r="G753" i="1"/>
  <c r="G757" i="1"/>
  <c r="G761" i="1"/>
  <c r="G765" i="1"/>
  <c r="G769" i="1"/>
  <c r="G773" i="1"/>
  <c r="G777" i="1"/>
  <c r="G781" i="1"/>
  <c r="G785" i="1"/>
  <c r="G789" i="1"/>
  <c r="G793" i="1"/>
  <c r="G797" i="1"/>
  <c r="G801" i="1"/>
  <c r="G805" i="1"/>
  <c r="G809" i="1"/>
  <c r="G813" i="1"/>
  <c r="G817" i="1"/>
  <c r="G821" i="1"/>
  <c r="I825" i="1"/>
  <c r="G830" i="1"/>
  <c r="I834" i="1"/>
  <c r="H839" i="1"/>
  <c r="F844" i="1"/>
  <c r="H848" i="1"/>
  <c r="G853" i="1"/>
  <c r="F858" i="1"/>
  <c r="G864" i="1"/>
  <c r="G872" i="1"/>
  <c r="G880" i="1"/>
  <c r="G888" i="1"/>
  <c r="G896" i="1"/>
  <c r="G904" i="1"/>
  <c r="G912" i="1"/>
  <c r="G920" i="1"/>
  <c r="G928" i="1"/>
  <c r="G936" i="1"/>
  <c r="G944" i="1"/>
  <c r="G952" i="1"/>
  <c r="G960" i="1"/>
  <c r="G968" i="1"/>
  <c r="G976" i="1"/>
  <c r="G984" i="1"/>
  <c r="G992" i="1"/>
  <c r="G1000" i="1"/>
  <c r="G1008" i="1"/>
  <c r="G1016" i="1"/>
  <c r="G1024" i="1"/>
  <c r="G1032" i="1"/>
  <c r="H1041" i="1"/>
  <c r="H1050" i="1"/>
  <c r="I1059" i="1"/>
  <c r="I1068" i="1"/>
  <c r="F1078" i="1"/>
  <c r="F1087" i="1"/>
  <c r="G1096" i="1"/>
  <c r="H1105" i="1"/>
  <c r="H1114" i="1"/>
  <c r="I1123" i="1"/>
  <c r="I1132" i="1"/>
  <c r="F1143" i="1"/>
  <c r="I1155" i="1"/>
  <c r="I1168" i="1"/>
  <c r="F1182" i="1"/>
  <c r="F1198" i="1"/>
  <c r="F1214" i="1"/>
  <c r="F1230" i="1"/>
  <c r="F1246" i="1"/>
  <c r="F1262" i="1"/>
  <c r="F1278" i="1"/>
  <c r="F1294" i="1"/>
  <c r="F1310" i="1"/>
  <c r="F1326" i="1"/>
  <c r="I1342" i="1"/>
  <c r="F1361" i="1"/>
  <c r="G1379" i="1"/>
  <c r="I1399" i="1"/>
  <c r="G1421" i="1"/>
  <c r="H1445" i="1"/>
  <c r="I1472" i="1"/>
  <c r="F1502" i="1"/>
  <c r="F1544" i="1"/>
  <c r="I1598" i="1"/>
  <c r="I1667" i="1"/>
  <c r="F1806" i="1"/>
  <c r="I2072" i="1"/>
  <c r="G232" i="1"/>
  <c r="G234" i="1"/>
  <c r="G236" i="1"/>
  <c r="G238" i="1"/>
  <c r="G240" i="1"/>
  <c r="G242" i="1"/>
  <c r="G244" i="1"/>
  <c r="G246" i="1"/>
  <c r="G248" i="1"/>
  <c r="G250" i="1"/>
  <c r="G252" i="1"/>
  <c r="G254" i="1"/>
  <c r="G256" i="1"/>
  <c r="G258" i="1"/>
  <c r="G260" i="1"/>
  <c r="G262" i="1"/>
  <c r="G264" i="1"/>
  <c r="G266" i="1"/>
  <c r="G268" i="1"/>
  <c r="G270" i="1"/>
  <c r="G272" i="1"/>
  <c r="G274" i="1"/>
  <c r="G276" i="1"/>
  <c r="G278" i="1"/>
  <c r="G280" i="1"/>
  <c r="G282" i="1"/>
  <c r="G284" i="1"/>
  <c r="G286" i="1"/>
  <c r="G288" i="1"/>
  <c r="G290" i="1"/>
  <c r="G292" i="1"/>
  <c r="G294" i="1"/>
  <c r="G296" i="1"/>
  <c r="G298" i="1"/>
  <c r="G300" i="1"/>
  <c r="G302" i="1"/>
  <c r="G304" i="1"/>
  <c r="G306" i="1"/>
  <c r="G308" i="1"/>
  <c r="G310" i="1"/>
  <c r="G312" i="1"/>
  <c r="G314" i="1"/>
  <c r="G316" i="1"/>
  <c r="G318" i="1"/>
  <c r="G320" i="1"/>
  <c r="G322" i="1"/>
  <c r="G324" i="1"/>
  <c r="G326" i="1"/>
  <c r="G328" i="1"/>
  <c r="G330" i="1"/>
  <c r="G332" i="1"/>
  <c r="G334" i="1"/>
  <c r="G336" i="1"/>
  <c r="G338" i="1"/>
  <c r="G340" i="1"/>
  <c r="G342" i="1"/>
  <c r="G344" i="1"/>
  <c r="G346" i="1"/>
  <c r="G348" i="1"/>
  <c r="G350" i="1"/>
  <c r="G352" i="1"/>
  <c r="G354" i="1"/>
  <c r="G356" i="1"/>
  <c r="G358" i="1"/>
  <c r="G360" i="1"/>
  <c r="G362" i="1"/>
  <c r="G364" i="1"/>
  <c r="G366" i="1"/>
  <c r="G368" i="1"/>
  <c r="G370" i="1"/>
  <c r="G372" i="1"/>
  <c r="G374" i="1"/>
  <c r="G376" i="1"/>
  <c r="G378" i="1"/>
  <c r="G380" i="1"/>
  <c r="G382" i="1"/>
  <c r="G384" i="1"/>
  <c r="G386" i="1"/>
  <c r="G388" i="1"/>
  <c r="G390" i="1"/>
  <c r="G392" i="1"/>
  <c r="G394" i="1"/>
  <c r="G396" i="1"/>
  <c r="G398" i="1"/>
  <c r="G400" i="1"/>
  <c r="G402" i="1"/>
  <c r="G404" i="1"/>
  <c r="G406" i="1"/>
  <c r="G408" i="1"/>
  <c r="G410" i="1"/>
  <c r="G412" i="1"/>
  <c r="G414" i="1"/>
  <c r="G416" i="1"/>
  <c r="G418" i="1"/>
  <c r="G420" i="1"/>
  <c r="G422" i="1"/>
  <c r="G424" i="1"/>
  <c r="G426" i="1"/>
  <c r="G428" i="1"/>
  <c r="G430" i="1"/>
  <c r="G432" i="1"/>
  <c r="G434" i="1"/>
  <c r="G436" i="1"/>
  <c r="G438" i="1"/>
  <c r="G440" i="1"/>
  <c r="G442" i="1"/>
  <c r="G444" i="1"/>
  <c r="G446" i="1"/>
  <c r="G448" i="1"/>
  <c r="G450" i="1"/>
  <c r="G452" i="1"/>
  <c r="G454" i="1"/>
  <c r="G456" i="1"/>
  <c r="G458" i="1"/>
  <c r="G460" i="1"/>
  <c r="G462" i="1"/>
  <c r="G464" i="1"/>
  <c r="G466" i="1"/>
  <c r="G468" i="1"/>
  <c r="G470" i="1"/>
  <c r="G472" i="1"/>
  <c r="G474" i="1"/>
  <c r="G476" i="1"/>
  <c r="G478" i="1"/>
  <c r="G480" i="1"/>
  <c r="I482" i="1"/>
  <c r="F485" i="1"/>
  <c r="G487" i="1"/>
  <c r="H489" i="1"/>
  <c r="I491" i="1"/>
  <c r="F494" i="1"/>
  <c r="G496" i="1"/>
  <c r="I498" i="1"/>
  <c r="F501" i="1"/>
  <c r="G503" i="1"/>
  <c r="H505" i="1"/>
  <c r="I507" i="1"/>
  <c r="F510" i="1"/>
  <c r="G512" i="1"/>
  <c r="I514" i="1"/>
  <c r="F517" i="1"/>
  <c r="G519" i="1"/>
  <c r="H521" i="1"/>
  <c r="I523" i="1"/>
  <c r="F526" i="1"/>
  <c r="G528" i="1"/>
  <c r="I530" i="1"/>
  <c r="F533" i="1"/>
  <c r="G535" i="1"/>
  <c r="H537" i="1"/>
  <c r="I539" i="1"/>
  <c r="F542" i="1"/>
  <c r="G544" i="1"/>
  <c r="I546" i="1"/>
  <c r="F549" i="1"/>
  <c r="G551" i="1"/>
  <c r="H553" i="1"/>
  <c r="I555" i="1"/>
  <c r="F558" i="1"/>
  <c r="G560" i="1"/>
  <c r="I562" i="1"/>
  <c r="F565" i="1"/>
  <c r="G567" i="1"/>
  <c r="H569" i="1"/>
  <c r="I571" i="1"/>
  <c r="F574" i="1"/>
  <c r="G576" i="1"/>
  <c r="I578" i="1"/>
  <c r="F581" i="1"/>
  <c r="H583" i="1"/>
  <c r="F586" i="1"/>
  <c r="F589" i="1"/>
  <c r="H591" i="1"/>
  <c r="F594" i="1"/>
  <c r="F597" i="1"/>
  <c r="H599" i="1"/>
  <c r="F602" i="1"/>
  <c r="F605" i="1"/>
  <c r="H607" i="1"/>
  <c r="F610" i="1"/>
  <c r="F614" i="1"/>
  <c r="F618" i="1"/>
  <c r="F622" i="1"/>
  <c r="F626" i="1"/>
  <c r="F630" i="1"/>
  <c r="F634" i="1"/>
  <c r="F638" i="1"/>
  <c r="F642" i="1"/>
  <c r="F646" i="1"/>
  <c r="F650" i="1"/>
  <c r="F654" i="1"/>
  <c r="F658" i="1"/>
  <c r="F662" i="1"/>
  <c r="F666" i="1"/>
  <c r="F670" i="1"/>
  <c r="F674" i="1"/>
  <c r="F678" i="1"/>
  <c r="F682" i="1"/>
  <c r="F686" i="1"/>
  <c r="F690" i="1"/>
  <c r="F694" i="1"/>
  <c r="F698" i="1"/>
  <c r="F702" i="1"/>
  <c r="F706" i="1"/>
  <c r="F710" i="1"/>
  <c r="F714" i="1"/>
  <c r="F718" i="1"/>
  <c r="F722" i="1"/>
  <c r="F726" i="1"/>
  <c r="F730" i="1"/>
  <c r="F734" i="1"/>
  <c r="F738" i="1"/>
  <c r="F742" i="1"/>
  <c r="F746" i="1"/>
  <c r="F750" i="1"/>
  <c r="F754" i="1"/>
  <c r="F758" i="1"/>
  <c r="F762" i="1"/>
  <c r="F766" i="1"/>
  <c r="F770" i="1"/>
  <c r="F774" i="1"/>
  <c r="F778" i="1"/>
  <c r="F782" i="1"/>
  <c r="F786" i="1"/>
  <c r="F790" i="1"/>
  <c r="F794" i="1"/>
  <c r="F798" i="1"/>
  <c r="F802" i="1"/>
  <c r="F806" i="1"/>
  <c r="F810" i="1"/>
  <c r="F814" i="1"/>
  <c r="F818" i="1"/>
  <c r="F822" i="1"/>
  <c r="H826" i="1"/>
  <c r="G831" i="1"/>
  <c r="I835" i="1"/>
  <c r="G840" i="1"/>
  <c r="I844" i="1"/>
  <c r="H849" i="1"/>
  <c r="F854" i="1"/>
  <c r="I858" i="1"/>
  <c r="F866" i="1"/>
  <c r="F874" i="1"/>
  <c r="F882" i="1"/>
  <c r="F890" i="1"/>
  <c r="F898" i="1"/>
  <c r="F906" i="1"/>
  <c r="F914" i="1"/>
  <c r="F922" i="1"/>
  <c r="F930" i="1"/>
  <c r="F938" i="1"/>
  <c r="F946" i="1"/>
  <c r="F954" i="1"/>
  <c r="F962" i="1"/>
  <c r="F970" i="1"/>
  <c r="F978" i="1"/>
  <c r="F986" i="1"/>
  <c r="F994" i="1"/>
  <c r="F1002" i="1"/>
  <c r="F1010" i="1"/>
  <c r="F1018" i="1"/>
  <c r="F1026" i="1"/>
  <c r="G1034" i="1"/>
  <c r="H1043" i="1"/>
  <c r="H1052" i="1"/>
  <c r="I1061" i="1"/>
  <c r="I1070" i="1"/>
  <c r="F1080" i="1"/>
  <c r="F1089" i="1"/>
  <c r="G1098" i="1"/>
  <c r="H1107" i="1"/>
  <c r="H1116" i="1"/>
  <c r="I1125" i="1"/>
  <c r="I1134" i="1"/>
  <c r="I1145" i="1"/>
  <c r="I1158" i="1"/>
  <c r="H1171" i="1"/>
  <c r="I1185" i="1"/>
  <c r="I1201" i="1"/>
  <c r="I1217" i="1"/>
  <c r="I1233" i="1"/>
  <c r="I1249" i="1"/>
  <c r="I1265" i="1"/>
  <c r="I1281" i="1"/>
  <c r="I1297" i="1"/>
  <c r="I1313" i="1"/>
  <c r="I1329" i="1"/>
  <c r="F1347" i="1"/>
  <c r="G1365" i="1"/>
  <c r="H1383" i="1"/>
  <c r="F1405" i="1"/>
  <c r="H1426" i="1"/>
  <c r="H1451" i="1"/>
  <c r="H1479" i="1"/>
  <c r="F1509" i="1"/>
  <c r="F1556" i="1"/>
  <c r="H1614" i="1"/>
  <c r="F1691" i="1"/>
  <c r="F1856" i="1"/>
  <c r="H2210" i="1"/>
  <c r="H611" i="1"/>
  <c r="H613" i="1"/>
  <c r="H615" i="1"/>
  <c r="H617" i="1"/>
  <c r="H619" i="1"/>
  <c r="H621" i="1"/>
  <c r="H623" i="1"/>
  <c r="H625" i="1"/>
  <c r="H627" i="1"/>
  <c r="H629" i="1"/>
  <c r="H631" i="1"/>
  <c r="H633" i="1"/>
  <c r="H635" i="1"/>
  <c r="H637" i="1"/>
  <c r="H639" i="1"/>
  <c r="H641" i="1"/>
  <c r="H643" i="1"/>
  <c r="H645" i="1"/>
  <c r="H647" i="1"/>
  <c r="H649" i="1"/>
  <c r="H651" i="1"/>
  <c r="H653" i="1"/>
  <c r="H655" i="1"/>
  <c r="H657" i="1"/>
  <c r="H659" i="1"/>
  <c r="H661" i="1"/>
  <c r="H663" i="1"/>
  <c r="H665" i="1"/>
  <c r="H667" i="1"/>
  <c r="H669" i="1"/>
  <c r="H671" i="1"/>
  <c r="H673" i="1"/>
  <c r="H675" i="1"/>
  <c r="H677" i="1"/>
  <c r="H679" i="1"/>
  <c r="H681" i="1"/>
  <c r="H683" i="1"/>
  <c r="H685" i="1"/>
  <c r="H687" i="1"/>
  <c r="H689" i="1"/>
  <c r="H691" i="1"/>
  <c r="H693" i="1"/>
  <c r="H695" i="1"/>
  <c r="H697" i="1"/>
  <c r="H699" i="1"/>
  <c r="H701" i="1"/>
  <c r="H703" i="1"/>
  <c r="H705" i="1"/>
  <c r="H707" i="1"/>
  <c r="H709" i="1"/>
  <c r="H711" i="1"/>
  <c r="H713" i="1"/>
  <c r="H715" i="1"/>
  <c r="H717" i="1"/>
  <c r="H719" i="1"/>
  <c r="H721" i="1"/>
  <c r="H723" i="1"/>
  <c r="H725" i="1"/>
  <c r="H727" i="1"/>
  <c r="H729" i="1"/>
  <c r="H731" i="1"/>
  <c r="H733" i="1"/>
  <c r="H735" i="1"/>
  <c r="H737" i="1"/>
  <c r="H739" i="1"/>
  <c r="H741" i="1"/>
  <c r="H743" i="1"/>
  <c r="H745" i="1"/>
  <c r="H747" i="1"/>
  <c r="H749" i="1"/>
  <c r="H751" i="1"/>
  <c r="H753" i="1"/>
  <c r="H755" i="1"/>
  <c r="H757" i="1"/>
  <c r="H759" i="1"/>
  <c r="H761" i="1"/>
  <c r="H763" i="1"/>
  <c r="H765" i="1"/>
  <c r="H767" i="1"/>
  <c r="H769" i="1"/>
  <c r="H771" i="1"/>
  <c r="H773" i="1"/>
  <c r="H775" i="1"/>
  <c r="H777" i="1"/>
  <c r="H779" i="1"/>
  <c r="H781" i="1"/>
  <c r="H783" i="1"/>
  <c r="H785" i="1"/>
  <c r="H787" i="1"/>
  <c r="H789" i="1"/>
  <c r="H791" i="1"/>
  <c r="H793" i="1"/>
  <c r="H795" i="1"/>
  <c r="H797" i="1"/>
  <c r="H799" i="1"/>
  <c r="H801" i="1"/>
  <c r="H803" i="1"/>
  <c r="H805" i="1"/>
  <c r="H807" i="1"/>
  <c r="H809" i="1"/>
  <c r="H811" i="1"/>
  <c r="H813" i="1"/>
  <c r="H815" i="1"/>
  <c r="H817" i="1"/>
  <c r="H819" i="1"/>
  <c r="H821" i="1"/>
  <c r="I823" i="1"/>
  <c r="F826" i="1"/>
  <c r="G828" i="1"/>
  <c r="H830" i="1"/>
  <c r="I832" i="1"/>
  <c r="G835" i="1"/>
  <c r="H837" i="1"/>
  <c r="I839" i="1"/>
  <c r="F842" i="1"/>
  <c r="G844" i="1"/>
  <c r="H846" i="1"/>
  <c r="I848" i="1"/>
  <c r="G851" i="1"/>
  <c r="H853" i="1"/>
  <c r="I855" i="1"/>
  <c r="G858" i="1"/>
  <c r="H861" i="1"/>
  <c r="H864" i="1"/>
  <c r="H868" i="1"/>
  <c r="H872" i="1"/>
  <c r="H876" i="1"/>
  <c r="H880" i="1"/>
  <c r="H884" i="1"/>
  <c r="H888" i="1"/>
  <c r="H892" i="1"/>
  <c r="H896" i="1"/>
  <c r="H900" i="1"/>
  <c r="H904" i="1"/>
  <c r="H908" i="1"/>
  <c r="H912" i="1"/>
  <c r="H916" i="1"/>
  <c r="H920" i="1"/>
  <c r="H924" i="1"/>
  <c r="H928" i="1"/>
  <c r="H932" i="1"/>
  <c r="H936" i="1"/>
  <c r="H940" i="1"/>
  <c r="H944" i="1"/>
  <c r="H948" i="1"/>
  <c r="H952" i="1"/>
  <c r="H956" i="1"/>
  <c r="H960" i="1"/>
  <c r="H964" i="1"/>
  <c r="H968" i="1"/>
  <c r="H972" i="1"/>
  <c r="H976" i="1"/>
  <c r="H980" i="1"/>
  <c r="H984" i="1"/>
  <c r="H988" i="1"/>
  <c r="H992" i="1"/>
  <c r="H996" i="1"/>
  <c r="H1000" i="1"/>
  <c r="H1004" i="1"/>
  <c r="H1008" i="1"/>
  <c r="H1012" i="1"/>
  <c r="H1016" i="1"/>
  <c r="H1020" i="1"/>
  <c r="H1024" i="1"/>
  <c r="H1028" i="1"/>
  <c r="H1032" i="1"/>
  <c r="F1037" i="1"/>
  <c r="I1041" i="1"/>
  <c r="G1046" i="1"/>
  <c r="I1050" i="1"/>
  <c r="H1055" i="1"/>
  <c r="F1060" i="1"/>
  <c r="H1064" i="1"/>
  <c r="F1069" i="1"/>
  <c r="I1073" i="1"/>
  <c r="G1078" i="1"/>
  <c r="I1082" i="1"/>
  <c r="H1087" i="1"/>
  <c r="F1092" i="1"/>
  <c r="H1096" i="1"/>
  <c r="F1101" i="1"/>
  <c r="I1105" i="1"/>
  <c r="G1110" i="1"/>
  <c r="I1114" i="1"/>
  <c r="H1119" i="1"/>
  <c r="F1124" i="1"/>
  <c r="H1128" i="1"/>
  <c r="F1133" i="1"/>
  <c r="I1137" i="1"/>
  <c r="H1143" i="1"/>
  <c r="I1149" i="1"/>
  <c r="F1156" i="1"/>
  <c r="I1162" i="1"/>
  <c r="F1169" i="1"/>
  <c r="H1175" i="1"/>
  <c r="I1182" i="1"/>
  <c r="I1190" i="1"/>
  <c r="I1198" i="1"/>
  <c r="I1206" i="1"/>
  <c r="I1214" i="1"/>
  <c r="I1222" i="1"/>
  <c r="I1230" i="1"/>
  <c r="I1238" i="1"/>
  <c r="I1246" i="1"/>
  <c r="I1254" i="1"/>
  <c r="I1262" i="1"/>
  <c r="I1270" i="1"/>
  <c r="I1278" i="1"/>
  <c r="I1286" i="1"/>
  <c r="I1294" i="1"/>
  <c r="I1302" i="1"/>
  <c r="I1310" i="1"/>
  <c r="I1318" i="1"/>
  <c r="I1326" i="1"/>
  <c r="I1334" i="1"/>
  <c r="H1343" i="1"/>
  <c r="I1352" i="1"/>
  <c r="I1361" i="1"/>
  <c r="F1371" i="1"/>
  <c r="F1380" i="1"/>
  <c r="H1390" i="1"/>
  <c r="F1401" i="1"/>
  <c r="H1411" i="1"/>
  <c r="H1422" i="1"/>
  <c r="I1433" i="1"/>
  <c r="F1447" i="1"/>
  <c r="H1459" i="1"/>
  <c r="F1474" i="1"/>
  <c r="I1488" i="1"/>
  <c r="F1503" i="1"/>
  <c r="G1521" i="1"/>
  <c r="F1546" i="1"/>
  <c r="G1573" i="1"/>
  <c r="H1603" i="1"/>
  <c r="H1635" i="1"/>
  <c r="F1674" i="1"/>
  <c r="I1727" i="1"/>
  <c r="H1815" i="1"/>
  <c r="G1929" i="1"/>
  <c r="I2081" i="1"/>
  <c r="I611" i="1"/>
  <c r="I613" i="1"/>
  <c r="I615" i="1"/>
  <c r="I617" i="1"/>
  <c r="I619" i="1"/>
  <c r="I621" i="1"/>
  <c r="I623" i="1"/>
  <c r="I625" i="1"/>
  <c r="I627" i="1"/>
  <c r="I629" i="1"/>
  <c r="I631" i="1"/>
  <c r="I633" i="1"/>
  <c r="I635" i="1"/>
  <c r="I637" i="1"/>
  <c r="I639" i="1"/>
  <c r="I641" i="1"/>
  <c r="I643" i="1"/>
  <c r="I645" i="1"/>
  <c r="I647" i="1"/>
  <c r="I649" i="1"/>
  <c r="I651" i="1"/>
  <c r="I653" i="1"/>
  <c r="I655" i="1"/>
  <c r="I657" i="1"/>
  <c r="I659" i="1"/>
  <c r="I661" i="1"/>
  <c r="I663" i="1"/>
  <c r="I665" i="1"/>
  <c r="I667" i="1"/>
  <c r="I669" i="1"/>
  <c r="I671" i="1"/>
  <c r="I673" i="1"/>
  <c r="I675" i="1"/>
  <c r="I677" i="1"/>
  <c r="I679" i="1"/>
  <c r="I681" i="1"/>
  <c r="I683" i="1"/>
  <c r="I685" i="1"/>
  <c r="I687" i="1"/>
  <c r="I689" i="1"/>
  <c r="I691" i="1"/>
  <c r="I693" i="1"/>
  <c r="I695" i="1"/>
  <c r="I697" i="1"/>
  <c r="I699" i="1"/>
  <c r="I701" i="1"/>
  <c r="I703" i="1"/>
  <c r="I705" i="1"/>
  <c r="I707" i="1"/>
  <c r="I709" i="1"/>
  <c r="I711" i="1"/>
  <c r="I713" i="1"/>
  <c r="I715" i="1"/>
  <c r="I717" i="1"/>
  <c r="I719" i="1"/>
  <c r="I721" i="1"/>
  <c r="I723" i="1"/>
  <c r="I725" i="1"/>
  <c r="I727" i="1"/>
  <c r="I729" i="1"/>
  <c r="I731" i="1"/>
  <c r="I733" i="1"/>
  <c r="I735" i="1"/>
  <c r="I737" i="1"/>
  <c r="I739" i="1"/>
  <c r="I741" i="1"/>
  <c r="I743" i="1"/>
  <c r="I745" i="1"/>
  <c r="I747" i="1"/>
  <c r="I749" i="1"/>
  <c r="I751" i="1"/>
  <c r="I753" i="1"/>
  <c r="I755" i="1"/>
  <c r="I757" i="1"/>
  <c r="I759" i="1"/>
  <c r="I761" i="1"/>
  <c r="I763" i="1"/>
  <c r="I765" i="1"/>
  <c r="I767" i="1"/>
  <c r="I769" i="1"/>
  <c r="I771" i="1"/>
  <c r="I773" i="1"/>
  <c r="I775" i="1"/>
  <c r="I777" i="1"/>
  <c r="I779" i="1"/>
  <c r="I781" i="1"/>
  <c r="I783" i="1"/>
  <c r="I785" i="1"/>
  <c r="I787" i="1"/>
  <c r="I789" i="1"/>
  <c r="I791" i="1"/>
  <c r="I793" i="1"/>
  <c r="I795" i="1"/>
  <c r="I797" i="1"/>
  <c r="I799" i="1"/>
  <c r="I801" i="1"/>
  <c r="I803" i="1"/>
  <c r="I805" i="1"/>
  <c r="I807" i="1"/>
  <c r="I809" i="1"/>
  <c r="I811" i="1"/>
  <c r="I813" i="1"/>
  <c r="I815" i="1"/>
  <c r="I817" i="1"/>
  <c r="I819" i="1"/>
  <c r="I821" i="1"/>
  <c r="F824" i="1"/>
  <c r="G826" i="1"/>
  <c r="H828" i="1"/>
  <c r="I830" i="1"/>
  <c r="G833" i="1"/>
  <c r="H835" i="1"/>
  <c r="I837" i="1"/>
  <c r="F840" i="1"/>
  <c r="G842" i="1"/>
  <c r="H844" i="1"/>
  <c r="I846" i="1"/>
  <c r="G849" i="1"/>
  <c r="H851" i="1"/>
  <c r="I853" i="1"/>
  <c r="F856" i="1"/>
  <c r="H858" i="1"/>
  <c r="I861" i="1"/>
  <c r="I865" i="1"/>
  <c r="I869" i="1"/>
  <c r="I873" i="1"/>
  <c r="I877" i="1"/>
  <c r="I881" i="1"/>
  <c r="I885" i="1"/>
  <c r="I889" i="1"/>
  <c r="I893" i="1"/>
  <c r="I897" i="1"/>
  <c r="I901" i="1"/>
  <c r="I905" i="1"/>
  <c r="I909" i="1"/>
  <c r="I913" i="1"/>
  <c r="I917" i="1"/>
  <c r="I921" i="1"/>
  <c r="I925" i="1"/>
  <c r="I929" i="1"/>
  <c r="I933" i="1"/>
  <c r="I937" i="1"/>
  <c r="I941" i="1"/>
  <c r="I945" i="1"/>
  <c r="I949" i="1"/>
  <c r="I953" i="1"/>
  <c r="I957" i="1"/>
  <c r="I961" i="1"/>
  <c r="I965" i="1"/>
  <c r="I969" i="1"/>
  <c r="I973" i="1"/>
  <c r="I977" i="1"/>
  <c r="I981" i="1"/>
  <c r="I985" i="1"/>
  <c r="I989" i="1"/>
  <c r="I993" i="1"/>
  <c r="I997" i="1"/>
  <c r="I1001" i="1"/>
  <c r="I1005" i="1"/>
  <c r="I1009" i="1"/>
  <c r="I1013" i="1"/>
  <c r="I1017" i="1"/>
  <c r="I1021" i="1"/>
  <c r="I1025" i="1"/>
  <c r="I1029" i="1"/>
  <c r="F1034" i="1"/>
  <c r="H1038" i="1"/>
  <c r="F1043" i="1"/>
  <c r="I1047" i="1"/>
  <c r="G1052" i="1"/>
  <c r="I1056" i="1"/>
  <c r="H1061" i="1"/>
  <c r="F1066" i="1"/>
  <c r="H1070" i="1"/>
  <c r="F1075" i="1"/>
  <c r="I1079" i="1"/>
  <c r="G1084" i="1"/>
  <c r="I1088" i="1"/>
  <c r="H1093" i="1"/>
  <c r="F1098" i="1"/>
  <c r="H1102" i="1"/>
  <c r="F1107" i="1"/>
  <c r="I1111" i="1"/>
  <c r="G1116" i="1"/>
  <c r="I1120" i="1"/>
  <c r="H1125" i="1"/>
  <c r="F1130" i="1"/>
  <c r="H1134" i="1"/>
  <c r="F1139" i="1"/>
  <c r="H1145" i="1"/>
  <c r="I1151" i="1"/>
  <c r="F1158" i="1"/>
  <c r="I1164" i="1"/>
  <c r="F1171" i="1"/>
  <c r="H1177" i="1"/>
  <c r="H1185" i="1"/>
  <c r="H1193" i="1"/>
  <c r="H1201" i="1"/>
  <c r="H1209" i="1"/>
  <c r="H1217" i="1"/>
  <c r="H1225" i="1"/>
  <c r="H1233" i="1"/>
  <c r="H1241" i="1"/>
  <c r="H1249" i="1"/>
  <c r="H1257" i="1"/>
  <c r="H1265" i="1"/>
  <c r="H1273" i="1"/>
  <c r="H1281" i="1"/>
  <c r="H1289" i="1"/>
  <c r="H1297" i="1"/>
  <c r="H1305" i="1"/>
  <c r="H1313" i="1"/>
  <c r="H1321" i="1"/>
  <c r="H1329" i="1"/>
  <c r="H1337" i="1"/>
  <c r="I1346" i="1"/>
  <c r="I1355" i="1"/>
  <c r="F1365" i="1"/>
  <c r="F1374" i="1"/>
  <c r="G1383" i="1"/>
  <c r="I1393" i="1"/>
  <c r="I1404" i="1"/>
  <c r="G1415" i="1"/>
  <c r="I1425" i="1"/>
  <c r="H1438" i="1"/>
  <c r="G1451" i="1"/>
  <c r="F1464" i="1"/>
  <c r="G1479" i="1"/>
  <c r="H1493" i="1"/>
  <c r="G1508" i="1"/>
  <c r="I1529" i="1"/>
  <c r="G1554" i="1"/>
  <c r="F1584" i="1"/>
  <c r="G1614" i="1"/>
  <c r="G1648" i="1"/>
  <c r="H1690" i="1"/>
  <c r="F1747" i="1"/>
  <c r="H1855" i="1"/>
  <c r="H1967" i="1"/>
  <c r="F2185" i="1"/>
  <c r="G582" i="1"/>
  <c r="G584" i="1"/>
  <c r="G586" i="1"/>
  <c r="G588" i="1"/>
  <c r="G590" i="1"/>
  <c r="G592" i="1"/>
  <c r="G594" i="1"/>
  <c r="G596" i="1"/>
  <c r="G598" i="1"/>
  <c r="G600" i="1"/>
  <c r="G602" i="1"/>
  <c r="G604" i="1"/>
  <c r="G606" i="1"/>
  <c r="G608" i="1"/>
  <c r="G610" i="1"/>
  <c r="G612" i="1"/>
  <c r="G614" i="1"/>
  <c r="G616" i="1"/>
  <c r="G618" i="1"/>
  <c r="G620" i="1"/>
  <c r="G622" i="1"/>
  <c r="G624" i="1"/>
  <c r="G626" i="1"/>
  <c r="G628" i="1"/>
  <c r="G630" i="1"/>
  <c r="G632" i="1"/>
  <c r="G634" i="1"/>
  <c r="G636" i="1"/>
  <c r="G638" i="1"/>
  <c r="G640" i="1"/>
  <c r="G642" i="1"/>
  <c r="G644" i="1"/>
  <c r="G646" i="1"/>
  <c r="G648" i="1"/>
  <c r="G650" i="1"/>
  <c r="G652" i="1"/>
  <c r="G654" i="1"/>
  <c r="G656" i="1"/>
  <c r="G658" i="1"/>
  <c r="G660" i="1"/>
  <c r="G662" i="1"/>
  <c r="G664" i="1"/>
  <c r="G666" i="1"/>
  <c r="G668" i="1"/>
  <c r="G670" i="1"/>
  <c r="G672" i="1"/>
  <c r="G674" i="1"/>
  <c r="G676" i="1"/>
  <c r="G678" i="1"/>
  <c r="G680" i="1"/>
  <c r="G682" i="1"/>
  <c r="G684" i="1"/>
  <c r="G686" i="1"/>
  <c r="G688" i="1"/>
  <c r="G690" i="1"/>
  <c r="G692" i="1"/>
  <c r="G694" i="1"/>
  <c r="G696" i="1"/>
  <c r="G698" i="1"/>
  <c r="G700" i="1"/>
  <c r="G702" i="1"/>
  <c r="G704" i="1"/>
  <c r="G706" i="1"/>
  <c r="G708" i="1"/>
  <c r="G710" i="1"/>
  <c r="G712" i="1"/>
  <c r="G714" i="1"/>
  <c r="G716" i="1"/>
  <c r="G718" i="1"/>
  <c r="G720" i="1"/>
  <c r="G722" i="1"/>
  <c r="G724" i="1"/>
  <c r="G726" i="1"/>
  <c r="G728" i="1"/>
  <c r="G730" i="1"/>
  <c r="G732" i="1"/>
  <c r="G734" i="1"/>
  <c r="G736" i="1"/>
  <c r="G738" i="1"/>
  <c r="G740" i="1"/>
  <c r="G742" i="1"/>
  <c r="G744" i="1"/>
  <c r="G746" i="1"/>
  <c r="G748" i="1"/>
  <c r="G750" i="1"/>
  <c r="G752" i="1"/>
  <c r="G754" i="1"/>
  <c r="G756" i="1"/>
  <c r="G758" i="1"/>
  <c r="G760" i="1"/>
  <c r="G762" i="1"/>
  <c r="G764" i="1"/>
  <c r="G766" i="1"/>
  <c r="G768" i="1"/>
  <c r="G770" i="1"/>
  <c r="G772" i="1"/>
  <c r="G774" i="1"/>
  <c r="G776" i="1"/>
  <c r="G778" i="1"/>
  <c r="G780" i="1"/>
  <c r="G782" i="1"/>
  <c r="G784" i="1"/>
  <c r="G786" i="1"/>
  <c r="G788" i="1"/>
  <c r="G790" i="1"/>
  <c r="G792" i="1"/>
  <c r="G794" i="1"/>
  <c r="G796" i="1"/>
  <c r="G798" i="1"/>
  <c r="G800" i="1"/>
  <c r="G802" i="1"/>
  <c r="G804" i="1"/>
  <c r="G806" i="1"/>
  <c r="G808" i="1"/>
  <c r="G810" i="1"/>
  <c r="G812" i="1"/>
  <c r="G814" i="1"/>
  <c r="G816" i="1"/>
  <c r="G818" i="1"/>
  <c r="G820" i="1"/>
  <c r="G822" i="1"/>
  <c r="H824" i="1"/>
  <c r="I826" i="1"/>
  <c r="G829" i="1"/>
  <c r="H831" i="1"/>
  <c r="I833" i="1"/>
  <c r="F836" i="1"/>
  <c r="G838" i="1"/>
  <c r="H840" i="1"/>
  <c r="I842" i="1"/>
  <c r="G845" i="1"/>
  <c r="H847" i="1"/>
  <c r="I849" i="1"/>
  <c r="F852" i="1"/>
  <c r="G854" i="1"/>
  <c r="H856" i="1"/>
  <c r="H859" i="1"/>
  <c r="G862" i="1"/>
  <c r="G866" i="1"/>
  <c r="G870" i="1"/>
  <c r="G874" i="1"/>
  <c r="G878" i="1"/>
  <c r="G882" i="1"/>
  <c r="G886" i="1"/>
  <c r="G890" i="1"/>
  <c r="G894" i="1"/>
  <c r="G898" i="1"/>
  <c r="G902" i="1"/>
  <c r="G906" i="1"/>
  <c r="G910" i="1"/>
  <c r="G914" i="1"/>
  <c r="G918" i="1"/>
  <c r="G922" i="1"/>
  <c r="G926" i="1"/>
  <c r="G930" i="1"/>
  <c r="G934" i="1"/>
  <c r="G938" i="1"/>
  <c r="G942" i="1"/>
  <c r="G946" i="1"/>
  <c r="G950" i="1"/>
  <c r="G954" i="1"/>
  <c r="G958" i="1"/>
  <c r="G962" i="1"/>
  <c r="G966" i="1"/>
  <c r="G970" i="1"/>
  <c r="G974" i="1"/>
  <c r="G978" i="1"/>
  <c r="G982" i="1"/>
  <c r="G986" i="1"/>
  <c r="G990" i="1"/>
  <c r="G994" i="1"/>
  <c r="G998" i="1"/>
  <c r="G1002" i="1"/>
  <c r="G1006" i="1"/>
  <c r="G1010" i="1"/>
  <c r="G1014" i="1"/>
  <c r="G1018" i="1"/>
  <c r="G1022" i="1"/>
  <c r="G1026" i="1"/>
  <c r="G1030" i="1"/>
  <c r="H1034" i="1"/>
  <c r="F1039" i="1"/>
  <c r="I1043" i="1"/>
  <c r="G1048" i="1"/>
  <c r="I1052" i="1"/>
  <c r="H1057" i="1"/>
  <c r="F1062" i="1"/>
  <c r="H1066" i="1"/>
  <c r="F1071" i="1"/>
  <c r="I1075" i="1"/>
  <c r="G1080" i="1"/>
  <c r="I1084" i="1"/>
  <c r="H1089" i="1"/>
  <c r="F1094" i="1"/>
  <c r="H1098" i="1"/>
  <c r="F1103" i="1"/>
  <c r="I1107" i="1"/>
  <c r="G1112" i="1"/>
  <c r="I1116" i="1"/>
  <c r="H1121" i="1"/>
  <c r="F1126" i="1"/>
  <c r="H1130" i="1"/>
  <c r="F1135" i="1"/>
  <c r="I1139" i="1"/>
  <c r="F1146" i="1"/>
  <c r="I1152" i="1"/>
  <c r="F1159" i="1"/>
  <c r="H1165" i="1"/>
  <c r="I1171" i="1"/>
  <c r="F1178" i="1"/>
  <c r="F1186" i="1"/>
  <c r="F1194" i="1"/>
  <c r="F1202" i="1"/>
  <c r="F1210" i="1"/>
  <c r="F1218" i="1"/>
  <c r="F1226" i="1"/>
  <c r="F1234" i="1"/>
  <c r="F1242" i="1"/>
  <c r="F1250" i="1"/>
  <c r="F1258" i="1"/>
  <c r="F1266" i="1"/>
  <c r="F1274" i="1"/>
  <c r="F1282" i="1"/>
  <c r="F1290" i="1"/>
  <c r="F1298" i="1"/>
  <c r="F1306" i="1"/>
  <c r="F1314" i="1"/>
  <c r="F1322" i="1"/>
  <c r="F1330" i="1"/>
  <c r="F1338" i="1"/>
  <c r="G1347" i="1"/>
  <c r="H1356" i="1"/>
  <c r="H1365" i="1"/>
  <c r="I1374" i="1"/>
  <c r="I1383" i="1"/>
  <c r="I1394" i="1"/>
  <c r="G1405" i="1"/>
  <c r="I1415" i="1"/>
  <c r="I1426" i="1"/>
  <c r="G1439" i="1"/>
  <c r="I1451" i="1"/>
  <c r="H1465" i="1"/>
  <c r="I1479" i="1"/>
  <c r="I1494" i="1"/>
  <c r="G1509" i="1"/>
  <c r="G1530" i="1"/>
  <c r="G1557" i="1"/>
  <c r="I1584" i="1"/>
  <c r="I1616" i="1"/>
  <c r="H1650" i="1"/>
  <c r="G1692" i="1"/>
  <c r="H1757" i="1"/>
  <c r="I1857" i="1"/>
  <c r="H1976" i="1"/>
  <c r="G2212" i="1"/>
  <c r="H480" i="1"/>
  <c r="H482" i="1"/>
  <c r="H484" i="1"/>
  <c r="H486" i="1"/>
  <c r="H488" i="1"/>
  <c r="H490" i="1"/>
  <c r="H492" i="1"/>
  <c r="H494" i="1"/>
  <c r="H496" i="1"/>
  <c r="H498" i="1"/>
  <c r="H500" i="1"/>
  <c r="H502" i="1"/>
  <c r="H504" i="1"/>
  <c r="H506" i="1"/>
  <c r="H508" i="1"/>
  <c r="H510" i="1"/>
  <c r="H512" i="1"/>
  <c r="H514" i="1"/>
  <c r="H516" i="1"/>
  <c r="H518" i="1"/>
  <c r="H520" i="1"/>
  <c r="H522" i="1"/>
  <c r="H524" i="1"/>
  <c r="H526" i="1"/>
  <c r="H528" i="1"/>
  <c r="H530" i="1"/>
  <c r="H532" i="1"/>
  <c r="H534" i="1"/>
  <c r="H536" i="1"/>
  <c r="H538" i="1"/>
  <c r="H540" i="1"/>
  <c r="H542" i="1"/>
  <c r="H544" i="1"/>
  <c r="H546" i="1"/>
  <c r="H548" i="1"/>
  <c r="H550" i="1"/>
  <c r="H552" i="1"/>
  <c r="H554" i="1"/>
  <c r="H556" i="1"/>
  <c r="H558" i="1"/>
  <c r="H560" i="1"/>
  <c r="H562" i="1"/>
  <c r="H564" i="1"/>
  <c r="H566" i="1"/>
  <c r="H568" i="1"/>
  <c r="H570" i="1"/>
  <c r="H572" i="1"/>
  <c r="H574" i="1"/>
  <c r="H576" i="1"/>
  <c r="H578" i="1"/>
  <c r="H580" i="1"/>
  <c r="H582" i="1"/>
  <c r="H584" i="1"/>
  <c r="H586" i="1"/>
  <c r="H588" i="1"/>
  <c r="H590" i="1"/>
  <c r="H592" i="1"/>
  <c r="H594" i="1"/>
  <c r="H596" i="1"/>
  <c r="H598" i="1"/>
  <c r="H600" i="1"/>
  <c r="H602" i="1"/>
  <c r="H604" i="1"/>
  <c r="H606" i="1"/>
  <c r="H608" i="1"/>
  <c r="H610" i="1"/>
  <c r="H612" i="1"/>
  <c r="H614" i="1"/>
  <c r="H616" i="1"/>
  <c r="H618" i="1"/>
  <c r="H620" i="1"/>
  <c r="H622" i="1"/>
  <c r="H624" i="1"/>
  <c r="H626" i="1"/>
  <c r="H628" i="1"/>
  <c r="H630" i="1"/>
  <c r="H632" i="1"/>
  <c r="H634" i="1"/>
  <c r="H636" i="1"/>
  <c r="H638" i="1"/>
  <c r="H640" i="1"/>
  <c r="H642" i="1"/>
  <c r="H644" i="1"/>
  <c r="H646" i="1"/>
  <c r="H648" i="1"/>
  <c r="H650" i="1"/>
  <c r="H652" i="1"/>
  <c r="H654" i="1"/>
  <c r="H656" i="1"/>
  <c r="H658" i="1"/>
  <c r="H660" i="1"/>
  <c r="H662" i="1"/>
  <c r="H664" i="1"/>
  <c r="H666" i="1"/>
  <c r="H668" i="1"/>
  <c r="H670" i="1"/>
  <c r="H672" i="1"/>
  <c r="H674" i="1"/>
  <c r="H676" i="1"/>
  <c r="H678" i="1"/>
  <c r="H680" i="1"/>
  <c r="H682" i="1"/>
  <c r="H684" i="1"/>
  <c r="H686" i="1"/>
  <c r="H688" i="1"/>
  <c r="H690" i="1"/>
  <c r="H692" i="1"/>
  <c r="H694" i="1"/>
  <c r="H696" i="1"/>
  <c r="H698" i="1"/>
  <c r="H700" i="1"/>
  <c r="H702" i="1"/>
  <c r="H704" i="1"/>
  <c r="H706" i="1"/>
  <c r="H708" i="1"/>
  <c r="H710" i="1"/>
  <c r="H712" i="1"/>
  <c r="H714" i="1"/>
  <c r="H716" i="1"/>
  <c r="H718" i="1"/>
  <c r="H720" i="1"/>
  <c r="H722" i="1"/>
  <c r="H724" i="1"/>
  <c r="H726" i="1"/>
  <c r="H728" i="1"/>
  <c r="H730" i="1"/>
  <c r="H732" i="1"/>
  <c r="H734" i="1"/>
  <c r="H736" i="1"/>
  <c r="H738" i="1"/>
  <c r="H740" i="1"/>
  <c r="H742" i="1"/>
  <c r="H744" i="1"/>
  <c r="H746" i="1"/>
  <c r="H748" i="1"/>
  <c r="H750" i="1"/>
  <c r="H752" i="1"/>
  <c r="H754" i="1"/>
  <c r="H756" i="1"/>
  <c r="H758" i="1"/>
  <c r="H760" i="1"/>
  <c r="H762" i="1"/>
  <c r="H764" i="1"/>
  <c r="H766" i="1"/>
  <c r="H768" i="1"/>
  <c r="H770" i="1"/>
  <c r="H772" i="1"/>
  <c r="H774" i="1"/>
  <c r="H776" i="1"/>
  <c r="H778" i="1"/>
  <c r="H780" i="1"/>
  <c r="H782" i="1"/>
  <c r="H784" i="1"/>
  <c r="H786" i="1"/>
  <c r="H788" i="1"/>
  <c r="H790" i="1"/>
  <c r="H792" i="1"/>
  <c r="H794" i="1"/>
  <c r="H796" i="1"/>
  <c r="H798" i="1"/>
  <c r="H800" i="1"/>
  <c r="H802" i="1"/>
  <c r="H804" i="1"/>
  <c r="H806" i="1"/>
  <c r="H808" i="1"/>
  <c r="H810" i="1"/>
  <c r="H812" i="1"/>
  <c r="H814" i="1"/>
  <c r="H816" i="1"/>
  <c r="H818" i="1"/>
  <c r="H820" i="1"/>
  <c r="H822" i="1"/>
  <c r="I824" i="1"/>
  <c r="G827" i="1"/>
  <c r="H829" i="1"/>
  <c r="I831" i="1"/>
  <c r="F834" i="1"/>
  <c r="G836" i="1"/>
  <c r="H838" i="1"/>
  <c r="I840" i="1"/>
  <c r="G843" i="1"/>
  <c r="H845" i="1"/>
  <c r="I847" i="1"/>
  <c r="F850" i="1"/>
  <c r="G852" i="1"/>
  <c r="H854" i="1"/>
  <c r="I856" i="1"/>
  <c r="I859" i="1"/>
  <c r="H862" i="1"/>
  <c r="H866" i="1"/>
  <c r="H870" i="1"/>
  <c r="H874" i="1"/>
  <c r="H878" i="1"/>
  <c r="H882" i="1"/>
  <c r="H886" i="1"/>
  <c r="H890" i="1"/>
  <c r="H894" i="1"/>
  <c r="H898" i="1"/>
  <c r="H902" i="1"/>
  <c r="H906" i="1"/>
  <c r="H910" i="1"/>
  <c r="H914" i="1"/>
  <c r="H918" i="1"/>
  <c r="H922" i="1"/>
  <c r="H926" i="1"/>
  <c r="H930" i="1"/>
  <c r="H934" i="1"/>
  <c r="H938" i="1"/>
  <c r="H942" i="1"/>
  <c r="H946" i="1"/>
  <c r="H950" i="1"/>
  <c r="H954" i="1"/>
  <c r="H958" i="1"/>
  <c r="H962" i="1"/>
  <c r="H966" i="1"/>
  <c r="H970" i="1"/>
  <c r="H974" i="1"/>
  <c r="H978" i="1"/>
  <c r="H982" i="1"/>
  <c r="H986" i="1"/>
  <c r="H990" i="1"/>
  <c r="H994" i="1"/>
  <c r="H998" i="1"/>
  <c r="H1002" i="1"/>
  <c r="H1006" i="1"/>
  <c r="H1010" i="1"/>
  <c r="H1014" i="1"/>
  <c r="H1018" i="1"/>
  <c r="H1022" i="1"/>
  <c r="H1026" i="1"/>
  <c r="H1030" i="1"/>
  <c r="I1034" i="1"/>
  <c r="H1039" i="1"/>
  <c r="F1044" i="1"/>
  <c r="H1048" i="1"/>
  <c r="F1053" i="1"/>
  <c r="I1057" i="1"/>
  <c r="G1062" i="1"/>
  <c r="I1066" i="1"/>
  <c r="H1071" i="1"/>
  <c r="F1076" i="1"/>
  <c r="H1080" i="1"/>
  <c r="F1085" i="1"/>
  <c r="I1089" i="1"/>
  <c r="G1094" i="1"/>
  <c r="I1098" i="1"/>
  <c r="H1103" i="1"/>
  <c r="F1108" i="1"/>
  <c r="H1112" i="1"/>
  <c r="F1117" i="1"/>
  <c r="I1121" i="1"/>
  <c r="G1126" i="1"/>
  <c r="I1130" i="1"/>
  <c r="H1135" i="1"/>
  <c r="F1140" i="1"/>
  <c r="I1146" i="1"/>
  <c r="F1153" i="1"/>
  <c r="H1159" i="1"/>
  <c r="I1165" i="1"/>
  <c r="F1172" i="1"/>
  <c r="I1178" i="1"/>
  <c r="I1186" i="1"/>
  <c r="I1194" i="1"/>
  <c r="I1202" i="1"/>
  <c r="I1210" i="1"/>
  <c r="I1218" i="1"/>
  <c r="I1226" i="1"/>
  <c r="I1234" i="1"/>
  <c r="I1242" i="1"/>
  <c r="I1250" i="1"/>
  <c r="I1258" i="1"/>
  <c r="I1266" i="1"/>
  <c r="I1274" i="1"/>
  <c r="I1282" i="1"/>
  <c r="I1290" i="1"/>
  <c r="I1298" i="1"/>
  <c r="I1306" i="1"/>
  <c r="I1314" i="1"/>
  <c r="I1322" i="1"/>
  <c r="I1330" i="1"/>
  <c r="F1339" i="1"/>
  <c r="F1348" i="1"/>
  <c r="G1357" i="1"/>
  <c r="H1366" i="1"/>
  <c r="H1375" i="1"/>
  <c r="F1385" i="1"/>
  <c r="H1395" i="1"/>
  <c r="H1406" i="1"/>
  <c r="F1417" i="1"/>
  <c r="H1427" i="1"/>
  <c r="H1440" i="1"/>
  <c r="G1453" i="1"/>
  <c r="G1466" i="1"/>
  <c r="H1481" i="1"/>
  <c r="I1495" i="1"/>
  <c r="I1510" i="1"/>
  <c r="I1533" i="1"/>
  <c r="G1558" i="1"/>
  <c r="H1588" i="1"/>
  <c r="H1619" i="1"/>
  <c r="H1653" i="1"/>
  <c r="I1699" i="1"/>
  <c r="H1761" i="1"/>
  <c r="I1873" i="1"/>
  <c r="I1985" i="1"/>
  <c r="G2256" i="1"/>
  <c r="I860" i="1"/>
  <c r="I862" i="1"/>
  <c r="I864" i="1"/>
  <c r="I866" i="1"/>
  <c r="I868" i="1"/>
  <c r="I870" i="1"/>
  <c r="I872" i="1"/>
  <c r="I874" i="1"/>
  <c r="I876" i="1"/>
  <c r="I878" i="1"/>
  <c r="I880" i="1"/>
  <c r="I882" i="1"/>
  <c r="I884" i="1"/>
  <c r="I886" i="1"/>
  <c r="I888" i="1"/>
  <c r="I890" i="1"/>
  <c r="I892" i="1"/>
  <c r="I894" i="1"/>
  <c r="I896" i="1"/>
  <c r="I898" i="1"/>
  <c r="I900" i="1"/>
  <c r="I902" i="1"/>
  <c r="I904" i="1"/>
  <c r="I906" i="1"/>
  <c r="I908" i="1"/>
  <c r="I910" i="1"/>
  <c r="I912" i="1"/>
  <c r="I914" i="1"/>
  <c r="I916" i="1"/>
  <c r="I918" i="1"/>
  <c r="I920" i="1"/>
  <c r="I922" i="1"/>
  <c r="I924" i="1"/>
  <c r="I926" i="1"/>
  <c r="I928" i="1"/>
  <c r="I930" i="1"/>
  <c r="I932" i="1"/>
  <c r="I934" i="1"/>
  <c r="I936" i="1"/>
  <c r="I938" i="1"/>
  <c r="I940" i="1"/>
  <c r="I942" i="1"/>
  <c r="I944" i="1"/>
  <c r="I946" i="1"/>
  <c r="I948" i="1"/>
  <c r="I950" i="1"/>
  <c r="I952" i="1"/>
  <c r="I954" i="1"/>
  <c r="I956" i="1"/>
  <c r="I958" i="1"/>
  <c r="I960" i="1"/>
  <c r="I962" i="1"/>
  <c r="I964" i="1"/>
  <c r="I966" i="1"/>
  <c r="I968" i="1"/>
  <c r="I970" i="1"/>
  <c r="I972" i="1"/>
  <c r="I974" i="1"/>
  <c r="I976" i="1"/>
  <c r="I978" i="1"/>
  <c r="I980" i="1"/>
  <c r="I982" i="1"/>
  <c r="I984" i="1"/>
  <c r="I986" i="1"/>
  <c r="I988" i="1"/>
  <c r="I990" i="1"/>
  <c r="I992" i="1"/>
  <c r="I994" i="1"/>
  <c r="I996" i="1"/>
  <c r="I998" i="1"/>
  <c r="I1000" i="1"/>
  <c r="I1002" i="1"/>
  <c r="I1004" i="1"/>
  <c r="I1006" i="1"/>
  <c r="I1008" i="1"/>
  <c r="I1010" i="1"/>
  <c r="I1012" i="1"/>
  <c r="I1014" i="1"/>
  <c r="I1016" i="1"/>
  <c r="I1018" i="1"/>
  <c r="I1020" i="1"/>
  <c r="I1022" i="1"/>
  <c r="I1024" i="1"/>
  <c r="I1026" i="1"/>
  <c r="I1028" i="1"/>
  <c r="I1030" i="1"/>
  <c r="I1032" i="1"/>
  <c r="F1035" i="1"/>
  <c r="H1037" i="1"/>
  <c r="I1039" i="1"/>
  <c r="F1042" i="1"/>
  <c r="G1044" i="1"/>
  <c r="H1046" i="1"/>
  <c r="I1048" i="1"/>
  <c r="F1051" i="1"/>
  <c r="H1053" i="1"/>
  <c r="I1055" i="1"/>
  <c r="F1058" i="1"/>
  <c r="G1060" i="1"/>
  <c r="H1062" i="1"/>
  <c r="I1064" i="1"/>
  <c r="F1067" i="1"/>
  <c r="H1069" i="1"/>
  <c r="I1071" i="1"/>
  <c r="F1074" i="1"/>
  <c r="G1076" i="1"/>
  <c r="H1078" i="1"/>
  <c r="I1080" i="1"/>
  <c r="F1083" i="1"/>
  <c r="H1085" i="1"/>
  <c r="I1087" i="1"/>
  <c r="F1090" i="1"/>
  <c r="G1092" i="1"/>
  <c r="H1094" i="1"/>
  <c r="I1096" i="1"/>
  <c r="F1099" i="1"/>
  <c r="H1101" i="1"/>
  <c r="I1103" i="1"/>
  <c r="F1106" i="1"/>
  <c r="G1108" i="1"/>
  <c r="H1110" i="1"/>
  <c r="I1112" i="1"/>
  <c r="F1115" i="1"/>
  <c r="H1117" i="1"/>
  <c r="I1119" i="1"/>
  <c r="F1122" i="1"/>
  <c r="G1124" i="1"/>
  <c r="H1126" i="1"/>
  <c r="I1128" i="1"/>
  <c r="F1131" i="1"/>
  <c r="H1133" i="1"/>
  <c r="I1135" i="1"/>
  <c r="F1138" i="1"/>
  <c r="I1140" i="1"/>
  <c r="I1143" i="1"/>
  <c r="F1147" i="1"/>
  <c r="F1150" i="1"/>
  <c r="H1153" i="1"/>
  <c r="I1156" i="1"/>
  <c r="I1159" i="1"/>
  <c r="F1163" i="1"/>
  <c r="F1166" i="1"/>
  <c r="H1169" i="1"/>
  <c r="I1172" i="1"/>
  <c r="I1175" i="1"/>
  <c r="H1179" i="1"/>
  <c r="H1183" i="1"/>
  <c r="H1187" i="1"/>
  <c r="H1191" i="1"/>
  <c r="H1195" i="1"/>
  <c r="H1199" i="1"/>
  <c r="H1203" i="1"/>
  <c r="H1207" i="1"/>
  <c r="H1211" i="1"/>
  <c r="H1215" i="1"/>
  <c r="H1219" i="1"/>
  <c r="H1223" i="1"/>
  <c r="H1227" i="1"/>
  <c r="H1231" i="1"/>
  <c r="H1235" i="1"/>
  <c r="H1239" i="1"/>
  <c r="H1243" i="1"/>
  <c r="H1247" i="1"/>
  <c r="H1251" i="1"/>
  <c r="H1255" i="1"/>
  <c r="H1259" i="1"/>
  <c r="H1263" i="1"/>
  <c r="H1267" i="1"/>
  <c r="H1271" i="1"/>
  <c r="H1275" i="1"/>
  <c r="H1279" i="1"/>
  <c r="H1283" i="1"/>
  <c r="H1287" i="1"/>
  <c r="H1291" i="1"/>
  <c r="H1295" i="1"/>
  <c r="H1299" i="1"/>
  <c r="H1303" i="1"/>
  <c r="H1307" i="1"/>
  <c r="H1311" i="1"/>
  <c r="H1315" i="1"/>
  <c r="H1319" i="1"/>
  <c r="H1323" i="1"/>
  <c r="H1327" i="1"/>
  <c r="H1331" i="1"/>
  <c r="H1335" i="1"/>
  <c r="I1339" i="1"/>
  <c r="H1344" i="1"/>
  <c r="F1349" i="1"/>
  <c r="H1353" i="1"/>
  <c r="F1358" i="1"/>
  <c r="I1362" i="1"/>
  <c r="G1367" i="1"/>
  <c r="I1371" i="1"/>
  <c r="H1376" i="1"/>
  <c r="F1381" i="1"/>
  <c r="I1385" i="1"/>
  <c r="G1391" i="1"/>
  <c r="I1396" i="1"/>
  <c r="I1401" i="1"/>
  <c r="G1407" i="1"/>
  <c r="I1412" i="1"/>
  <c r="I1417" i="1"/>
  <c r="G1423" i="1"/>
  <c r="F1429" i="1"/>
  <c r="G1435" i="1"/>
  <c r="H1441" i="1"/>
  <c r="I1447" i="1"/>
  <c r="H1454" i="1"/>
  <c r="F1461" i="1"/>
  <c r="F1468" i="1"/>
  <c r="G1475" i="1"/>
  <c r="G1482" i="1"/>
  <c r="F1490" i="1"/>
  <c r="H1497" i="1"/>
  <c r="I1504" i="1"/>
  <c r="I1511" i="1"/>
  <c r="G1522" i="1"/>
  <c r="F1536" i="1"/>
  <c r="G1549" i="1"/>
  <c r="I1561" i="1"/>
  <c r="H1575" i="1"/>
  <c r="H1589" i="1"/>
  <c r="G1606" i="1"/>
  <c r="I1623" i="1"/>
  <c r="F1640" i="1"/>
  <c r="F1656" i="1"/>
  <c r="I1675" i="1"/>
  <c r="I1704" i="1"/>
  <c r="I1735" i="1"/>
  <c r="F1774" i="1"/>
  <c r="H1823" i="1"/>
  <c r="G1878" i="1"/>
  <c r="F1940" i="1"/>
  <c r="I2001" i="1"/>
  <c r="I2109" i="1"/>
  <c r="I2295" i="1"/>
  <c r="F823" i="1"/>
  <c r="F825" i="1"/>
  <c r="F827" i="1"/>
  <c r="F829" i="1"/>
  <c r="F831" i="1"/>
  <c r="F833" i="1"/>
  <c r="F835" i="1"/>
  <c r="F837" i="1"/>
  <c r="F839" i="1"/>
  <c r="F841" i="1"/>
  <c r="F843" i="1"/>
  <c r="F845" i="1"/>
  <c r="F847" i="1"/>
  <c r="F849" i="1"/>
  <c r="F851" i="1"/>
  <c r="F853" i="1"/>
  <c r="F855" i="1"/>
  <c r="F857" i="1"/>
  <c r="F859" i="1"/>
  <c r="F861" i="1"/>
  <c r="F863" i="1"/>
  <c r="F865" i="1"/>
  <c r="F867" i="1"/>
  <c r="F869" i="1"/>
  <c r="F871" i="1"/>
  <c r="F873" i="1"/>
  <c r="F875" i="1"/>
  <c r="F877" i="1"/>
  <c r="F879" i="1"/>
  <c r="F881" i="1"/>
  <c r="F883" i="1"/>
  <c r="F885" i="1"/>
  <c r="F887" i="1"/>
  <c r="F889" i="1"/>
  <c r="F891" i="1"/>
  <c r="F893" i="1"/>
  <c r="F895" i="1"/>
  <c r="F897" i="1"/>
  <c r="F899" i="1"/>
  <c r="F901" i="1"/>
  <c r="F903" i="1"/>
  <c r="F905" i="1"/>
  <c r="F907" i="1"/>
  <c r="F909" i="1"/>
  <c r="F911" i="1"/>
  <c r="F913" i="1"/>
  <c r="F915" i="1"/>
  <c r="F917" i="1"/>
  <c r="F919" i="1"/>
  <c r="F921" i="1"/>
  <c r="F923" i="1"/>
  <c r="F925" i="1"/>
  <c r="F927" i="1"/>
  <c r="F929" i="1"/>
  <c r="F931" i="1"/>
  <c r="F933" i="1"/>
  <c r="F935" i="1"/>
  <c r="F937" i="1"/>
  <c r="F939" i="1"/>
  <c r="F941" i="1"/>
  <c r="F943" i="1"/>
  <c r="F945" i="1"/>
  <c r="F947" i="1"/>
  <c r="F949" i="1"/>
  <c r="F951" i="1"/>
  <c r="F953" i="1"/>
  <c r="F955" i="1"/>
  <c r="F957" i="1"/>
  <c r="F959" i="1"/>
  <c r="F961" i="1"/>
  <c r="F963" i="1"/>
  <c r="F965" i="1"/>
  <c r="F967" i="1"/>
  <c r="F969" i="1"/>
  <c r="F971" i="1"/>
  <c r="F973" i="1"/>
  <c r="F975" i="1"/>
  <c r="F977" i="1"/>
  <c r="F979" i="1"/>
  <c r="F981" i="1"/>
  <c r="F983" i="1"/>
  <c r="F985" i="1"/>
  <c r="F987" i="1"/>
  <c r="F989" i="1"/>
  <c r="F991" i="1"/>
  <c r="F993" i="1"/>
  <c r="F995" i="1"/>
  <c r="F997" i="1"/>
  <c r="F999" i="1"/>
  <c r="F1001" i="1"/>
  <c r="F1003" i="1"/>
  <c r="F1005" i="1"/>
  <c r="F1007" i="1"/>
  <c r="F1009" i="1"/>
  <c r="F1011" i="1"/>
  <c r="F1013" i="1"/>
  <c r="F1015" i="1"/>
  <c r="F1017" i="1"/>
  <c r="F1019" i="1"/>
  <c r="F1021" i="1"/>
  <c r="F1023" i="1"/>
  <c r="F1025" i="1"/>
  <c r="F1027" i="1"/>
  <c r="F1029" i="1"/>
  <c r="F1031" i="1"/>
  <c r="F1033" i="1"/>
  <c r="H1035" i="1"/>
  <c r="I1037" i="1"/>
  <c r="F1040" i="1"/>
  <c r="G1042" i="1"/>
  <c r="H1044" i="1"/>
  <c r="I1046" i="1"/>
  <c r="F1049" i="1"/>
  <c r="H1051" i="1"/>
  <c r="I1053" i="1"/>
  <c r="F1056" i="1"/>
  <c r="G1058" i="1"/>
  <c r="H1060" i="1"/>
  <c r="I1062" i="1"/>
  <c r="F1065" i="1"/>
  <c r="H1067" i="1"/>
  <c r="I1069" i="1"/>
  <c r="F1072" i="1"/>
  <c r="G1074" i="1"/>
  <c r="H1076" i="1"/>
  <c r="I1078" i="1"/>
  <c r="F1081" i="1"/>
  <c r="H1083" i="1"/>
  <c r="I1085" i="1"/>
  <c r="F1088" i="1"/>
  <c r="G1090" i="1"/>
  <c r="H1092" i="1"/>
  <c r="I1094" i="1"/>
  <c r="F1097" i="1"/>
  <c r="H1099" i="1"/>
  <c r="I1101" i="1"/>
  <c r="F1104" i="1"/>
  <c r="G1106" i="1"/>
  <c r="H1108" i="1"/>
  <c r="I1110" i="1"/>
  <c r="F1113" i="1"/>
  <c r="H1115" i="1"/>
  <c r="I1117" i="1"/>
  <c r="F1120" i="1"/>
  <c r="G1122" i="1"/>
  <c r="H1124" i="1"/>
  <c r="I1126" i="1"/>
  <c r="F1129" i="1"/>
  <c r="H1131" i="1"/>
  <c r="I1133" i="1"/>
  <c r="F1136" i="1"/>
  <c r="G1138" i="1"/>
  <c r="F1141" i="1"/>
  <c r="F1144" i="1"/>
  <c r="H1147" i="1"/>
  <c r="I1150" i="1"/>
  <c r="I1153" i="1"/>
  <c r="F1157" i="1"/>
  <c r="F1160" i="1"/>
  <c r="H1163" i="1"/>
  <c r="I1166" i="1"/>
  <c r="I1169" i="1"/>
  <c r="F1173" i="1"/>
  <c r="F1176" i="1"/>
  <c r="I1179" i="1"/>
  <c r="I1183" i="1"/>
  <c r="I1187" i="1"/>
  <c r="I1191" i="1"/>
  <c r="I1195" i="1"/>
  <c r="I1199" i="1"/>
  <c r="I1203" i="1"/>
  <c r="I1207" i="1"/>
  <c r="I1211" i="1"/>
  <c r="I1215" i="1"/>
  <c r="I1219" i="1"/>
  <c r="I1223" i="1"/>
  <c r="I1227" i="1"/>
  <c r="I1231" i="1"/>
  <c r="I1235" i="1"/>
  <c r="I1239" i="1"/>
  <c r="I1243" i="1"/>
  <c r="I1247" i="1"/>
  <c r="I1251" i="1"/>
  <c r="I1255" i="1"/>
  <c r="I1259" i="1"/>
  <c r="I1263" i="1"/>
  <c r="I1267" i="1"/>
  <c r="I1271" i="1"/>
  <c r="I1275" i="1"/>
  <c r="I1279" i="1"/>
  <c r="I1283" i="1"/>
  <c r="I1287" i="1"/>
  <c r="I1291" i="1"/>
  <c r="I1295" i="1"/>
  <c r="I1299" i="1"/>
  <c r="I1303" i="1"/>
  <c r="I1307" i="1"/>
  <c r="I1311" i="1"/>
  <c r="I1315" i="1"/>
  <c r="I1319" i="1"/>
  <c r="I1323" i="1"/>
  <c r="I1327" i="1"/>
  <c r="I1331" i="1"/>
  <c r="I1335" i="1"/>
  <c r="F1340" i="1"/>
  <c r="I1344" i="1"/>
  <c r="G1349" i="1"/>
  <c r="I1353" i="1"/>
  <c r="H1358" i="1"/>
  <c r="F1363" i="1"/>
  <c r="H1367" i="1"/>
  <c r="F1372" i="1"/>
  <c r="I1376" i="1"/>
  <c r="G1381" i="1"/>
  <c r="H1386" i="1"/>
  <c r="H1391" i="1"/>
  <c r="F1397" i="1"/>
  <c r="H1402" i="1"/>
  <c r="H1407" i="1"/>
  <c r="F1413" i="1"/>
  <c r="H1418" i="1"/>
  <c r="H1423" i="1"/>
  <c r="G1429" i="1"/>
  <c r="H1435" i="1"/>
  <c r="I1441" i="1"/>
  <c r="H1448" i="1"/>
  <c r="F1455" i="1"/>
  <c r="G1461" i="1"/>
  <c r="G1468" i="1"/>
  <c r="H1475" i="1"/>
  <c r="G1483" i="1"/>
  <c r="I1490" i="1"/>
  <c r="I1497" i="1"/>
  <c r="F1505" i="1"/>
  <c r="F1512" i="1"/>
  <c r="F1524" i="1"/>
  <c r="G1537" i="1"/>
  <c r="I1549" i="1"/>
  <c r="F1562" i="1"/>
  <c r="F1576" i="1"/>
  <c r="H1591" i="1"/>
  <c r="F1608" i="1"/>
  <c r="G1624" i="1"/>
  <c r="G1640" i="1"/>
  <c r="G1656" i="1"/>
  <c r="I1678" i="1"/>
  <c r="G1708" i="1"/>
  <c r="G1736" i="1"/>
  <c r="H1775" i="1"/>
  <c r="H1825" i="1"/>
  <c r="G1885" i="1"/>
  <c r="F1947" i="1"/>
  <c r="H2002" i="1"/>
  <c r="I2113" i="1"/>
  <c r="G2306" i="1"/>
  <c r="G857" i="1"/>
  <c r="G859" i="1"/>
  <c r="G861" i="1"/>
  <c r="G863" i="1"/>
  <c r="G865" i="1"/>
  <c r="G867" i="1"/>
  <c r="G869" i="1"/>
  <c r="G871" i="1"/>
  <c r="G873" i="1"/>
  <c r="G875" i="1"/>
  <c r="G877" i="1"/>
  <c r="G879" i="1"/>
  <c r="G881" i="1"/>
  <c r="G883" i="1"/>
  <c r="G885" i="1"/>
  <c r="G887" i="1"/>
  <c r="G889" i="1"/>
  <c r="G891" i="1"/>
  <c r="G893" i="1"/>
  <c r="G895" i="1"/>
  <c r="G897" i="1"/>
  <c r="G899" i="1"/>
  <c r="G901" i="1"/>
  <c r="G903" i="1"/>
  <c r="G905" i="1"/>
  <c r="G907" i="1"/>
  <c r="G909" i="1"/>
  <c r="G911" i="1"/>
  <c r="G913" i="1"/>
  <c r="G915" i="1"/>
  <c r="G917" i="1"/>
  <c r="G919" i="1"/>
  <c r="G921" i="1"/>
  <c r="G923" i="1"/>
  <c r="G925" i="1"/>
  <c r="G927" i="1"/>
  <c r="G929" i="1"/>
  <c r="G931" i="1"/>
  <c r="G933" i="1"/>
  <c r="G935" i="1"/>
  <c r="G937" i="1"/>
  <c r="G939" i="1"/>
  <c r="G941" i="1"/>
  <c r="G943" i="1"/>
  <c r="G945" i="1"/>
  <c r="G947" i="1"/>
  <c r="G949" i="1"/>
  <c r="G951" i="1"/>
  <c r="G953" i="1"/>
  <c r="G955" i="1"/>
  <c r="G957" i="1"/>
  <c r="G959" i="1"/>
  <c r="G961" i="1"/>
  <c r="G963" i="1"/>
  <c r="G965" i="1"/>
  <c r="G967" i="1"/>
  <c r="G969" i="1"/>
  <c r="G971" i="1"/>
  <c r="G973" i="1"/>
  <c r="G975" i="1"/>
  <c r="G977" i="1"/>
  <c r="G979" i="1"/>
  <c r="G981" i="1"/>
  <c r="G983" i="1"/>
  <c r="G985" i="1"/>
  <c r="G987" i="1"/>
  <c r="G989" i="1"/>
  <c r="G991" i="1"/>
  <c r="G993" i="1"/>
  <c r="G995" i="1"/>
  <c r="G997" i="1"/>
  <c r="G999" i="1"/>
  <c r="G1001" i="1"/>
  <c r="G1003" i="1"/>
  <c r="G1005" i="1"/>
  <c r="G1007" i="1"/>
  <c r="G1009" i="1"/>
  <c r="G1011" i="1"/>
  <c r="G1013" i="1"/>
  <c r="G1015" i="1"/>
  <c r="G1017" i="1"/>
  <c r="G1019" i="1"/>
  <c r="G1021" i="1"/>
  <c r="G1023" i="1"/>
  <c r="G1025" i="1"/>
  <c r="G1027" i="1"/>
  <c r="G1029" i="1"/>
  <c r="G1031" i="1"/>
  <c r="H1033" i="1"/>
  <c r="I1035" i="1"/>
  <c r="F1038" i="1"/>
  <c r="G1040" i="1"/>
  <c r="H1042" i="1"/>
  <c r="I1044" i="1"/>
  <c r="F1047" i="1"/>
  <c r="H1049" i="1"/>
  <c r="I1051" i="1"/>
  <c r="F1054" i="1"/>
  <c r="G1056" i="1"/>
  <c r="H1058" i="1"/>
  <c r="I1060" i="1"/>
  <c r="F1063" i="1"/>
  <c r="H1065" i="1"/>
  <c r="I1067" i="1"/>
  <c r="F1070" i="1"/>
  <c r="G1072" i="1"/>
  <c r="H1074" i="1"/>
  <c r="I1076" i="1"/>
  <c r="F1079" i="1"/>
  <c r="H1081" i="1"/>
  <c r="I1083" i="1"/>
  <c r="F1086" i="1"/>
  <c r="G1088" i="1"/>
  <c r="H1090" i="1"/>
  <c r="I1092" i="1"/>
  <c r="F1095" i="1"/>
  <c r="H1097" i="1"/>
  <c r="I1099" i="1"/>
  <c r="F1102" i="1"/>
  <c r="G1104" i="1"/>
  <c r="H1106" i="1"/>
  <c r="I1108" i="1"/>
  <c r="F1111" i="1"/>
  <c r="H1113" i="1"/>
  <c r="I1115" i="1"/>
  <c r="F1118" i="1"/>
  <c r="G1120" i="1"/>
  <c r="H1122" i="1"/>
  <c r="I1124" i="1"/>
  <c r="F1127" i="1"/>
  <c r="H1129" i="1"/>
  <c r="I1131" i="1"/>
  <c r="F1134" i="1"/>
  <c r="G1136" i="1"/>
  <c r="H1138" i="1"/>
  <c r="H1141" i="1"/>
  <c r="I1144" i="1"/>
  <c r="I1147" i="1"/>
  <c r="F1151" i="1"/>
  <c r="F1154" i="1"/>
  <c r="H1157" i="1"/>
  <c r="I1160" i="1"/>
  <c r="I1163" i="1"/>
  <c r="F1167" i="1"/>
  <c r="F1170" i="1"/>
  <c r="H1173" i="1"/>
  <c r="I1176" i="1"/>
  <c r="F1180" i="1"/>
  <c r="F1184" i="1"/>
  <c r="F1188" i="1"/>
  <c r="F1192" i="1"/>
  <c r="F1196" i="1"/>
  <c r="F1200" i="1"/>
  <c r="F1204" i="1"/>
  <c r="F1208" i="1"/>
  <c r="F1212" i="1"/>
  <c r="F1216" i="1"/>
  <c r="F1220" i="1"/>
  <c r="F1224" i="1"/>
  <c r="F1228" i="1"/>
  <c r="F1232" i="1"/>
  <c r="F1236" i="1"/>
  <c r="F1240" i="1"/>
  <c r="F1244" i="1"/>
  <c r="F1248" i="1"/>
  <c r="F1252" i="1"/>
  <c r="F1256" i="1"/>
  <c r="F1260" i="1"/>
  <c r="F1264" i="1"/>
  <c r="F1268" i="1"/>
  <c r="F1272" i="1"/>
  <c r="F1276" i="1"/>
  <c r="F1280" i="1"/>
  <c r="F1284" i="1"/>
  <c r="F1288" i="1"/>
  <c r="F1292" i="1"/>
  <c r="F1296" i="1"/>
  <c r="F1300" i="1"/>
  <c r="F1304" i="1"/>
  <c r="F1308" i="1"/>
  <c r="F1312" i="1"/>
  <c r="F1316" i="1"/>
  <c r="F1320" i="1"/>
  <c r="F1324" i="1"/>
  <c r="F1328" i="1"/>
  <c r="F1332" i="1"/>
  <c r="F1336" i="1"/>
  <c r="H1340" i="1"/>
  <c r="F1345" i="1"/>
  <c r="H1349" i="1"/>
  <c r="F1354" i="1"/>
  <c r="I1358" i="1"/>
  <c r="G1363" i="1"/>
  <c r="I1367" i="1"/>
  <c r="H1372" i="1"/>
  <c r="F1377" i="1"/>
  <c r="H1381" i="1"/>
  <c r="I1386" i="1"/>
  <c r="I1391" i="1"/>
  <c r="G1397" i="1"/>
  <c r="I1402" i="1"/>
  <c r="I1407" i="1"/>
  <c r="G1413" i="1"/>
  <c r="I1418" i="1"/>
  <c r="I1423" i="1"/>
  <c r="H1429" i="1"/>
  <c r="I1435" i="1"/>
  <c r="H1442" i="1"/>
  <c r="F1449" i="1"/>
  <c r="G1455" i="1"/>
  <c r="H1461" i="1"/>
  <c r="I1468" i="1"/>
  <c r="G1476" i="1"/>
  <c r="I1483" i="1"/>
  <c r="F1491" i="1"/>
  <c r="F1498" i="1"/>
  <c r="G1505" i="1"/>
  <c r="H1513" i="1"/>
  <c r="G1525" i="1"/>
  <c r="I1537" i="1"/>
  <c r="F1550" i="1"/>
  <c r="G1562" i="1"/>
  <c r="F1578" i="1"/>
  <c r="F1593" i="1"/>
  <c r="H1608" i="1"/>
  <c r="H1624" i="1"/>
  <c r="H1640" i="1"/>
  <c r="H1658" i="1"/>
  <c r="F1681" i="1"/>
  <c r="I1708" i="1"/>
  <c r="I1736" i="1"/>
  <c r="H1777" i="1"/>
  <c r="H1831" i="1"/>
  <c r="F1892" i="1"/>
  <c r="H1947" i="1"/>
  <c r="G2005" i="1"/>
  <c r="H2118" i="1"/>
  <c r="G2354" i="1"/>
  <c r="H863" i="1"/>
  <c r="H865" i="1"/>
  <c r="H867" i="1"/>
  <c r="H869" i="1"/>
  <c r="H871" i="1"/>
  <c r="H873" i="1"/>
  <c r="H875" i="1"/>
  <c r="H877" i="1"/>
  <c r="H879" i="1"/>
  <c r="H881" i="1"/>
  <c r="H883" i="1"/>
  <c r="H885" i="1"/>
  <c r="H887" i="1"/>
  <c r="H889" i="1"/>
  <c r="H891" i="1"/>
  <c r="H893" i="1"/>
  <c r="H895" i="1"/>
  <c r="H897" i="1"/>
  <c r="H899" i="1"/>
  <c r="H901" i="1"/>
  <c r="H903" i="1"/>
  <c r="H905" i="1"/>
  <c r="H907" i="1"/>
  <c r="H909" i="1"/>
  <c r="H911" i="1"/>
  <c r="H913" i="1"/>
  <c r="H915" i="1"/>
  <c r="H917" i="1"/>
  <c r="H919" i="1"/>
  <c r="H921" i="1"/>
  <c r="H923" i="1"/>
  <c r="H925" i="1"/>
  <c r="H927" i="1"/>
  <c r="H929" i="1"/>
  <c r="H931" i="1"/>
  <c r="H933" i="1"/>
  <c r="H935" i="1"/>
  <c r="H937" i="1"/>
  <c r="H939" i="1"/>
  <c r="H941" i="1"/>
  <c r="H943" i="1"/>
  <c r="H945" i="1"/>
  <c r="H947" i="1"/>
  <c r="H949" i="1"/>
  <c r="H951" i="1"/>
  <c r="H953" i="1"/>
  <c r="H955" i="1"/>
  <c r="H957" i="1"/>
  <c r="H959" i="1"/>
  <c r="H961" i="1"/>
  <c r="H963" i="1"/>
  <c r="H965" i="1"/>
  <c r="H967" i="1"/>
  <c r="H969" i="1"/>
  <c r="H971" i="1"/>
  <c r="H973" i="1"/>
  <c r="H975" i="1"/>
  <c r="H977" i="1"/>
  <c r="H979" i="1"/>
  <c r="H981" i="1"/>
  <c r="H983" i="1"/>
  <c r="H985" i="1"/>
  <c r="H987" i="1"/>
  <c r="H989" i="1"/>
  <c r="H991" i="1"/>
  <c r="H993" i="1"/>
  <c r="H995" i="1"/>
  <c r="H997" i="1"/>
  <c r="H999" i="1"/>
  <c r="H1001" i="1"/>
  <c r="H1003" i="1"/>
  <c r="H1005" i="1"/>
  <c r="H1007" i="1"/>
  <c r="H1009" i="1"/>
  <c r="H1011" i="1"/>
  <c r="H1013" i="1"/>
  <c r="H1015" i="1"/>
  <c r="H1017" i="1"/>
  <c r="H1019" i="1"/>
  <c r="H1021" i="1"/>
  <c r="H1023" i="1"/>
  <c r="H1025" i="1"/>
  <c r="H1027" i="1"/>
  <c r="H1029" i="1"/>
  <c r="H1031" i="1"/>
  <c r="I1033" i="1"/>
  <c r="F1036" i="1"/>
  <c r="G1038" i="1"/>
  <c r="H1040" i="1"/>
  <c r="I1042" i="1"/>
  <c r="F1045" i="1"/>
  <c r="H1047" i="1"/>
  <c r="I1049" i="1"/>
  <c r="F1052" i="1"/>
  <c r="G1054" i="1"/>
  <c r="H1056" i="1"/>
  <c r="I1058" i="1"/>
  <c r="F1061" i="1"/>
  <c r="H1063" i="1"/>
  <c r="I1065" i="1"/>
  <c r="F1068" i="1"/>
  <c r="G1070" i="1"/>
  <c r="H1072" i="1"/>
  <c r="I1074" i="1"/>
  <c r="F1077" i="1"/>
  <c r="H1079" i="1"/>
  <c r="I1081" i="1"/>
  <c r="F1084" i="1"/>
  <c r="G1086" i="1"/>
  <c r="H1088" i="1"/>
  <c r="I1090" i="1"/>
  <c r="F1093" i="1"/>
  <c r="H1095" i="1"/>
  <c r="I1097" i="1"/>
  <c r="F1100" i="1"/>
  <c r="G1102" i="1"/>
  <c r="H1104" i="1"/>
  <c r="I1106" i="1"/>
  <c r="F1109" i="1"/>
  <c r="H1111" i="1"/>
  <c r="I1113" i="1"/>
  <c r="F1116" i="1"/>
  <c r="G1118" i="1"/>
  <c r="H1120" i="1"/>
  <c r="I1122" i="1"/>
  <c r="F1125" i="1"/>
  <c r="H1127" i="1"/>
  <c r="I1129" i="1"/>
  <c r="F1132" i="1"/>
  <c r="G1134" i="1"/>
  <c r="H1136" i="1"/>
  <c r="I1138" i="1"/>
  <c r="I1141" i="1"/>
  <c r="F1145" i="1"/>
  <c r="F1148" i="1"/>
  <c r="H1151" i="1"/>
  <c r="I1154" i="1"/>
  <c r="I1157" i="1"/>
  <c r="F1161" i="1"/>
  <c r="F1164" i="1"/>
  <c r="H1167" i="1"/>
  <c r="I1170" i="1"/>
  <c r="I1173" i="1"/>
  <c r="F1177" i="1"/>
  <c r="I1180" i="1"/>
  <c r="I1184" i="1"/>
  <c r="I1188" i="1"/>
  <c r="I1192" i="1"/>
  <c r="I1196" i="1"/>
  <c r="I1200" i="1"/>
  <c r="I1204" i="1"/>
  <c r="I1208" i="1"/>
  <c r="I1212" i="1"/>
  <c r="I1216" i="1"/>
  <c r="I1220" i="1"/>
  <c r="I1224" i="1"/>
  <c r="I1228" i="1"/>
  <c r="I1232" i="1"/>
  <c r="I1236" i="1"/>
  <c r="I1240" i="1"/>
  <c r="I1244" i="1"/>
  <c r="I1248" i="1"/>
  <c r="I1252" i="1"/>
  <c r="I1256" i="1"/>
  <c r="I1260" i="1"/>
  <c r="I1264" i="1"/>
  <c r="I1268" i="1"/>
  <c r="I1272" i="1"/>
  <c r="I1276" i="1"/>
  <c r="I1280" i="1"/>
  <c r="I1284" i="1"/>
  <c r="I1288" i="1"/>
  <c r="I1292" i="1"/>
  <c r="I1296" i="1"/>
  <c r="I1300" i="1"/>
  <c r="I1304" i="1"/>
  <c r="I1308" i="1"/>
  <c r="I1312" i="1"/>
  <c r="I1316" i="1"/>
  <c r="I1320" i="1"/>
  <c r="I1324" i="1"/>
  <c r="I1328" i="1"/>
  <c r="I1332" i="1"/>
  <c r="I1336" i="1"/>
  <c r="G1341" i="1"/>
  <c r="I1345" i="1"/>
  <c r="H1350" i="1"/>
  <c r="F1355" i="1"/>
  <c r="H1359" i="1"/>
  <c r="F1364" i="1"/>
  <c r="I1368" i="1"/>
  <c r="G1373" i="1"/>
  <c r="I1377" i="1"/>
  <c r="H1382" i="1"/>
  <c r="H1387" i="1"/>
  <c r="F1393" i="1"/>
  <c r="H1398" i="1"/>
  <c r="H1403" i="1"/>
  <c r="F1409" i="1"/>
  <c r="H1414" i="1"/>
  <c r="H1419" i="1"/>
  <c r="F1425" i="1"/>
  <c r="F1431" i="1"/>
  <c r="G1437" i="1"/>
  <c r="H1443" i="1"/>
  <c r="I1449" i="1"/>
  <c r="H1456" i="1"/>
  <c r="G1463" i="1"/>
  <c r="G1470" i="1"/>
  <c r="H1477" i="1"/>
  <c r="I1484" i="1"/>
  <c r="G1492" i="1"/>
  <c r="I1499" i="1"/>
  <c r="F1507" i="1"/>
  <c r="G1515" i="1"/>
  <c r="G1526" i="1"/>
  <c r="F1540" i="1"/>
  <c r="G1553" i="1"/>
  <c r="G1566" i="1"/>
  <c r="G1580" i="1"/>
  <c r="G1594" i="1"/>
  <c r="I1611" i="1"/>
  <c r="I1628" i="1"/>
  <c r="F1645" i="1"/>
  <c r="F1661" i="1"/>
  <c r="F1683" i="1"/>
  <c r="F1714" i="1"/>
  <c r="I1744" i="1"/>
  <c r="F1790" i="1"/>
  <c r="H1839" i="1"/>
  <c r="H1896" i="1"/>
  <c r="G1958" i="1"/>
  <c r="F2036" i="1"/>
  <c r="H2146" i="1"/>
  <c r="G2426" i="1"/>
  <c r="G1140" i="1"/>
  <c r="G1142" i="1"/>
  <c r="G1144" i="1"/>
  <c r="G1146" i="1"/>
  <c r="G1148" i="1"/>
  <c r="G1150" i="1"/>
  <c r="G1152" i="1"/>
  <c r="G1154" i="1"/>
  <c r="G1156" i="1"/>
  <c r="G1158" i="1"/>
  <c r="G1160" i="1"/>
  <c r="G1162" i="1"/>
  <c r="G1164" i="1"/>
  <c r="G1166" i="1"/>
  <c r="G1168" i="1"/>
  <c r="G1170" i="1"/>
  <c r="G1172" i="1"/>
  <c r="G1174" i="1"/>
  <c r="G1176" i="1"/>
  <c r="G1178" i="1"/>
  <c r="G1180" i="1"/>
  <c r="G1182" i="1"/>
  <c r="G1184" i="1"/>
  <c r="G1186" i="1"/>
  <c r="G1188" i="1"/>
  <c r="G1190" i="1"/>
  <c r="G1192" i="1"/>
  <c r="G1194" i="1"/>
  <c r="G1196" i="1"/>
  <c r="G1198" i="1"/>
  <c r="G1200" i="1"/>
  <c r="G1202" i="1"/>
  <c r="G1204" i="1"/>
  <c r="G1206" i="1"/>
  <c r="G1208" i="1"/>
  <c r="G1210" i="1"/>
  <c r="G1212" i="1"/>
  <c r="G1214" i="1"/>
  <c r="G1216" i="1"/>
  <c r="G1218" i="1"/>
  <c r="G1220" i="1"/>
  <c r="G1222" i="1"/>
  <c r="G1224" i="1"/>
  <c r="G1226" i="1"/>
  <c r="G1228" i="1"/>
  <c r="G1230" i="1"/>
  <c r="G1232" i="1"/>
  <c r="G1234" i="1"/>
  <c r="G1236" i="1"/>
  <c r="G1238" i="1"/>
  <c r="G1240" i="1"/>
  <c r="G1242" i="1"/>
  <c r="G1244" i="1"/>
  <c r="G1246" i="1"/>
  <c r="G1248" i="1"/>
  <c r="G1250" i="1"/>
  <c r="G1252" i="1"/>
  <c r="G1254" i="1"/>
  <c r="G1256" i="1"/>
  <c r="G1258" i="1"/>
  <c r="G1260" i="1"/>
  <c r="G1262" i="1"/>
  <c r="G1264" i="1"/>
  <c r="G1266" i="1"/>
  <c r="G1268" i="1"/>
  <c r="G1270" i="1"/>
  <c r="G1272" i="1"/>
  <c r="G1274" i="1"/>
  <c r="G1276" i="1"/>
  <c r="G1278" i="1"/>
  <c r="G1280" i="1"/>
  <c r="G1282" i="1"/>
  <c r="G1284" i="1"/>
  <c r="G1286" i="1"/>
  <c r="G1288" i="1"/>
  <c r="G1290" i="1"/>
  <c r="G1292" i="1"/>
  <c r="G1294" i="1"/>
  <c r="G1296" i="1"/>
  <c r="G1298" i="1"/>
  <c r="G1300" i="1"/>
  <c r="G1302" i="1"/>
  <c r="G1304" i="1"/>
  <c r="G1306" i="1"/>
  <c r="G1308" i="1"/>
  <c r="G1310" i="1"/>
  <c r="G1312" i="1"/>
  <c r="G1314" i="1"/>
  <c r="G1316" i="1"/>
  <c r="G1318" i="1"/>
  <c r="G1320" i="1"/>
  <c r="G1322" i="1"/>
  <c r="G1324" i="1"/>
  <c r="G1326" i="1"/>
  <c r="G1328" i="1"/>
  <c r="G1330" i="1"/>
  <c r="G1332" i="1"/>
  <c r="G1334" i="1"/>
  <c r="G1336" i="1"/>
  <c r="H1338" i="1"/>
  <c r="I1340" i="1"/>
  <c r="F1343" i="1"/>
  <c r="G1345" i="1"/>
  <c r="H1347" i="1"/>
  <c r="I1349" i="1"/>
  <c r="F1352" i="1"/>
  <c r="H1354" i="1"/>
  <c r="I1356" i="1"/>
  <c r="F1359" i="1"/>
  <c r="G1361" i="1"/>
  <c r="H1363" i="1"/>
  <c r="I1365" i="1"/>
  <c r="F1368" i="1"/>
  <c r="H1370" i="1"/>
  <c r="I1372" i="1"/>
  <c r="F1375" i="1"/>
  <c r="G1377" i="1"/>
  <c r="H1379" i="1"/>
  <c r="I1381" i="1"/>
  <c r="H1384" i="1"/>
  <c r="F1387" i="1"/>
  <c r="H1389" i="1"/>
  <c r="H1392" i="1"/>
  <c r="F1395" i="1"/>
  <c r="H1397" i="1"/>
  <c r="H1400" i="1"/>
  <c r="F1403" i="1"/>
  <c r="H1405" i="1"/>
  <c r="H1408" i="1"/>
  <c r="F1411" i="1"/>
  <c r="H1413" i="1"/>
  <c r="H1416" i="1"/>
  <c r="F1419" i="1"/>
  <c r="H1421" i="1"/>
  <c r="H1424" i="1"/>
  <c r="F1427" i="1"/>
  <c r="I1429" i="1"/>
  <c r="G1433" i="1"/>
  <c r="H1436" i="1"/>
  <c r="H1439" i="1"/>
  <c r="F1443" i="1"/>
  <c r="I1445" i="1"/>
  <c r="G1449" i="1"/>
  <c r="H1452" i="1"/>
  <c r="H1455" i="1"/>
  <c r="F1459" i="1"/>
  <c r="I1461" i="1"/>
  <c r="I1465" i="1"/>
  <c r="H1469" i="1"/>
  <c r="F1473" i="1"/>
  <c r="F1477" i="1"/>
  <c r="F1480" i="1"/>
  <c r="F1484" i="1"/>
  <c r="I1487" i="1"/>
  <c r="G1491" i="1"/>
  <c r="G1495" i="1"/>
  <c r="G1498" i="1"/>
  <c r="G1502" i="1"/>
  <c r="F1506" i="1"/>
  <c r="H1509" i="1"/>
  <c r="F1514" i="1"/>
  <c r="G1518" i="1"/>
  <c r="I1525" i="1"/>
  <c r="F1532" i="1"/>
  <c r="F1538" i="1"/>
  <c r="G1545" i="1"/>
  <c r="G1550" i="1"/>
  <c r="I1557" i="1"/>
  <c r="G1564" i="1"/>
  <c r="F1571" i="1"/>
  <c r="G1579" i="1"/>
  <c r="F1585" i="1"/>
  <c r="H1593" i="1"/>
  <c r="F1601" i="1"/>
  <c r="I1608" i="1"/>
  <c r="H1618" i="1"/>
  <c r="I1624" i="1"/>
  <c r="I1634" i="1"/>
  <c r="I1642" i="1"/>
  <c r="I1650" i="1"/>
  <c r="G1660" i="1"/>
  <c r="G1668" i="1"/>
  <c r="F1682" i="1"/>
  <c r="I1695" i="1"/>
  <c r="H1709" i="1"/>
  <c r="H1726" i="1"/>
  <c r="F1738" i="1"/>
  <c r="F1758" i="1"/>
  <c r="H1783" i="1"/>
  <c r="H1807" i="1"/>
  <c r="H1837" i="1"/>
  <c r="F1860" i="1"/>
  <c r="H1892" i="1"/>
  <c r="I1921" i="1"/>
  <c r="G1949" i="1"/>
  <c r="H1983" i="1"/>
  <c r="G2009" i="1"/>
  <c r="G2073" i="1"/>
  <c r="F2132" i="1"/>
  <c r="I2219" i="1"/>
  <c r="I2405" i="1"/>
  <c r="H1140" i="1"/>
  <c r="H1142" i="1"/>
  <c r="H1144" i="1"/>
  <c r="H1146" i="1"/>
  <c r="H1148" i="1"/>
  <c r="H1150" i="1"/>
  <c r="H1152" i="1"/>
  <c r="H1154" i="1"/>
  <c r="H1156" i="1"/>
  <c r="H1158" i="1"/>
  <c r="H1160" i="1"/>
  <c r="H1162" i="1"/>
  <c r="H1164" i="1"/>
  <c r="H1166" i="1"/>
  <c r="H1168" i="1"/>
  <c r="H1170" i="1"/>
  <c r="H1172" i="1"/>
  <c r="H1174" i="1"/>
  <c r="H1176" i="1"/>
  <c r="H1178" i="1"/>
  <c r="H1180" i="1"/>
  <c r="H1182" i="1"/>
  <c r="H1184" i="1"/>
  <c r="H1186" i="1"/>
  <c r="H1188" i="1"/>
  <c r="H1190" i="1"/>
  <c r="H1192" i="1"/>
  <c r="H1194" i="1"/>
  <c r="H1196" i="1"/>
  <c r="H1198" i="1"/>
  <c r="H1200" i="1"/>
  <c r="H1202" i="1"/>
  <c r="H1204" i="1"/>
  <c r="H1206" i="1"/>
  <c r="H1208" i="1"/>
  <c r="H1210" i="1"/>
  <c r="H1212" i="1"/>
  <c r="H1214" i="1"/>
  <c r="H1216" i="1"/>
  <c r="H1218" i="1"/>
  <c r="H1220" i="1"/>
  <c r="H1222" i="1"/>
  <c r="H1224" i="1"/>
  <c r="H1226" i="1"/>
  <c r="H1228" i="1"/>
  <c r="H1230" i="1"/>
  <c r="H1232" i="1"/>
  <c r="H1234" i="1"/>
  <c r="H1236" i="1"/>
  <c r="H1238" i="1"/>
  <c r="H1240" i="1"/>
  <c r="H1242" i="1"/>
  <c r="H1244" i="1"/>
  <c r="H1246" i="1"/>
  <c r="H1248" i="1"/>
  <c r="H1250" i="1"/>
  <c r="H1252" i="1"/>
  <c r="H1254" i="1"/>
  <c r="H1256" i="1"/>
  <c r="H1258" i="1"/>
  <c r="H1260" i="1"/>
  <c r="H1262" i="1"/>
  <c r="H1264" i="1"/>
  <c r="H1266" i="1"/>
  <c r="H1268" i="1"/>
  <c r="H1270" i="1"/>
  <c r="H1272" i="1"/>
  <c r="H1274" i="1"/>
  <c r="H1276" i="1"/>
  <c r="H1278" i="1"/>
  <c r="H1280" i="1"/>
  <c r="H1282" i="1"/>
  <c r="H1284" i="1"/>
  <c r="H1286" i="1"/>
  <c r="H1288" i="1"/>
  <c r="H1290" i="1"/>
  <c r="H1292" i="1"/>
  <c r="H1294" i="1"/>
  <c r="H1296" i="1"/>
  <c r="H1298" i="1"/>
  <c r="H1300" i="1"/>
  <c r="H1302" i="1"/>
  <c r="H1304" i="1"/>
  <c r="H1306" i="1"/>
  <c r="H1308" i="1"/>
  <c r="H1310" i="1"/>
  <c r="H1312" i="1"/>
  <c r="H1314" i="1"/>
  <c r="H1316" i="1"/>
  <c r="H1318" i="1"/>
  <c r="H1320" i="1"/>
  <c r="H1322" i="1"/>
  <c r="H1324" i="1"/>
  <c r="H1326" i="1"/>
  <c r="H1328" i="1"/>
  <c r="H1330" i="1"/>
  <c r="H1332" i="1"/>
  <c r="H1334" i="1"/>
  <c r="H1336" i="1"/>
  <c r="I1338" i="1"/>
  <c r="F1341" i="1"/>
  <c r="G1343" i="1"/>
  <c r="H1345" i="1"/>
  <c r="I1347" i="1"/>
  <c r="F1350" i="1"/>
  <c r="H1352" i="1"/>
  <c r="I1354" i="1"/>
  <c r="F1357" i="1"/>
  <c r="G1359" i="1"/>
  <c r="H1361" i="1"/>
  <c r="I1363" i="1"/>
  <c r="F1366" i="1"/>
  <c r="H1368" i="1"/>
  <c r="I1370" i="1"/>
  <c r="F1373" i="1"/>
  <c r="G1375" i="1"/>
  <c r="H1377" i="1"/>
  <c r="I1379" i="1"/>
  <c r="F1382" i="1"/>
  <c r="I1384" i="1"/>
  <c r="G1387" i="1"/>
  <c r="I1389" i="1"/>
  <c r="I1392" i="1"/>
  <c r="G1395" i="1"/>
  <c r="I1397" i="1"/>
  <c r="I1400" i="1"/>
  <c r="G1403" i="1"/>
  <c r="I1405" i="1"/>
  <c r="I1408" i="1"/>
  <c r="G1411" i="1"/>
  <c r="I1413" i="1"/>
  <c r="I1416" i="1"/>
  <c r="G1419" i="1"/>
  <c r="I1421" i="1"/>
  <c r="I1424" i="1"/>
  <c r="G1427" i="1"/>
  <c r="H1430" i="1"/>
  <c r="H1433" i="1"/>
  <c r="F1437" i="1"/>
  <c r="I1439" i="1"/>
  <c r="G1443" i="1"/>
  <c r="H1446" i="1"/>
  <c r="H1449" i="1"/>
  <c r="F1453" i="1"/>
  <c r="I1455" i="1"/>
  <c r="G1459" i="1"/>
  <c r="I1462" i="1"/>
  <c r="F1466" i="1"/>
  <c r="F1470" i="1"/>
  <c r="G1473" i="1"/>
  <c r="G1477" i="1"/>
  <c r="F1481" i="1"/>
  <c r="G1484" i="1"/>
  <c r="G1488" i="1"/>
  <c r="H1491" i="1"/>
  <c r="H1495" i="1"/>
  <c r="G1499" i="1"/>
  <c r="I1502" i="1"/>
  <c r="I1506" i="1"/>
  <c r="I1509" i="1"/>
  <c r="G1514" i="1"/>
  <c r="F1520" i="1"/>
  <c r="F1526" i="1"/>
  <c r="G1533" i="1"/>
  <c r="G1538" i="1"/>
  <c r="I1545" i="1"/>
  <c r="F1552" i="1"/>
  <c r="F1558" i="1"/>
  <c r="H1565" i="1"/>
  <c r="G1571" i="1"/>
  <c r="F1580" i="1"/>
  <c r="F1587" i="1"/>
  <c r="F1594" i="1"/>
  <c r="I1602" i="1"/>
  <c r="H1609" i="1"/>
  <c r="F1619" i="1"/>
  <c r="F1627" i="1"/>
  <c r="F1635" i="1"/>
  <c r="H1644" i="1"/>
  <c r="F1651" i="1"/>
  <c r="I1660" i="1"/>
  <c r="I1671" i="1"/>
  <c r="H1682" i="1"/>
  <c r="F1699" i="1"/>
  <c r="H1710" i="1"/>
  <c r="F1727" i="1"/>
  <c r="H1741" i="1"/>
  <c r="H1759" i="1"/>
  <c r="H1789" i="1"/>
  <c r="H1809" i="1"/>
  <c r="F1838" i="1"/>
  <c r="F1867" i="1"/>
  <c r="G1894" i="1"/>
  <c r="H1928" i="1"/>
  <c r="H1951" i="1"/>
  <c r="F1984" i="1"/>
  <c r="H2022" i="1"/>
  <c r="G2077" i="1"/>
  <c r="I2145" i="1"/>
  <c r="I2228" i="1"/>
  <c r="I2409" i="1"/>
  <c r="F1179" i="1"/>
  <c r="F1181" i="1"/>
  <c r="F1183" i="1"/>
  <c r="F1185" i="1"/>
  <c r="F1187" i="1"/>
  <c r="F1189" i="1"/>
  <c r="F1191" i="1"/>
  <c r="F1193" i="1"/>
  <c r="F1195" i="1"/>
  <c r="F1197" i="1"/>
  <c r="F1199" i="1"/>
  <c r="F1201" i="1"/>
  <c r="F1203" i="1"/>
  <c r="F1205" i="1"/>
  <c r="F1207" i="1"/>
  <c r="F1209" i="1"/>
  <c r="F1211" i="1"/>
  <c r="F1213" i="1"/>
  <c r="F1215" i="1"/>
  <c r="F1217" i="1"/>
  <c r="F1219" i="1"/>
  <c r="F1221" i="1"/>
  <c r="F1223" i="1"/>
  <c r="F1225" i="1"/>
  <c r="F1227" i="1"/>
  <c r="F1229" i="1"/>
  <c r="F1231" i="1"/>
  <c r="F1233" i="1"/>
  <c r="F1235" i="1"/>
  <c r="F1237" i="1"/>
  <c r="F1239" i="1"/>
  <c r="F1241" i="1"/>
  <c r="F1243" i="1"/>
  <c r="F1245" i="1"/>
  <c r="F1247" i="1"/>
  <c r="F1249" i="1"/>
  <c r="F1251" i="1"/>
  <c r="F1253" i="1"/>
  <c r="F1255" i="1"/>
  <c r="F1257" i="1"/>
  <c r="F1259" i="1"/>
  <c r="F1261" i="1"/>
  <c r="F1263" i="1"/>
  <c r="F1265" i="1"/>
  <c r="F1267" i="1"/>
  <c r="F1269" i="1"/>
  <c r="F1271" i="1"/>
  <c r="F1273" i="1"/>
  <c r="F1275" i="1"/>
  <c r="F1277" i="1"/>
  <c r="F1279" i="1"/>
  <c r="F1281" i="1"/>
  <c r="F1283" i="1"/>
  <c r="F1285" i="1"/>
  <c r="F1287" i="1"/>
  <c r="F1289" i="1"/>
  <c r="F1291" i="1"/>
  <c r="F1293" i="1"/>
  <c r="F1295" i="1"/>
  <c r="F1297" i="1"/>
  <c r="F1299" i="1"/>
  <c r="F1301" i="1"/>
  <c r="F1303" i="1"/>
  <c r="F1305" i="1"/>
  <c r="F1307" i="1"/>
  <c r="F1309" i="1"/>
  <c r="F1311" i="1"/>
  <c r="F1313" i="1"/>
  <c r="F1315" i="1"/>
  <c r="F1317" i="1"/>
  <c r="F1319" i="1"/>
  <c r="F1321" i="1"/>
  <c r="F1323" i="1"/>
  <c r="F1325" i="1"/>
  <c r="F1327" i="1"/>
  <c r="F1329" i="1"/>
  <c r="F1331" i="1"/>
  <c r="F1333" i="1"/>
  <c r="F1335" i="1"/>
  <c r="F1337" i="1"/>
  <c r="G1339" i="1"/>
  <c r="H1341" i="1"/>
  <c r="I1343" i="1"/>
  <c r="F1346" i="1"/>
  <c r="H1348" i="1"/>
  <c r="I1350" i="1"/>
  <c r="F1353" i="1"/>
  <c r="G1355" i="1"/>
  <c r="H1357" i="1"/>
  <c r="I1359" i="1"/>
  <c r="F1362" i="1"/>
  <c r="H1364" i="1"/>
  <c r="I1366" i="1"/>
  <c r="F1369" i="1"/>
  <c r="G1371" i="1"/>
  <c r="H1373" i="1"/>
  <c r="I1375" i="1"/>
  <c r="F1378" i="1"/>
  <c r="H1380" i="1"/>
  <c r="I1382" i="1"/>
  <c r="G1385" i="1"/>
  <c r="I1387" i="1"/>
  <c r="I1390" i="1"/>
  <c r="G1393" i="1"/>
  <c r="I1395" i="1"/>
  <c r="I1398" i="1"/>
  <c r="G1401" i="1"/>
  <c r="I1403" i="1"/>
  <c r="I1406" i="1"/>
  <c r="G1409" i="1"/>
  <c r="I1411" i="1"/>
  <c r="I1414" i="1"/>
  <c r="G1417" i="1"/>
  <c r="I1419" i="1"/>
  <c r="I1422" i="1"/>
  <c r="G1425" i="1"/>
  <c r="I1427" i="1"/>
  <c r="G1431" i="1"/>
  <c r="H1434" i="1"/>
  <c r="H1437" i="1"/>
  <c r="F1441" i="1"/>
  <c r="I1443" i="1"/>
  <c r="G1447" i="1"/>
  <c r="H1450" i="1"/>
  <c r="H1453" i="1"/>
  <c r="F1457" i="1"/>
  <c r="I1459" i="1"/>
  <c r="H1463" i="1"/>
  <c r="G1467" i="1"/>
  <c r="I1470" i="1"/>
  <c r="I1474" i="1"/>
  <c r="I1477" i="1"/>
  <c r="I1481" i="1"/>
  <c r="H1485" i="1"/>
  <c r="F1489" i="1"/>
  <c r="F1493" i="1"/>
  <c r="F1496" i="1"/>
  <c r="F1500" i="1"/>
  <c r="I1503" i="1"/>
  <c r="G1507" i="1"/>
  <c r="G1511" i="1"/>
  <c r="H1515" i="1"/>
  <c r="I1521" i="1"/>
  <c r="F1528" i="1"/>
  <c r="F1534" i="1"/>
  <c r="G1541" i="1"/>
  <c r="G1546" i="1"/>
  <c r="I1553" i="1"/>
  <c r="F1560" i="1"/>
  <c r="H1566" i="1"/>
  <c r="I1574" i="1"/>
  <c r="H1580" i="1"/>
  <c r="F1589" i="1"/>
  <c r="G1596" i="1"/>
  <c r="I1603" i="1"/>
  <c r="F1613" i="1"/>
  <c r="I1619" i="1"/>
  <c r="H1629" i="1"/>
  <c r="I1637" i="1"/>
  <c r="H1645" i="1"/>
  <c r="F1655" i="1"/>
  <c r="H1661" i="1"/>
  <c r="H1674" i="1"/>
  <c r="H1686" i="1"/>
  <c r="G1700" i="1"/>
  <c r="H1717" i="1"/>
  <c r="I1728" i="1"/>
  <c r="H1745" i="1"/>
  <c r="H1767" i="1"/>
  <c r="H1791" i="1"/>
  <c r="H1821" i="1"/>
  <c r="I1841" i="1"/>
  <c r="G1874" i="1"/>
  <c r="H1903" i="1"/>
  <c r="F1931" i="1"/>
  <c r="G1965" i="1"/>
  <c r="F1988" i="1"/>
  <c r="I2036" i="1"/>
  <c r="H2095" i="1"/>
  <c r="F2153" i="1"/>
  <c r="I2284" i="1"/>
  <c r="G1033" i="1"/>
  <c r="G1035" i="1"/>
  <c r="G1037" i="1"/>
  <c r="G1039" i="1"/>
  <c r="G1041" i="1"/>
  <c r="G1043" i="1"/>
  <c r="G1045" i="1"/>
  <c r="G1047" i="1"/>
  <c r="G1049" i="1"/>
  <c r="G1051" i="1"/>
  <c r="G1053" i="1"/>
  <c r="G1055" i="1"/>
  <c r="G1057" i="1"/>
  <c r="G1059" i="1"/>
  <c r="G1061" i="1"/>
  <c r="G1063" i="1"/>
  <c r="G1065" i="1"/>
  <c r="G1067" i="1"/>
  <c r="G1069" i="1"/>
  <c r="G1071" i="1"/>
  <c r="G1073" i="1"/>
  <c r="G1075" i="1"/>
  <c r="G1077" i="1"/>
  <c r="G1079" i="1"/>
  <c r="G1081" i="1"/>
  <c r="G1083" i="1"/>
  <c r="G1085" i="1"/>
  <c r="G1087" i="1"/>
  <c r="G1089" i="1"/>
  <c r="G1091" i="1"/>
  <c r="G1093" i="1"/>
  <c r="G1095" i="1"/>
  <c r="G1097" i="1"/>
  <c r="G1099" i="1"/>
  <c r="G1101" i="1"/>
  <c r="G1103" i="1"/>
  <c r="G1105" i="1"/>
  <c r="G1107" i="1"/>
  <c r="G1109" i="1"/>
  <c r="G1111" i="1"/>
  <c r="G1113" i="1"/>
  <c r="G1115" i="1"/>
  <c r="G1117" i="1"/>
  <c r="G1119" i="1"/>
  <c r="G1121" i="1"/>
  <c r="G1123" i="1"/>
  <c r="G1125" i="1"/>
  <c r="G1127" i="1"/>
  <c r="G1129" i="1"/>
  <c r="G1131" i="1"/>
  <c r="G1133" i="1"/>
  <c r="G1135" i="1"/>
  <c r="G1137" i="1"/>
  <c r="G1139" i="1"/>
  <c r="G1141" i="1"/>
  <c r="G1143" i="1"/>
  <c r="G1145" i="1"/>
  <c r="G1147" i="1"/>
  <c r="G1149" i="1"/>
  <c r="G1151" i="1"/>
  <c r="G1153" i="1"/>
  <c r="G1155" i="1"/>
  <c r="G1157" i="1"/>
  <c r="G1159" i="1"/>
  <c r="G1161" i="1"/>
  <c r="G1163" i="1"/>
  <c r="G1165" i="1"/>
  <c r="G1167" i="1"/>
  <c r="G1169" i="1"/>
  <c r="G1171" i="1"/>
  <c r="G1173" i="1"/>
  <c r="G1175" i="1"/>
  <c r="G1177" i="1"/>
  <c r="G1179" i="1"/>
  <c r="G1181" i="1"/>
  <c r="G1183" i="1"/>
  <c r="G1185" i="1"/>
  <c r="G1187" i="1"/>
  <c r="G1189" i="1"/>
  <c r="G1191" i="1"/>
  <c r="G1193" i="1"/>
  <c r="G1195" i="1"/>
  <c r="G1197" i="1"/>
  <c r="G1199" i="1"/>
  <c r="G1201" i="1"/>
  <c r="G1203" i="1"/>
  <c r="G1205" i="1"/>
  <c r="G1207" i="1"/>
  <c r="G1209" i="1"/>
  <c r="G1211" i="1"/>
  <c r="G1213" i="1"/>
  <c r="G1215" i="1"/>
  <c r="G1217" i="1"/>
  <c r="G1219" i="1"/>
  <c r="G1221" i="1"/>
  <c r="G1223" i="1"/>
  <c r="G1225" i="1"/>
  <c r="G1227" i="1"/>
  <c r="G1229" i="1"/>
  <c r="G1231" i="1"/>
  <c r="G1233" i="1"/>
  <c r="G1235" i="1"/>
  <c r="G1237" i="1"/>
  <c r="G1239" i="1"/>
  <c r="G1241" i="1"/>
  <c r="G1243" i="1"/>
  <c r="G1245" i="1"/>
  <c r="G1247" i="1"/>
  <c r="G1249" i="1"/>
  <c r="G1251" i="1"/>
  <c r="G1253" i="1"/>
  <c r="G1255" i="1"/>
  <c r="G1257" i="1"/>
  <c r="G1259" i="1"/>
  <c r="G1261" i="1"/>
  <c r="G1263" i="1"/>
  <c r="G1265" i="1"/>
  <c r="G1267" i="1"/>
  <c r="G1269" i="1"/>
  <c r="G1271" i="1"/>
  <c r="G1273" i="1"/>
  <c r="G1275" i="1"/>
  <c r="G1277" i="1"/>
  <c r="G1279" i="1"/>
  <c r="G1281" i="1"/>
  <c r="G1283" i="1"/>
  <c r="G1285" i="1"/>
  <c r="G1287" i="1"/>
  <c r="G1289" i="1"/>
  <c r="G1291" i="1"/>
  <c r="G1293" i="1"/>
  <c r="G1295" i="1"/>
  <c r="G1297" i="1"/>
  <c r="G1299" i="1"/>
  <c r="G1301" i="1"/>
  <c r="G1303" i="1"/>
  <c r="G1305" i="1"/>
  <c r="G1307" i="1"/>
  <c r="G1309" i="1"/>
  <c r="G1311" i="1"/>
  <c r="G1313" i="1"/>
  <c r="G1315" i="1"/>
  <c r="G1317" i="1"/>
  <c r="G1319" i="1"/>
  <c r="G1321" i="1"/>
  <c r="G1323" i="1"/>
  <c r="G1325" i="1"/>
  <c r="G1327" i="1"/>
  <c r="G1329" i="1"/>
  <c r="G1331" i="1"/>
  <c r="G1333" i="1"/>
  <c r="G1335" i="1"/>
  <c r="G1337" i="1"/>
  <c r="H1339" i="1"/>
  <c r="I1341" i="1"/>
  <c r="F1344" i="1"/>
  <c r="H1346" i="1"/>
  <c r="I1348" i="1"/>
  <c r="F1351" i="1"/>
  <c r="G1353" i="1"/>
  <c r="H1355" i="1"/>
  <c r="I1357" i="1"/>
  <c r="F1360" i="1"/>
  <c r="H1362" i="1"/>
  <c r="I1364" i="1"/>
  <c r="F1367" i="1"/>
  <c r="G1369" i="1"/>
  <c r="H1371" i="1"/>
  <c r="I1373" i="1"/>
  <c r="F1376" i="1"/>
  <c r="H1378" i="1"/>
  <c r="I1380" i="1"/>
  <c r="F1383" i="1"/>
  <c r="H1385" i="1"/>
  <c r="H1388" i="1"/>
  <c r="F1391" i="1"/>
  <c r="H1393" i="1"/>
  <c r="H1396" i="1"/>
  <c r="F1399" i="1"/>
  <c r="H1401" i="1"/>
  <c r="H1404" i="1"/>
  <c r="F1407" i="1"/>
  <c r="H1409" i="1"/>
  <c r="H1412" i="1"/>
  <c r="F1415" i="1"/>
  <c r="H1417" i="1"/>
  <c r="H1420" i="1"/>
  <c r="F1423" i="1"/>
  <c r="H1425" i="1"/>
  <c r="H1428" i="1"/>
  <c r="H1431" i="1"/>
  <c r="F1435" i="1"/>
  <c r="I1437" i="1"/>
  <c r="G1441" i="1"/>
  <c r="H1444" i="1"/>
  <c r="H1447" i="1"/>
  <c r="F1451" i="1"/>
  <c r="I1453" i="1"/>
  <c r="G1457" i="1"/>
  <c r="H1460" i="1"/>
  <c r="I1463" i="1"/>
  <c r="I1467" i="1"/>
  <c r="F1471" i="1"/>
  <c r="F1475" i="1"/>
  <c r="I1478" i="1"/>
  <c r="F1482" i="1"/>
  <c r="F1486" i="1"/>
  <c r="G1489" i="1"/>
  <c r="G1493" i="1"/>
  <c r="F1497" i="1"/>
  <c r="G1500" i="1"/>
  <c r="G1504" i="1"/>
  <c r="H1507" i="1"/>
  <c r="H1511" i="1"/>
  <c r="G1516" i="1"/>
  <c r="F1522" i="1"/>
  <c r="G1529" i="1"/>
  <c r="G1534" i="1"/>
  <c r="I1541" i="1"/>
  <c r="F1548" i="1"/>
  <c r="F1554" i="1"/>
  <c r="G1561" i="1"/>
  <c r="I1566" i="1"/>
  <c r="G1575" i="1"/>
  <c r="H1582" i="1"/>
  <c r="G1589" i="1"/>
  <c r="H1597" i="1"/>
  <c r="F1604" i="1"/>
  <c r="F1614" i="1"/>
  <c r="F1622" i="1"/>
  <c r="F1630" i="1"/>
  <c r="H1639" i="1"/>
  <c r="F1646" i="1"/>
  <c r="I1655" i="1"/>
  <c r="G1664" i="1"/>
  <c r="F1675" i="1"/>
  <c r="F1690" i="1"/>
  <c r="H1701" i="1"/>
  <c r="F1718" i="1"/>
  <c r="G1732" i="1"/>
  <c r="F1746" i="1"/>
  <c r="H1773" i="1"/>
  <c r="H1793" i="1"/>
  <c r="F1822" i="1"/>
  <c r="H1848" i="1"/>
  <c r="F1876" i="1"/>
  <c r="G1910" i="1"/>
  <c r="G1933" i="1"/>
  <c r="I1965" i="1"/>
  <c r="F1995" i="1"/>
  <c r="I2040" i="1"/>
  <c r="G2109" i="1"/>
  <c r="F2161" i="1"/>
  <c r="I2286" i="1"/>
  <c r="F1384" i="1"/>
  <c r="F1386" i="1"/>
  <c r="F1388" i="1"/>
  <c r="F1390" i="1"/>
  <c r="F1392" i="1"/>
  <c r="F1394" i="1"/>
  <c r="F1396" i="1"/>
  <c r="F1398" i="1"/>
  <c r="F1400" i="1"/>
  <c r="F1402" i="1"/>
  <c r="F1404" i="1"/>
  <c r="F1406" i="1"/>
  <c r="F1408" i="1"/>
  <c r="F1410" i="1"/>
  <c r="F1412" i="1"/>
  <c r="F1414" i="1"/>
  <c r="F1416" i="1"/>
  <c r="F1418" i="1"/>
  <c r="F1420" i="1"/>
  <c r="F1422" i="1"/>
  <c r="F1424" i="1"/>
  <c r="F1426" i="1"/>
  <c r="F1428" i="1"/>
  <c r="F1430" i="1"/>
  <c r="F1432" i="1"/>
  <c r="F1434" i="1"/>
  <c r="F1436" i="1"/>
  <c r="F1438" i="1"/>
  <c r="F1440" i="1"/>
  <c r="F1442" i="1"/>
  <c r="F1444" i="1"/>
  <c r="F1446" i="1"/>
  <c r="F1448" i="1"/>
  <c r="F1450" i="1"/>
  <c r="F1452" i="1"/>
  <c r="F1454" i="1"/>
  <c r="F1456" i="1"/>
  <c r="F1458" i="1"/>
  <c r="F1460" i="1"/>
  <c r="F1462" i="1"/>
  <c r="G1464" i="1"/>
  <c r="I1466" i="1"/>
  <c r="F1469" i="1"/>
  <c r="G1471" i="1"/>
  <c r="H1473" i="1"/>
  <c r="I1475" i="1"/>
  <c r="F1478" i="1"/>
  <c r="G1480" i="1"/>
  <c r="I1482" i="1"/>
  <c r="F1485" i="1"/>
  <c r="G1487" i="1"/>
  <c r="H1489" i="1"/>
  <c r="I1491" i="1"/>
  <c r="F1494" i="1"/>
  <c r="G1496" i="1"/>
  <c r="I1498" i="1"/>
  <c r="F1501" i="1"/>
  <c r="G1503" i="1"/>
  <c r="H1505" i="1"/>
  <c r="I1507" i="1"/>
  <c r="F1510" i="1"/>
  <c r="G1512" i="1"/>
  <c r="I1515" i="1"/>
  <c r="G1519" i="1"/>
  <c r="G1523" i="1"/>
  <c r="G1527" i="1"/>
  <c r="G1531" i="1"/>
  <c r="G1535" i="1"/>
  <c r="G1539" i="1"/>
  <c r="G1543" i="1"/>
  <c r="G1547" i="1"/>
  <c r="G1551" i="1"/>
  <c r="G1555" i="1"/>
  <c r="G1559" i="1"/>
  <c r="G1563" i="1"/>
  <c r="F1568" i="1"/>
  <c r="H1572" i="1"/>
  <c r="F1577" i="1"/>
  <c r="H1581" i="1"/>
  <c r="G1586" i="1"/>
  <c r="I1590" i="1"/>
  <c r="G1595" i="1"/>
  <c r="G1600" i="1"/>
  <c r="H1605" i="1"/>
  <c r="H1610" i="1"/>
  <c r="I1615" i="1"/>
  <c r="F1621" i="1"/>
  <c r="G1626" i="1"/>
  <c r="H1631" i="1"/>
  <c r="I1636" i="1"/>
  <c r="F1642" i="1"/>
  <c r="F1647" i="1"/>
  <c r="G1652" i="1"/>
  <c r="I1657" i="1"/>
  <c r="F1663" i="1"/>
  <c r="F1670" i="1"/>
  <c r="H1677" i="1"/>
  <c r="H1685" i="1"/>
  <c r="H1694" i="1"/>
  <c r="I1703" i="1"/>
  <c r="I1712" i="1"/>
  <c r="F1722" i="1"/>
  <c r="F1731" i="1"/>
  <c r="G1740" i="1"/>
  <c r="H1749" i="1"/>
  <c r="H1765" i="1"/>
  <c r="H1781" i="1"/>
  <c r="H1797" i="1"/>
  <c r="H1813" i="1"/>
  <c r="H1829" i="1"/>
  <c r="G1846" i="1"/>
  <c r="H1864" i="1"/>
  <c r="F1883" i="1"/>
  <c r="G1901" i="1"/>
  <c r="H1919" i="1"/>
  <c r="I1937" i="1"/>
  <c r="F1956" i="1"/>
  <c r="G1974" i="1"/>
  <c r="H1992" i="1"/>
  <c r="I2017" i="1"/>
  <c r="H2054" i="1"/>
  <c r="F2091" i="1"/>
  <c r="H2127" i="1"/>
  <c r="F2177" i="1"/>
  <c r="F2247" i="1"/>
  <c r="G2338" i="1"/>
  <c r="G1338" i="1"/>
  <c r="G1340" i="1"/>
  <c r="G1342" i="1"/>
  <c r="G1344" i="1"/>
  <c r="G1346" i="1"/>
  <c r="G1348" i="1"/>
  <c r="G1350" i="1"/>
  <c r="G1352" i="1"/>
  <c r="G1354" i="1"/>
  <c r="G1356" i="1"/>
  <c r="G1358" i="1"/>
  <c r="G1360" i="1"/>
  <c r="G1362" i="1"/>
  <c r="G1364" i="1"/>
  <c r="G1366" i="1"/>
  <c r="G1368" i="1"/>
  <c r="G1370" i="1"/>
  <c r="G1372" i="1"/>
  <c r="G1374" i="1"/>
  <c r="G1376" i="1"/>
  <c r="G1378" i="1"/>
  <c r="G1380" i="1"/>
  <c r="G1382" i="1"/>
  <c r="G1384" i="1"/>
  <c r="G1386" i="1"/>
  <c r="G1388" i="1"/>
  <c r="G1390" i="1"/>
  <c r="G1392" i="1"/>
  <c r="G1394" i="1"/>
  <c r="G1396" i="1"/>
  <c r="G1398" i="1"/>
  <c r="G1400" i="1"/>
  <c r="G1402" i="1"/>
  <c r="G1404" i="1"/>
  <c r="G1406" i="1"/>
  <c r="G1408" i="1"/>
  <c r="G1410" i="1"/>
  <c r="G1412" i="1"/>
  <c r="G1414" i="1"/>
  <c r="G1416" i="1"/>
  <c r="G1418" i="1"/>
  <c r="G1420" i="1"/>
  <c r="G1422" i="1"/>
  <c r="G1424" i="1"/>
  <c r="G1426" i="1"/>
  <c r="G1428" i="1"/>
  <c r="G1430" i="1"/>
  <c r="G1432" i="1"/>
  <c r="G1434" i="1"/>
  <c r="G1436" i="1"/>
  <c r="G1438" i="1"/>
  <c r="G1440" i="1"/>
  <c r="G1442" i="1"/>
  <c r="G1444" i="1"/>
  <c r="G1446" i="1"/>
  <c r="G1448" i="1"/>
  <c r="G1450" i="1"/>
  <c r="G1452" i="1"/>
  <c r="G1454" i="1"/>
  <c r="G1456" i="1"/>
  <c r="G1458" i="1"/>
  <c r="G1460" i="1"/>
  <c r="G1462" i="1"/>
  <c r="I1464" i="1"/>
  <c r="F1467" i="1"/>
  <c r="G1469" i="1"/>
  <c r="H1471" i="1"/>
  <c r="I1473" i="1"/>
  <c r="F1476" i="1"/>
  <c r="G1478" i="1"/>
  <c r="I1480" i="1"/>
  <c r="F1483" i="1"/>
  <c r="G1485" i="1"/>
  <c r="H1487" i="1"/>
  <c r="I1489" i="1"/>
  <c r="F1492" i="1"/>
  <c r="G1494" i="1"/>
  <c r="I1496" i="1"/>
  <c r="F1499" i="1"/>
  <c r="G1501" i="1"/>
  <c r="H1503" i="1"/>
  <c r="I1505" i="1"/>
  <c r="F1508" i="1"/>
  <c r="G1510" i="1"/>
  <c r="G1513" i="1"/>
  <c r="F1516" i="1"/>
  <c r="I1519" i="1"/>
  <c r="I1523" i="1"/>
  <c r="I1527" i="1"/>
  <c r="I1531" i="1"/>
  <c r="I1535" i="1"/>
  <c r="I1539" i="1"/>
  <c r="I1543" i="1"/>
  <c r="I1547" i="1"/>
  <c r="I1551" i="1"/>
  <c r="I1555" i="1"/>
  <c r="I1559" i="1"/>
  <c r="F1564" i="1"/>
  <c r="H1568" i="1"/>
  <c r="F1573" i="1"/>
  <c r="H1577" i="1"/>
  <c r="G1582" i="1"/>
  <c r="I1586" i="1"/>
  <c r="G1591" i="1"/>
  <c r="F1596" i="1"/>
  <c r="I1600" i="1"/>
  <c r="F1606" i="1"/>
  <c r="F1611" i="1"/>
  <c r="H1616" i="1"/>
  <c r="I1621" i="1"/>
  <c r="I1626" i="1"/>
  <c r="G1632" i="1"/>
  <c r="H1637" i="1"/>
  <c r="H1642" i="1"/>
  <c r="I1647" i="1"/>
  <c r="F1653" i="1"/>
  <c r="G1658" i="1"/>
  <c r="I1663" i="1"/>
  <c r="F1671" i="1"/>
  <c r="H1678" i="1"/>
  <c r="F1686" i="1"/>
  <c r="F1695" i="1"/>
  <c r="G1704" i="1"/>
  <c r="H1713" i="1"/>
  <c r="H1722" i="1"/>
  <c r="I1731" i="1"/>
  <c r="I1740" i="1"/>
  <c r="F1750" i="1"/>
  <c r="F1766" i="1"/>
  <c r="F1782" i="1"/>
  <c r="F1798" i="1"/>
  <c r="F1814" i="1"/>
  <c r="F1830" i="1"/>
  <c r="F1847" i="1"/>
  <c r="G1865" i="1"/>
  <c r="H1883" i="1"/>
  <c r="I1901" i="1"/>
  <c r="F1920" i="1"/>
  <c r="G1938" i="1"/>
  <c r="H1956" i="1"/>
  <c r="F1975" i="1"/>
  <c r="G1993" i="1"/>
  <c r="H2018" i="1"/>
  <c r="F2055" i="1"/>
  <c r="H2091" i="1"/>
  <c r="F2128" i="1"/>
  <c r="H2178" i="1"/>
  <c r="I2248" i="1"/>
  <c r="I2341" i="1"/>
  <c r="I1428" i="1"/>
  <c r="I1430" i="1"/>
  <c r="I1432" i="1"/>
  <c r="I1434" i="1"/>
  <c r="I1436" i="1"/>
  <c r="I1438" i="1"/>
  <c r="I1440" i="1"/>
  <c r="I1442" i="1"/>
  <c r="I1444" i="1"/>
  <c r="I1446" i="1"/>
  <c r="I1448" i="1"/>
  <c r="I1450" i="1"/>
  <c r="I1452" i="1"/>
  <c r="I1454" i="1"/>
  <c r="I1456" i="1"/>
  <c r="I1458" i="1"/>
  <c r="I1460" i="1"/>
  <c r="F1463" i="1"/>
  <c r="G1465" i="1"/>
  <c r="H1467" i="1"/>
  <c r="I1469" i="1"/>
  <c r="F1472" i="1"/>
  <c r="G1474" i="1"/>
  <c r="I1476" i="1"/>
  <c r="F1479" i="1"/>
  <c r="G1481" i="1"/>
  <c r="H1483" i="1"/>
  <c r="I1485" i="1"/>
  <c r="F1488" i="1"/>
  <c r="G1490" i="1"/>
  <c r="I1492" i="1"/>
  <c r="F1495" i="1"/>
  <c r="G1497" i="1"/>
  <c r="H1499" i="1"/>
  <c r="I1501" i="1"/>
  <c r="F1504" i="1"/>
  <c r="G1506" i="1"/>
  <c r="I1508" i="1"/>
  <c r="F1511" i="1"/>
  <c r="I1513" i="1"/>
  <c r="G1517" i="1"/>
  <c r="G1520" i="1"/>
  <c r="G1524" i="1"/>
  <c r="G1528" i="1"/>
  <c r="G1532" i="1"/>
  <c r="G1536" i="1"/>
  <c r="G1540" i="1"/>
  <c r="G1544" i="1"/>
  <c r="G1548" i="1"/>
  <c r="G1552" i="1"/>
  <c r="G1556" i="1"/>
  <c r="G1560" i="1"/>
  <c r="H1564" i="1"/>
  <c r="F1569" i="1"/>
  <c r="H1573" i="1"/>
  <c r="G1578" i="1"/>
  <c r="I1582" i="1"/>
  <c r="G1587" i="1"/>
  <c r="F1592" i="1"/>
  <c r="H1596" i="1"/>
  <c r="H1601" i="1"/>
  <c r="H1606" i="1"/>
  <c r="F1612" i="1"/>
  <c r="F1617" i="1"/>
  <c r="G1622" i="1"/>
  <c r="I1627" i="1"/>
  <c r="I1632" i="1"/>
  <c r="F1638" i="1"/>
  <c r="F1643" i="1"/>
  <c r="H1648" i="1"/>
  <c r="I1653" i="1"/>
  <c r="I1658" i="1"/>
  <c r="I1664" i="1"/>
  <c r="F1672" i="1"/>
  <c r="F1679" i="1"/>
  <c r="I1687" i="1"/>
  <c r="I1696" i="1"/>
  <c r="F1706" i="1"/>
  <c r="F1715" i="1"/>
  <c r="G1724" i="1"/>
  <c r="H1733" i="1"/>
  <c r="H1742" i="1"/>
  <c r="H1753" i="1"/>
  <c r="H1769" i="1"/>
  <c r="H1785" i="1"/>
  <c r="H1801" i="1"/>
  <c r="H1817" i="1"/>
  <c r="H1833" i="1"/>
  <c r="F1851" i="1"/>
  <c r="G1869" i="1"/>
  <c r="H1887" i="1"/>
  <c r="I1905" i="1"/>
  <c r="F1924" i="1"/>
  <c r="G1942" i="1"/>
  <c r="H1960" i="1"/>
  <c r="F1979" i="1"/>
  <c r="G1997" i="1"/>
  <c r="F2027" i="1"/>
  <c r="H2063" i="1"/>
  <c r="F2100" i="1"/>
  <c r="I2136" i="1"/>
  <c r="F2193" i="1"/>
  <c r="H2265" i="1"/>
  <c r="G2370" i="1"/>
  <c r="H1519" i="1"/>
  <c r="H1521" i="1"/>
  <c r="H1523" i="1"/>
  <c r="H1525" i="1"/>
  <c r="H1527" i="1"/>
  <c r="H1529" i="1"/>
  <c r="H1531" i="1"/>
  <c r="H1533" i="1"/>
  <c r="H1535" i="1"/>
  <c r="H1537" i="1"/>
  <c r="H1539" i="1"/>
  <c r="H1541" i="1"/>
  <c r="H1543" i="1"/>
  <c r="H1545" i="1"/>
  <c r="H1547" i="1"/>
  <c r="H1549" i="1"/>
  <c r="H1551" i="1"/>
  <c r="H1553" i="1"/>
  <c r="H1555" i="1"/>
  <c r="H1557" i="1"/>
  <c r="H1559" i="1"/>
  <c r="H1561" i="1"/>
  <c r="H1563" i="1"/>
  <c r="F1566" i="1"/>
  <c r="G1568" i="1"/>
  <c r="H1570" i="1"/>
  <c r="I1572" i="1"/>
  <c r="F1575" i="1"/>
  <c r="G1577" i="1"/>
  <c r="H1579" i="1"/>
  <c r="F1582" i="1"/>
  <c r="G1584" i="1"/>
  <c r="H1586" i="1"/>
  <c r="I1588" i="1"/>
  <c r="F1591" i="1"/>
  <c r="G1593" i="1"/>
  <c r="H1595" i="1"/>
  <c r="F1598" i="1"/>
  <c r="H1600" i="1"/>
  <c r="F1603" i="1"/>
  <c r="I1605" i="1"/>
  <c r="G1608" i="1"/>
  <c r="I1610" i="1"/>
  <c r="H1613" i="1"/>
  <c r="G1616" i="1"/>
  <c r="I1618" i="1"/>
  <c r="H1621" i="1"/>
  <c r="F1624" i="1"/>
  <c r="H1626" i="1"/>
  <c r="F1629" i="1"/>
  <c r="I1631" i="1"/>
  <c r="H1634" i="1"/>
  <c r="F1637" i="1"/>
  <c r="I1639" i="1"/>
  <c r="G1642" i="1"/>
  <c r="I1644" i="1"/>
  <c r="H1647" i="1"/>
  <c r="F1650" i="1"/>
  <c r="I1652" i="1"/>
  <c r="H1655" i="1"/>
  <c r="F1658" i="1"/>
  <c r="H1660" i="1"/>
  <c r="H1663" i="1"/>
  <c r="F1667" i="1"/>
  <c r="H1670" i="1"/>
  <c r="G1674" i="1"/>
  <c r="F1678" i="1"/>
  <c r="H1681" i="1"/>
  <c r="I1685" i="1"/>
  <c r="G1690" i="1"/>
  <c r="I1694" i="1"/>
  <c r="H1699" i="1"/>
  <c r="F1704" i="1"/>
  <c r="H1708" i="1"/>
  <c r="F1713" i="1"/>
  <c r="I1717" i="1"/>
  <c r="G1722" i="1"/>
  <c r="I1726" i="1"/>
  <c r="H1731" i="1"/>
  <c r="F1736" i="1"/>
  <c r="H1740" i="1"/>
  <c r="F1745" i="1"/>
  <c r="I1749" i="1"/>
  <c r="I1757" i="1"/>
  <c r="I1765" i="1"/>
  <c r="I1773" i="1"/>
  <c r="I1781" i="1"/>
  <c r="I1789" i="1"/>
  <c r="I1797" i="1"/>
  <c r="I1805" i="1"/>
  <c r="I1813" i="1"/>
  <c r="I1821" i="1"/>
  <c r="I1829" i="1"/>
  <c r="I1837" i="1"/>
  <c r="H1846" i="1"/>
  <c r="I1855" i="1"/>
  <c r="F1865" i="1"/>
  <c r="F1874" i="1"/>
  <c r="G1883" i="1"/>
  <c r="G1892" i="1"/>
  <c r="H1901" i="1"/>
  <c r="H1910" i="1"/>
  <c r="I1919" i="1"/>
  <c r="F1929" i="1"/>
  <c r="F1938" i="1"/>
  <c r="G1947" i="1"/>
  <c r="G1956" i="1"/>
  <c r="H1965" i="1"/>
  <c r="H1974" i="1"/>
  <c r="I1983" i="1"/>
  <c r="F1993" i="1"/>
  <c r="G2002" i="1"/>
  <c r="F2018" i="1"/>
  <c r="H2036" i="1"/>
  <c r="I2054" i="1"/>
  <c r="F2073" i="1"/>
  <c r="G2091" i="1"/>
  <c r="H2109" i="1"/>
  <c r="I2127" i="1"/>
  <c r="F2146" i="1"/>
  <c r="G2177" i="1"/>
  <c r="I2210" i="1"/>
  <c r="H2247" i="1"/>
  <c r="H2285" i="1"/>
  <c r="H2339" i="1"/>
  <c r="G2407" i="1"/>
  <c r="H1462" i="1"/>
  <c r="H1464" i="1"/>
  <c r="H1466" i="1"/>
  <c r="H1468" i="1"/>
  <c r="H1470" i="1"/>
  <c r="H1472" i="1"/>
  <c r="H1474" i="1"/>
  <c r="H1476" i="1"/>
  <c r="H1478" i="1"/>
  <c r="H1480" i="1"/>
  <c r="H1482" i="1"/>
  <c r="H1484" i="1"/>
  <c r="H1486" i="1"/>
  <c r="H1488" i="1"/>
  <c r="H1490" i="1"/>
  <c r="H1492" i="1"/>
  <c r="H1494" i="1"/>
  <c r="H1496" i="1"/>
  <c r="H1498" i="1"/>
  <c r="H1500" i="1"/>
  <c r="H1502" i="1"/>
  <c r="H1504" i="1"/>
  <c r="H1506" i="1"/>
  <c r="H1508" i="1"/>
  <c r="H1510" i="1"/>
  <c r="H1512" i="1"/>
  <c r="H1514" i="1"/>
  <c r="H1516" i="1"/>
  <c r="H1518" i="1"/>
  <c r="H1520" i="1"/>
  <c r="H1522" i="1"/>
  <c r="H1524" i="1"/>
  <c r="H1526" i="1"/>
  <c r="H1528" i="1"/>
  <c r="H1530" i="1"/>
  <c r="H1532" i="1"/>
  <c r="H1534" i="1"/>
  <c r="H1536" i="1"/>
  <c r="H1538" i="1"/>
  <c r="H1540" i="1"/>
  <c r="H1542" i="1"/>
  <c r="H1544" i="1"/>
  <c r="H1546" i="1"/>
  <c r="H1548" i="1"/>
  <c r="H1550" i="1"/>
  <c r="H1552" i="1"/>
  <c r="H1554" i="1"/>
  <c r="H1556" i="1"/>
  <c r="H1558" i="1"/>
  <c r="H1560" i="1"/>
  <c r="H1562" i="1"/>
  <c r="I1564" i="1"/>
  <c r="F1567" i="1"/>
  <c r="G1569" i="1"/>
  <c r="H1571" i="1"/>
  <c r="F1574" i="1"/>
  <c r="G1576" i="1"/>
  <c r="H1578" i="1"/>
  <c r="I1580" i="1"/>
  <c r="F1583" i="1"/>
  <c r="G1585" i="1"/>
  <c r="H1587" i="1"/>
  <c r="F1590" i="1"/>
  <c r="G1592" i="1"/>
  <c r="H1594" i="1"/>
  <c r="I1596" i="1"/>
  <c r="F1599" i="1"/>
  <c r="I1601" i="1"/>
  <c r="G1604" i="1"/>
  <c r="F1607" i="1"/>
  <c r="I1609" i="1"/>
  <c r="G1612" i="1"/>
  <c r="I1614" i="1"/>
  <c r="H1617" i="1"/>
  <c r="F1620" i="1"/>
  <c r="H1622" i="1"/>
  <c r="H1625" i="1"/>
  <c r="F1628" i="1"/>
  <c r="H1630" i="1"/>
  <c r="F1633" i="1"/>
  <c r="I1635" i="1"/>
  <c r="G1638" i="1"/>
  <c r="I1640" i="1"/>
  <c r="I1643" i="1"/>
  <c r="G1646" i="1"/>
  <c r="I1648" i="1"/>
  <c r="H1651" i="1"/>
  <c r="F1654" i="1"/>
  <c r="H1656" i="1"/>
  <c r="F1659" i="1"/>
  <c r="F1662" i="1"/>
  <c r="F1665" i="1"/>
  <c r="I1668" i="1"/>
  <c r="G1672" i="1"/>
  <c r="G1676" i="1"/>
  <c r="I1679" i="1"/>
  <c r="H1683" i="1"/>
  <c r="F1688" i="1"/>
  <c r="H1692" i="1"/>
  <c r="F1697" i="1"/>
  <c r="I1701" i="1"/>
  <c r="G1706" i="1"/>
  <c r="I1710" i="1"/>
  <c r="H1715" i="1"/>
  <c r="F1720" i="1"/>
  <c r="H1724" i="1"/>
  <c r="F1729" i="1"/>
  <c r="I1733" i="1"/>
  <c r="G1738" i="1"/>
  <c r="I1742" i="1"/>
  <c r="H1747" i="1"/>
  <c r="I1753" i="1"/>
  <c r="I1761" i="1"/>
  <c r="I1769" i="1"/>
  <c r="I1777" i="1"/>
  <c r="I1785" i="1"/>
  <c r="I1793" i="1"/>
  <c r="I1801" i="1"/>
  <c r="I1809" i="1"/>
  <c r="I1817" i="1"/>
  <c r="I1825" i="1"/>
  <c r="I1833" i="1"/>
  <c r="F1842" i="1"/>
  <c r="G1851" i="1"/>
  <c r="G1860" i="1"/>
  <c r="H1869" i="1"/>
  <c r="H1878" i="1"/>
  <c r="I1887" i="1"/>
  <c r="F1897" i="1"/>
  <c r="F1906" i="1"/>
  <c r="G1915" i="1"/>
  <c r="G1924" i="1"/>
  <c r="H1933" i="1"/>
  <c r="H1942" i="1"/>
  <c r="I1951" i="1"/>
  <c r="F1961" i="1"/>
  <c r="F1970" i="1"/>
  <c r="G1979" i="1"/>
  <c r="G1988" i="1"/>
  <c r="H1997" i="1"/>
  <c r="H2009" i="1"/>
  <c r="G2027" i="1"/>
  <c r="H2045" i="1"/>
  <c r="I2063" i="1"/>
  <c r="F2082" i="1"/>
  <c r="H2100" i="1"/>
  <c r="I2118" i="1"/>
  <c r="F2137" i="1"/>
  <c r="G2161" i="1"/>
  <c r="G2193" i="1"/>
  <c r="F2229" i="1"/>
  <c r="I2265" i="1"/>
  <c r="H2307" i="1"/>
  <c r="H2371" i="1"/>
  <c r="I1512" i="1"/>
  <c r="I1514" i="1"/>
  <c r="I1516" i="1"/>
  <c r="I1518" i="1"/>
  <c r="I1520" i="1"/>
  <c r="I1522" i="1"/>
  <c r="I1524" i="1"/>
  <c r="I1526" i="1"/>
  <c r="I1528" i="1"/>
  <c r="I1530" i="1"/>
  <c r="I1532" i="1"/>
  <c r="I1534" i="1"/>
  <c r="I1536" i="1"/>
  <c r="I1538" i="1"/>
  <c r="I1540" i="1"/>
  <c r="I1542" i="1"/>
  <c r="I1544" i="1"/>
  <c r="I1546" i="1"/>
  <c r="I1548" i="1"/>
  <c r="I1550" i="1"/>
  <c r="I1552" i="1"/>
  <c r="I1554" i="1"/>
  <c r="I1556" i="1"/>
  <c r="I1558" i="1"/>
  <c r="I1560" i="1"/>
  <c r="I1562" i="1"/>
  <c r="F1565" i="1"/>
  <c r="G1567" i="1"/>
  <c r="H1569" i="1"/>
  <c r="F1572" i="1"/>
  <c r="G1574" i="1"/>
  <c r="H1576" i="1"/>
  <c r="I1578" i="1"/>
  <c r="F1581" i="1"/>
  <c r="G1583" i="1"/>
  <c r="H1585" i="1"/>
  <c r="F1588" i="1"/>
  <c r="G1590" i="1"/>
  <c r="H1592" i="1"/>
  <c r="I1594" i="1"/>
  <c r="F1597" i="1"/>
  <c r="H1599" i="1"/>
  <c r="F1602" i="1"/>
  <c r="I1604" i="1"/>
  <c r="H1607" i="1"/>
  <c r="F1610" i="1"/>
  <c r="H1612" i="1"/>
  <c r="F1615" i="1"/>
  <c r="I1617" i="1"/>
  <c r="G1620" i="1"/>
  <c r="F1623" i="1"/>
  <c r="I1625" i="1"/>
  <c r="G1628" i="1"/>
  <c r="I1630" i="1"/>
  <c r="H1633" i="1"/>
  <c r="F1636" i="1"/>
  <c r="H1638" i="1"/>
  <c r="H1641" i="1"/>
  <c r="F1644" i="1"/>
  <c r="H1646" i="1"/>
  <c r="F1649" i="1"/>
  <c r="I1651" i="1"/>
  <c r="G1654" i="1"/>
  <c r="I1656" i="1"/>
  <c r="I1659" i="1"/>
  <c r="H1662" i="1"/>
  <c r="H1665" i="1"/>
  <c r="H1669" i="1"/>
  <c r="I1672" i="1"/>
  <c r="H1676" i="1"/>
  <c r="G1680" i="1"/>
  <c r="I1683" i="1"/>
  <c r="G1688" i="1"/>
  <c r="I1692" i="1"/>
  <c r="H1697" i="1"/>
  <c r="F1702" i="1"/>
  <c r="H1706" i="1"/>
  <c r="F1711" i="1"/>
  <c r="I1715" i="1"/>
  <c r="G1720" i="1"/>
  <c r="I1724" i="1"/>
  <c r="H1729" i="1"/>
  <c r="F1734" i="1"/>
  <c r="H1738" i="1"/>
  <c r="F1743" i="1"/>
  <c r="I1747" i="1"/>
  <c r="F1754" i="1"/>
  <c r="F1762" i="1"/>
  <c r="F1770" i="1"/>
  <c r="F1778" i="1"/>
  <c r="F1786" i="1"/>
  <c r="F1794" i="1"/>
  <c r="F1802" i="1"/>
  <c r="F1810" i="1"/>
  <c r="F1818" i="1"/>
  <c r="F1826" i="1"/>
  <c r="F1834" i="1"/>
  <c r="G1842" i="1"/>
  <c r="H1851" i="1"/>
  <c r="H1860" i="1"/>
  <c r="I1869" i="1"/>
  <c r="F1879" i="1"/>
  <c r="F1888" i="1"/>
  <c r="G1897" i="1"/>
  <c r="G1906" i="1"/>
  <c r="H1915" i="1"/>
  <c r="H1924" i="1"/>
  <c r="I1933" i="1"/>
  <c r="F1943" i="1"/>
  <c r="F1952" i="1"/>
  <c r="G1961" i="1"/>
  <c r="G1970" i="1"/>
  <c r="H1979" i="1"/>
  <c r="H1988" i="1"/>
  <c r="I1997" i="1"/>
  <c r="I2009" i="1"/>
  <c r="H2027" i="1"/>
  <c r="I2045" i="1"/>
  <c r="F2064" i="1"/>
  <c r="H2082" i="1"/>
  <c r="I2100" i="1"/>
  <c r="F2119" i="1"/>
  <c r="G2137" i="1"/>
  <c r="H2162" i="1"/>
  <c r="H2194" i="1"/>
  <c r="H2230" i="1"/>
  <c r="F2267" i="1"/>
  <c r="I2309" i="1"/>
  <c r="I2373" i="1"/>
  <c r="F1513" i="1"/>
  <c r="F1515" i="1"/>
  <c r="F1517" i="1"/>
  <c r="F1519" i="1"/>
  <c r="F1521" i="1"/>
  <c r="F1523" i="1"/>
  <c r="F1525" i="1"/>
  <c r="F1527" i="1"/>
  <c r="F1529" i="1"/>
  <c r="F1531" i="1"/>
  <c r="F1533" i="1"/>
  <c r="F1535" i="1"/>
  <c r="F1537" i="1"/>
  <c r="F1539" i="1"/>
  <c r="F1541" i="1"/>
  <c r="F1543" i="1"/>
  <c r="F1545" i="1"/>
  <c r="F1547" i="1"/>
  <c r="F1549" i="1"/>
  <c r="F1551" i="1"/>
  <c r="F1553" i="1"/>
  <c r="F1555" i="1"/>
  <c r="F1557" i="1"/>
  <c r="F1559" i="1"/>
  <c r="F1561" i="1"/>
  <c r="F1563" i="1"/>
  <c r="G1565" i="1"/>
  <c r="H1567" i="1"/>
  <c r="F1570" i="1"/>
  <c r="G1572" i="1"/>
  <c r="H1574" i="1"/>
  <c r="I1576" i="1"/>
  <c r="F1579" i="1"/>
  <c r="G1581" i="1"/>
  <c r="H1583" i="1"/>
  <c r="F1586" i="1"/>
  <c r="G1588" i="1"/>
  <c r="H1590" i="1"/>
  <c r="I1592" i="1"/>
  <c r="F1595" i="1"/>
  <c r="G1597" i="1"/>
  <c r="I1599" i="1"/>
  <c r="H1602" i="1"/>
  <c r="F1605" i="1"/>
  <c r="I1607" i="1"/>
  <c r="G1610" i="1"/>
  <c r="I1612" i="1"/>
  <c r="H1615" i="1"/>
  <c r="F1618" i="1"/>
  <c r="I1620" i="1"/>
  <c r="H1623" i="1"/>
  <c r="F1626" i="1"/>
  <c r="H1628" i="1"/>
  <c r="F1631" i="1"/>
  <c r="I1633" i="1"/>
  <c r="G1636" i="1"/>
  <c r="F1639" i="1"/>
  <c r="I1641" i="1"/>
  <c r="G1644" i="1"/>
  <c r="I1646" i="1"/>
  <c r="H1649" i="1"/>
  <c r="F1652" i="1"/>
  <c r="H1654" i="1"/>
  <c r="H1657" i="1"/>
  <c r="F1660" i="1"/>
  <c r="I1662" i="1"/>
  <c r="F1666" i="1"/>
  <c r="I1669" i="1"/>
  <c r="H1673" i="1"/>
  <c r="I1676" i="1"/>
  <c r="I1680" i="1"/>
  <c r="G1684" i="1"/>
  <c r="I1688" i="1"/>
  <c r="H1693" i="1"/>
  <c r="F1698" i="1"/>
  <c r="H1702" i="1"/>
  <c r="F1707" i="1"/>
  <c r="I1711" i="1"/>
  <c r="G1716" i="1"/>
  <c r="I1720" i="1"/>
  <c r="H1725" i="1"/>
  <c r="F1730" i="1"/>
  <c r="H1734" i="1"/>
  <c r="F1739" i="1"/>
  <c r="I1743" i="1"/>
  <c r="G1748" i="1"/>
  <c r="H1755" i="1"/>
  <c r="H1763" i="1"/>
  <c r="H1771" i="1"/>
  <c r="H1779" i="1"/>
  <c r="H1787" i="1"/>
  <c r="H1795" i="1"/>
  <c r="H1803" i="1"/>
  <c r="H1811" i="1"/>
  <c r="H1819" i="1"/>
  <c r="H1827" i="1"/>
  <c r="H1835" i="1"/>
  <c r="F1844" i="1"/>
  <c r="G1853" i="1"/>
  <c r="G1862" i="1"/>
  <c r="H1871" i="1"/>
  <c r="H1880" i="1"/>
  <c r="I1889" i="1"/>
  <c r="F1899" i="1"/>
  <c r="F1908" i="1"/>
  <c r="G1917" i="1"/>
  <c r="G1926" i="1"/>
  <c r="H1935" i="1"/>
  <c r="H1944" i="1"/>
  <c r="I1953" i="1"/>
  <c r="F1963" i="1"/>
  <c r="F1972" i="1"/>
  <c r="G1981" i="1"/>
  <c r="G1990" i="1"/>
  <c r="H1999" i="1"/>
  <c r="G2013" i="1"/>
  <c r="H2031" i="1"/>
  <c r="I2049" i="1"/>
  <c r="F2068" i="1"/>
  <c r="H2086" i="1"/>
  <c r="I2104" i="1"/>
  <c r="F2123" i="1"/>
  <c r="G2141" i="1"/>
  <c r="F2169" i="1"/>
  <c r="H2201" i="1"/>
  <c r="F2238" i="1"/>
  <c r="H2274" i="1"/>
  <c r="G2322" i="1"/>
  <c r="H2387" i="1"/>
  <c r="I1665" i="1"/>
  <c r="F1668" i="1"/>
  <c r="G1670" i="1"/>
  <c r="H1672" i="1"/>
  <c r="I1674" i="1"/>
  <c r="F1677" i="1"/>
  <c r="H1679" i="1"/>
  <c r="I1681" i="1"/>
  <c r="F1684" i="1"/>
  <c r="G1686" i="1"/>
  <c r="H1688" i="1"/>
  <c r="I1690" i="1"/>
  <c r="F1693" i="1"/>
  <c r="H1695" i="1"/>
  <c r="I1697" i="1"/>
  <c r="F1700" i="1"/>
  <c r="G1702" i="1"/>
  <c r="H1704" i="1"/>
  <c r="I1706" i="1"/>
  <c r="F1709" i="1"/>
  <c r="H1711" i="1"/>
  <c r="I1713" i="1"/>
  <c r="F1716" i="1"/>
  <c r="G1718" i="1"/>
  <c r="H1720" i="1"/>
  <c r="I1722" i="1"/>
  <c r="F1725" i="1"/>
  <c r="H1727" i="1"/>
  <c r="I1729" i="1"/>
  <c r="F1732" i="1"/>
  <c r="G1734" i="1"/>
  <c r="H1736" i="1"/>
  <c r="I1738" i="1"/>
  <c r="F1741" i="1"/>
  <c r="H1743" i="1"/>
  <c r="I1745" i="1"/>
  <c r="F1748" i="1"/>
  <c r="G1750" i="1"/>
  <c r="G1754" i="1"/>
  <c r="G1758" i="1"/>
  <c r="G1762" i="1"/>
  <c r="G1766" i="1"/>
  <c r="G1770" i="1"/>
  <c r="G1774" i="1"/>
  <c r="G1778" i="1"/>
  <c r="G1782" i="1"/>
  <c r="G1786" i="1"/>
  <c r="G1790" i="1"/>
  <c r="G1794" i="1"/>
  <c r="G1798" i="1"/>
  <c r="G1802" i="1"/>
  <c r="G1806" i="1"/>
  <c r="G1810" i="1"/>
  <c r="G1814" i="1"/>
  <c r="G1818" i="1"/>
  <c r="G1822" i="1"/>
  <c r="G1826" i="1"/>
  <c r="G1830" i="1"/>
  <c r="G1834" i="1"/>
  <c r="G1838" i="1"/>
  <c r="H1842" i="1"/>
  <c r="G1847" i="1"/>
  <c r="I1851" i="1"/>
  <c r="G1856" i="1"/>
  <c r="F1861" i="1"/>
  <c r="H1865" i="1"/>
  <c r="F1870" i="1"/>
  <c r="H1874" i="1"/>
  <c r="G1879" i="1"/>
  <c r="I1883" i="1"/>
  <c r="G1888" i="1"/>
  <c r="F1893" i="1"/>
  <c r="H1897" i="1"/>
  <c r="F1902" i="1"/>
  <c r="H1906" i="1"/>
  <c r="G1911" i="1"/>
  <c r="I1915" i="1"/>
  <c r="G1920" i="1"/>
  <c r="F1925" i="1"/>
  <c r="H1929" i="1"/>
  <c r="F1934" i="1"/>
  <c r="H1938" i="1"/>
  <c r="G1943" i="1"/>
  <c r="I1947" i="1"/>
  <c r="G1952" i="1"/>
  <c r="F1957" i="1"/>
  <c r="H1961" i="1"/>
  <c r="F1966" i="1"/>
  <c r="H1970" i="1"/>
  <c r="G1975" i="1"/>
  <c r="I1979" i="1"/>
  <c r="G1984" i="1"/>
  <c r="F1989" i="1"/>
  <c r="H1993" i="1"/>
  <c r="F1998" i="1"/>
  <c r="F2003" i="1"/>
  <c r="F2011" i="1"/>
  <c r="I2019" i="1"/>
  <c r="F2029" i="1"/>
  <c r="F2038" i="1"/>
  <c r="G2047" i="1"/>
  <c r="H2056" i="1"/>
  <c r="H2065" i="1"/>
  <c r="I2074" i="1"/>
  <c r="I2083" i="1"/>
  <c r="F2093" i="1"/>
  <c r="F2102" i="1"/>
  <c r="G2111" i="1"/>
  <c r="H2120" i="1"/>
  <c r="H2129" i="1"/>
  <c r="I2138" i="1"/>
  <c r="I2148" i="1"/>
  <c r="I2164" i="1"/>
  <c r="I2180" i="1"/>
  <c r="I2196" i="1"/>
  <c r="I2214" i="1"/>
  <c r="F2233" i="1"/>
  <c r="H2251" i="1"/>
  <c r="I2269" i="1"/>
  <c r="F2290" i="1"/>
  <c r="F2314" i="1"/>
  <c r="F2346" i="1"/>
  <c r="F2378" i="1"/>
  <c r="H2415" i="1"/>
  <c r="I1563" i="1"/>
  <c r="I1565" i="1"/>
  <c r="I1567" i="1"/>
  <c r="I1569" i="1"/>
  <c r="I1571" i="1"/>
  <c r="I1573" i="1"/>
  <c r="I1575" i="1"/>
  <c r="I1577" i="1"/>
  <c r="I1579" i="1"/>
  <c r="I1581" i="1"/>
  <c r="I1583" i="1"/>
  <c r="I1585" i="1"/>
  <c r="I1587" i="1"/>
  <c r="I1589" i="1"/>
  <c r="I1591" i="1"/>
  <c r="I1593" i="1"/>
  <c r="I1595" i="1"/>
  <c r="I1597" i="1"/>
  <c r="F1600" i="1"/>
  <c r="G1602" i="1"/>
  <c r="H1604" i="1"/>
  <c r="I1606" i="1"/>
  <c r="F1609" i="1"/>
  <c r="H1611" i="1"/>
  <c r="I1613" i="1"/>
  <c r="F1616" i="1"/>
  <c r="G1618" i="1"/>
  <c r="H1620" i="1"/>
  <c r="I1622" i="1"/>
  <c r="F1625" i="1"/>
  <c r="H1627" i="1"/>
  <c r="I1629" i="1"/>
  <c r="F1632" i="1"/>
  <c r="G1634" i="1"/>
  <c r="H1636" i="1"/>
  <c r="I1638" i="1"/>
  <c r="F1641" i="1"/>
  <c r="H1643" i="1"/>
  <c r="I1645" i="1"/>
  <c r="F1648" i="1"/>
  <c r="G1650" i="1"/>
  <c r="H1652" i="1"/>
  <c r="I1654" i="1"/>
  <c r="F1657" i="1"/>
  <c r="H1659" i="1"/>
  <c r="I1661" i="1"/>
  <c r="F1664" i="1"/>
  <c r="G1666" i="1"/>
  <c r="H1668" i="1"/>
  <c r="I1670" i="1"/>
  <c r="F1673" i="1"/>
  <c r="H1675" i="1"/>
  <c r="I1677" i="1"/>
  <c r="F1680" i="1"/>
  <c r="G1682" i="1"/>
  <c r="H1684" i="1"/>
  <c r="I1686" i="1"/>
  <c r="F1689" i="1"/>
  <c r="H1691" i="1"/>
  <c r="I1693" i="1"/>
  <c r="F1696" i="1"/>
  <c r="G1698" i="1"/>
  <c r="H1700" i="1"/>
  <c r="I1702" i="1"/>
  <c r="F1705" i="1"/>
  <c r="H1707" i="1"/>
  <c r="I1709" i="1"/>
  <c r="F1712" i="1"/>
  <c r="G1714" i="1"/>
  <c r="H1716" i="1"/>
  <c r="I1718" i="1"/>
  <c r="F1721" i="1"/>
  <c r="H1723" i="1"/>
  <c r="I1725" i="1"/>
  <c r="F1728" i="1"/>
  <c r="G1730" i="1"/>
  <c r="H1732" i="1"/>
  <c r="I1734" i="1"/>
  <c r="F1737" i="1"/>
  <c r="H1739" i="1"/>
  <c r="I1741" i="1"/>
  <c r="F1744" i="1"/>
  <c r="G1746" i="1"/>
  <c r="H1748" i="1"/>
  <c r="I1751" i="1"/>
  <c r="I1755" i="1"/>
  <c r="I1759" i="1"/>
  <c r="I1763" i="1"/>
  <c r="I1767" i="1"/>
  <c r="I1771" i="1"/>
  <c r="I1775" i="1"/>
  <c r="I1779" i="1"/>
  <c r="I1783" i="1"/>
  <c r="I1787" i="1"/>
  <c r="I1791" i="1"/>
  <c r="I1795" i="1"/>
  <c r="I1799" i="1"/>
  <c r="I1803" i="1"/>
  <c r="I1807" i="1"/>
  <c r="I1811" i="1"/>
  <c r="I1815" i="1"/>
  <c r="I1819" i="1"/>
  <c r="I1823" i="1"/>
  <c r="I1827" i="1"/>
  <c r="I1831" i="1"/>
  <c r="I1835" i="1"/>
  <c r="I1839" i="1"/>
  <c r="G1844" i="1"/>
  <c r="F1849" i="1"/>
  <c r="H1853" i="1"/>
  <c r="F1858" i="1"/>
  <c r="H1862" i="1"/>
  <c r="G1867" i="1"/>
  <c r="I1871" i="1"/>
  <c r="G1876" i="1"/>
  <c r="F1881" i="1"/>
  <c r="H1885" i="1"/>
  <c r="F1890" i="1"/>
  <c r="H1894" i="1"/>
  <c r="G1899" i="1"/>
  <c r="I1903" i="1"/>
  <c r="G1908" i="1"/>
  <c r="F1913" i="1"/>
  <c r="H1917" i="1"/>
  <c r="F1922" i="1"/>
  <c r="H1926" i="1"/>
  <c r="G1931" i="1"/>
  <c r="I1935" i="1"/>
  <c r="G1940" i="1"/>
  <c r="F1945" i="1"/>
  <c r="H1949" i="1"/>
  <c r="F1954" i="1"/>
  <c r="H1958" i="1"/>
  <c r="G1963" i="1"/>
  <c r="I1967" i="1"/>
  <c r="G1972" i="1"/>
  <c r="F1977" i="1"/>
  <c r="H1981" i="1"/>
  <c r="F1986" i="1"/>
  <c r="H1990" i="1"/>
  <c r="G1995" i="1"/>
  <c r="I1999" i="1"/>
  <c r="H2005" i="1"/>
  <c r="H2013" i="1"/>
  <c r="I2022" i="1"/>
  <c r="I2031" i="1"/>
  <c r="F2041" i="1"/>
  <c r="F2050" i="1"/>
  <c r="G2059" i="1"/>
  <c r="H2068" i="1"/>
  <c r="H2077" i="1"/>
  <c r="I2086" i="1"/>
  <c r="I2095" i="1"/>
  <c r="F2105" i="1"/>
  <c r="F2114" i="1"/>
  <c r="G2123" i="1"/>
  <c r="H2132" i="1"/>
  <c r="H2141" i="1"/>
  <c r="G2153" i="1"/>
  <c r="G2169" i="1"/>
  <c r="G2185" i="1"/>
  <c r="I2201" i="1"/>
  <c r="F2220" i="1"/>
  <c r="G2238" i="1"/>
  <c r="H2256" i="1"/>
  <c r="I2274" i="1"/>
  <c r="F2296" i="1"/>
  <c r="H2323" i="1"/>
  <c r="H2355" i="1"/>
  <c r="I2388" i="1"/>
  <c r="F2428" i="1"/>
  <c r="I1684" i="1"/>
  <c r="F1687" i="1"/>
  <c r="H1689" i="1"/>
  <c r="I1691" i="1"/>
  <c r="F1694" i="1"/>
  <c r="G1696" i="1"/>
  <c r="H1698" i="1"/>
  <c r="I1700" i="1"/>
  <c r="F1703" i="1"/>
  <c r="H1705" i="1"/>
  <c r="I1707" i="1"/>
  <c r="F1710" i="1"/>
  <c r="G1712" i="1"/>
  <c r="H1714" i="1"/>
  <c r="I1716" i="1"/>
  <c r="F1719" i="1"/>
  <c r="H1721" i="1"/>
  <c r="I1723" i="1"/>
  <c r="F1726" i="1"/>
  <c r="G1728" i="1"/>
  <c r="H1730" i="1"/>
  <c r="I1732" i="1"/>
  <c r="F1735" i="1"/>
  <c r="H1737" i="1"/>
  <c r="I1739" i="1"/>
  <c r="F1742" i="1"/>
  <c r="G1744" i="1"/>
  <c r="H1746" i="1"/>
  <c r="I1748" i="1"/>
  <c r="F1752" i="1"/>
  <c r="F1756" i="1"/>
  <c r="F1760" i="1"/>
  <c r="F1764" i="1"/>
  <c r="F1768" i="1"/>
  <c r="F1772" i="1"/>
  <c r="F1776" i="1"/>
  <c r="F1780" i="1"/>
  <c r="F1784" i="1"/>
  <c r="F1788" i="1"/>
  <c r="F1792" i="1"/>
  <c r="F1796" i="1"/>
  <c r="F1800" i="1"/>
  <c r="F1804" i="1"/>
  <c r="F1808" i="1"/>
  <c r="F1812" i="1"/>
  <c r="F1816" i="1"/>
  <c r="F1820" i="1"/>
  <c r="F1824" i="1"/>
  <c r="F1828" i="1"/>
  <c r="F1832" i="1"/>
  <c r="F1836" i="1"/>
  <c r="F1840" i="1"/>
  <c r="H1844" i="1"/>
  <c r="G1849" i="1"/>
  <c r="I1853" i="1"/>
  <c r="G1858" i="1"/>
  <c r="F1863" i="1"/>
  <c r="H1867" i="1"/>
  <c r="F1872" i="1"/>
  <c r="H1876" i="1"/>
  <c r="G1881" i="1"/>
  <c r="I1885" i="1"/>
  <c r="G1890" i="1"/>
  <c r="F1895" i="1"/>
  <c r="H1899" i="1"/>
  <c r="F1904" i="1"/>
  <c r="H1908" i="1"/>
  <c r="G1913" i="1"/>
  <c r="I1917" i="1"/>
  <c r="G1922" i="1"/>
  <c r="F1927" i="1"/>
  <c r="H1931" i="1"/>
  <c r="F1936" i="1"/>
  <c r="H1940" i="1"/>
  <c r="G1945" i="1"/>
  <c r="I1949" i="1"/>
  <c r="G1954" i="1"/>
  <c r="F1959" i="1"/>
  <c r="H1963" i="1"/>
  <c r="F1968" i="1"/>
  <c r="H1972" i="1"/>
  <c r="G1977" i="1"/>
  <c r="I1981" i="1"/>
  <c r="G1986" i="1"/>
  <c r="F1991" i="1"/>
  <c r="H1995" i="1"/>
  <c r="F2000" i="1"/>
  <c r="I2005" i="1"/>
  <c r="I2013" i="1"/>
  <c r="F2023" i="1"/>
  <c r="F2032" i="1"/>
  <c r="G2041" i="1"/>
  <c r="H2050" i="1"/>
  <c r="H2059" i="1"/>
  <c r="I2068" i="1"/>
  <c r="I2077" i="1"/>
  <c r="F2087" i="1"/>
  <c r="F2096" i="1"/>
  <c r="G2105" i="1"/>
  <c r="H2114" i="1"/>
  <c r="H2123" i="1"/>
  <c r="I2132" i="1"/>
  <c r="I2141" i="1"/>
  <c r="H2154" i="1"/>
  <c r="H2170" i="1"/>
  <c r="H2186" i="1"/>
  <c r="F2203" i="1"/>
  <c r="H2221" i="1"/>
  <c r="I2239" i="1"/>
  <c r="F2258" i="1"/>
  <c r="G2276" i="1"/>
  <c r="I2297" i="1"/>
  <c r="I2325" i="1"/>
  <c r="I2357" i="1"/>
  <c r="H2391" i="1"/>
  <c r="G1662" i="1"/>
  <c r="H1664" i="1"/>
  <c r="I1666" i="1"/>
  <c r="F1669" i="1"/>
  <c r="H1671" i="1"/>
  <c r="I1673" i="1"/>
  <c r="F1676" i="1"/>
  <c r="G1678" i="1"/>
  <c r="H1680" i="1"/>
  <c r="I1682" i="1"/>
  <c r="F1685" i="1"/>
  <c r="H1687" i="1"/>
  <c r="I1689" i="1"/>
  <c r="F1692" i="1"/>
  <c r="G1694" i="1"/>
  <c r="H1696" i="1"/>
  <c r="I1698" i="1"/>
  <c r="F1701" i="1"/>
  <c r="H1703" i="1"/>
  <c r="I1705" i="1"/>
  <c r="F1708" i="1"/>
  <c r="G1710" i="1"/>
  <c r="H1712" i="1"/>
  <c r="I1714" i="1"/>
  <c r="F1717" i="1"/>
  <c r="H1719" i="1"/>
  <c r="I1721" i="1"/>
  <c r="F1724" i="1"/>
  <c r="G1726" i="1"/>
  <c r="H1728" i="1"/>
  <c r="I1730" i="1"/>
  <c r="F1733" i="1"/>
  <c r="H1735" i="1"/>
  <c r="I1737" i="1"/>
  <c r="F1740" i="1"/>
  <c r="G1742" i="1"/>
  <c r="H1744" i="1"/>
  <c r="I1746" i="1"/>
  <c r="F1749" i="1"/>
  <c r="G1752" i="1"/>
  <c r="G1756" i="1"/>
  <c r="G1760" i="1"/>
  <c r="G1764" i="1"/>
  <c r="G1768" i="1"/>
  <c r="G1772" i="1"/>
  <c r="G1776" i="1"/>
  <c r="G1780" i="1"/>
  <c r="G1784" i="1"/>
  <c r="G1788" i="1"/>
  <c r="G1792" i="1"/>
  <c r="G1796" i="1"/>
  <c r="G1800" i="1"/>
  <c r="G1804" i="1"/>
  <c r="G1808" i="1"/>
  <c r="G1812" i="1"/>
  <c r="G1816" i="1"/>
  <c r="G1820" i="1"/>
  <c r="G1824" i="1"/>
  <c r="G1828" i="1"/>
  <c r="G1832" i="1"/>
  <c r="G1836" i="1"/>
  <c r="G1840" i="1"/>
  <c r="F1845" i="1"/>
  <c r="H1849" i="1"/>
  <c r="F1854" i="1"/>
  <c r="H1858" i="1"/>
  <c r="G1863" i="1"/>
  <c r="I1867" i="1"/>
  <c r="G1872" i="1"/>
  <c r="F1877" i="1"/>
  <c r="H1881" i="1"/>
  <c r="F1886" i="1"/>
  <c r="H1890" i="1"/>
  <c r="G1895" i="1"/>
  <c r="I1899" i="1"/>
  <c r="G1904" i="1"/>
  <c r="F1909" i="1"/>
  <c r="H1913" i="1"/>
  <c r="F1918" i="1"/>
  <c r="H1922" i="1"/>
  <c r="G1927" i="1"/>
  <c r="I1931" i="1"/>
  <c r="G1936" i="1"/>
  <c r="F1941" i="1"/>
  <c r="H1945" i="1"/>
  <c r="F1950" i="1"/>
  <c r="H1954" i="1"/>
  <c r="G1959" i="1"/>
  <c r="I1963" i="1"/>
  <c r="G1968" i="1"/>
  <c r="F1973" i="1"/>
  <c r="H1977" i="1"/>
  <c r="F1982" i="1"/>
  <c r="H1986" i="1"/>
  <c r="G1991" i="1"/>
  <c r="I1995" i="1"/>
  <c r="G2000" i="1"/>
  <c r="F2007" i="1"/>
  <c r="G2015" i="1"/>
  <c r="H2024" i="1"/>
  <c r="H2033" i="1"/>
  <c r="I2042" i="1"/>
  <c r="I2051" i="1"/>
  <c r="F2061" i="1"/>
  <c r="F2070" i="1"/>
  <c r="G2079" i="1"/>
  <c r="H2088" i="1"/>
  <c r="H2097" i="1"/>
  <c r="I2106" i="1"/>
  <c r="I2115" i="1"/>
  <c r="F2125" i="1"/>
  <c r="F2134" i="1"/>
  <c r="G2143" i="1"/>
  <c r="I2156" i="1"/>
  <c r="I2172" i="1"/>
  <c r="I2188" i="1"/>
  <c r="I2205" i="1"/>
  <c r="F2224" i="1"/>
  <c r="G2242" i="1"/>
  <c r="H2260" i="1"/>
  <c r="H2279" i="1"/>
  <c r="H2300" i="1"/>
  <c r="F2330" i="1"/>
  <c r="F2362" i="1"/>
  <c r="G2396" i="1"/>
  <c r="G1599" i="1"/>
  <c r="G1601" i="1"/>
  <c r="G1603" i="1"/>
  <c r="G1605" i="1"/>
  <c r="G1607" i="1"/>
  <c r="G1609" i="1"/>
  <c r="G1611" i="1"/>
  <c r="G1613" i="1"/>
  <c r="G1615" i="1"/>
  <c r="G1617" i="1"/>
  <c r="G1619" i="1"/>
  <c r="G1621" i="1"/>
  <c r="G1623" i="1"/>
  <c r="G1625" i="1"/>
  <c r="G1627" i="1"/>
  <c r="G1629" i="1"/>
  <c r="G1631" i="1"/>
  <c r="G1633" i="1"/>
  <c r="G1635" i="1"/>
  <c r="G1637" i="1"/>
  <c r="G1639" i="1"/>
  <c r="G1641" i="1"/>
  <c r="G1643" i="1"/>
  <c r="G1645" i="1"/>
  <c r="G1647" i="1"/>
  <c r="G1649" i="1"/>
  <c r="G1651" i="1"/>
  <c r="G1653" i="1"/>
  <c r="G1655" i="1"/>
  <c r="G1657" i="1"/>
  <c r="G1659" i="1"/>
  <c r="G1661" i="1"/>
  <c r="G1663" i="1"/>
  <c r="G1665" i="1"/>
  <c r="G1667" i="1"/>
  <c r="G1669" i="1"/>
  <c r="G1671" i="1"/>
  <c r="G1673" i="1"/>
  <c r="G1675" i="1"/>
  <c r="G1677" i="1"/>
  <c r="G1679" i="1"/>
  <c r="G1681" i="1"/>
  <c r="G1683" i="1"/>
  <c r="G1685" i="1"/>
  <c r="G1687" i="1"/>
  <c r="G1689" i="1"/>
  <c r="G1691" i="1"/>
  <c r="G1693" i="1"/>
  <c r="G1695" i="1"/>
  <c r="G1697" i="1"/>
  <c r="G1699" i="1"/>
  <c r="G1701" i="1"/>
  <c r="G1703" i="1"/>
  <c r="G1705" i="1"/>
  <c r="G1707" i="1"/>
  <c r="G1709" i="1"/>
  <c r="G1711" i="1"/>
  <c r="G1713" i="1"/>
  <c r="G1715" i="1"/>
  <c r="G1717" i="1"/>
  <c r="G1719" i="1"/>
  <c r="G1721" i="1"/>
  <c r="G1723" i="1"/>
  <c r="G1725" i="1"/>
  <c r="G1727" i="1"/>
  <c r="G1729" i="1"/>
  <c r="G1731" i="1"/>
  <c r="G1733" i="1"/>
  <c r="G1735" i="1"/>
  <c r="G1737" i="1"/>
  <c r="G1739" i="1"/>
  <c r="G1741" i="1"/>
  <c r="G1743" i="1"/>
  <c r="G1745" i="1"/>
  <c r="G1747" i="1"/>
  <c r="G1749" i="1"/>
  <c r="G1751" i="1"/>
  <c r="G1753" i="1"/>
  <c r="G1755" i="1"/>
  <c r="G1757" i="1"/>
  <c r="G1759" i="1"/>
  <c r="G1761" i="1"/>
  <c r="G1763" i="1"/>
  <c r="G1765" i="1"/>
  <c r="G1767" i="1"/>
  <c r="G1769" i="1"/>
  <c r="G1771" i="1"/>
  <c r="G1773" i="1"/>
  <c r="G1775" i="1"/>
  <c r="G1777" i="1"/>
  <c r="G1779" i="1"/>
  <c r="G1781" i="1"/>
  <c r="G1783" i="1"/>
  <c r="G1785" i="1"/>
  <c r="G1787" i="1"/>
  <c r="G1789" i="1"/>
  <c r="G1791" i="1"/>
  <c r="G1793" i="1"/>
  <c r="G1795" i="1"/>
  <c r="G1797" i="1"/>
  <c r="G1799" i="1"/>
  <c r="G1801" i="1"/>
  <c r="G1803" i="1"/>
  <c r="G1805" i="1"/>
  <c r="G1807" i="1"/>
  <c r="G1809" i="1"/>
  <c r="G1811" i="1"/>
  <c r="G1813" i="1"/>
  <c r="G1815" i="1"/>
  <c r="G1817" i="1"/>
  <c r="G1819" i="1"/>
  <c r="G1821" i="1"/>
  <c r="G1823" i="1"/>
  <c r="G1825" i="1"/>
  <c r="G1827" i="1"/>
  <c r="G1829" i="1"/>
  <c r="G1831" i="1"/>
  <c r="G1833" i="1"/>
  <c r="G1835" i="1"/>
  <c r="G1837" i="1"/>
  <c r="G1839" i="1"/>
  <c r="H1841" i="1"/>
  <c r="I1843" i="1"/>
  <c r="F1846" i="1"/>
  <c r="G1848" i="1"/>
  <c r="H1850" i="1"/>
  <c r="F1853" i="1"/>
  <c r="G1855" i="1"/>
  <c r="H1857" i="1"/>
  <c r="I1859" i="1"/>
  <c r="F1862" i="1"/>
  <c r="G1864" i="1"/>
  <c r="H1866" i="1"/>
  <c r="F1869" i="1"/>
  <c r="G1871" i="1"/>
  <c r="H1873" i="1"/>
  <c r="I1875" i="1"/>
  <c r="F1878" i="1"/>
  <c r="G1880" i="1"/>
  <c r="H1882" i="1"/>
  <c r="F1885" i="1"/>
  <c r="G1887" i="1"/>
  <c r="H1889" i="1"/>
  <c r="I1891" i="1"/>
  <c r="F1894" i="1"/>
  <c r="G1896" i="1"/>
  <c r="H1898" i="1"/>
  <c r="F1901" i="1"/>
  <c r="G1903" i="1"/>
  <c r="H1905" i="1"/>
  <c r="I1907" i="1"/>
  <c r="F1910" i="1"/>
  <c r="G1912" i="1"/>
  <c r="H1914" i="1"/>
  <c r="F1917" i="1"/>
  <c r="G1919" i="1"/>
  <c r="H1921" i="1"/>
  <c r="I1923" i="1"/>
  <c r="F1926" i="1"/>
  <c r="G1928" i="1"/>
  <c r="H1930" i="1"/>
  <c r="F1933" i="1"/>
  <c r="G1935" i="1"/>
  <c r="H1937" i="1"/>
  <c r="I1939" i="1"/>
  <c r="F1942" i="1"/>
  <c r="G1944" i="1"/>
  <c r="H1946" i="1"/>
  <c r="F1949" i="1"/>
  <c r="G1951" i="1"/>
  <c r="H1953" i="1"/>
  <c r="I1955" i="1"/>
  <c r="F1958" i="1"/>
  <c r="G1960" i="1"/>
  <c r="H1962" i="1"/>
  <c r="F1965" i="1"/>
  <c r="G1967" i="1"/>
  <c r="H1969" i="1"/>
  <c r="I1971" i="1"/>
  <c r="F1974" i="1"/>
  <c r="G1976" i="1"/>
  <c r="H1978" i="1"/>
  <c r="F1981" i="1"/>
  <c r="G1983" i="1"/>
  <c r="H1985" i="1"/>
  <c r="I1987" i="1"/>
  <c r="F1990" i="1"/>
  <c r="G1992" i="1"/>
  <c r="H1994" i="1"/>
  <c r="F1997" i="1"/>
  <c r="G1999" i="1"/>
  <c r="H2001" i="1"/>
  <c r="F2005" i="1"/>
  <c r="F2009" i="1"/>
  <c r="F2013" i="1"/>
  <c r="H2017" i="1"/>
  <c r="F2022" i="1"/>
  <c r="I2026" i="1"/>
  <c r="G2031" i="1"/>
  <c r="I2035" i="1"/>
  <c r="H2040" i="1"/>
  <c r="F2045" i="1"/>
  <c r="H2049" i="1"/>
  <c r="F2054" i="1"/>
  <c r="I2058" i="1"/>
  <c r="G2063" i="1"/>
  <c r="I2067" i="1"/>
  <c r="H2072" i="1"/>
  <c r="F2077" i="1"/>
  <c r="H2081" i="1"/>
  <c r="F2086" i="1"/>
  <c r="I2090" i="1"/>
  <c r="G2095" i="1"/>
  <c r="I2099" i="1"/>
  <c r="H2104" i="1"/>
  <c r="F2109" i="1"/>
  <c r="H2113" i="1"/>
  <c r="F2118" i="1"/>
  <c r="I2122" i="1"/>
  <c r="G2127" i="1"/>
  <c r="I2131" i="1"/>
  <c r="H2136" i="1"/>
  <c r="F2141" i="1"/>
  <c r="H2145" i="1"/>
  <c r="I2152" i="1"/>
  <c r="I2160" i="1"/>
  <c r="I2168" i="1"/>
  <c r="I2176" i="1"/>
  <c r="I2184" i="1"/>
  <c r="I2192" i="1"/>
  <c r="F2201" i="1"/>
  <c r="G2210" i="1"/>
  <c r="H2219" i="1"/>
  <c r="H2228" i="1"/>
  <c r="I2237" i="1"/>
  <c r="I2246" i="1"/>
  <c r="F2256" i="1"/>
  <c r="F2265" i="1"/>
  <c r="G2274" i="1"/>
  <c r="H2284" i="1"/>
  <c r="H2295" i="1"/>
  <c r="F2306" i="1"/>
  <c r="F2322" i="1"/>
  <c r="F2338" i="1"/>
  <c r="F2354" i="1"/>
  <c r="F2370" i="1"/>
  <c r="G2387" i="1"/>
  <c r="H2405" i="1"/>
  <c r="F2426" i="1"/>
  <c r="H1750" i="1"/>
  <c r="H1752" i="1"/>
  <c r="H1754" i="1"/>
  <c r="H1756" i="1"/>
  <c r="H1758" i="1"/>
  <c r="H1760" i="1"/>
  <c r="H1762" i="1"/>
  <c r="H1764" i="1"/>
  <c r="H1766" i="1"/>
  <c r="H1768" i="1"/>
  <c r="H1770" i="1"/>
  <c r="H1772" i="1"/>
  <c r="H1774" i="1"/>
  <c r="H1776" i="1"/>
  <c r="H1778" i="1"/>
  <c r="H1780" i="1"/>
  <c r="H1782" i="1"/>
  <c r="H1784" i="1"/>
  <c r="H1786" i="1"/>
  <c r="H1788" i="1"/>
  <c r="H1790" i="1"/>
  <c r="H1792" i="1"/>
  <c r="H1794" i="1"/>
  <c r="H1796" i="1"/>
  <c r="H1798" i="1"/>
  <c r="H1800" i="1"/>
  <c r="H1802" i="1"/>
  <c r="H1804" i="1"/>
  <c r="H1806" i="1"/>
  <c r="H1808" i="1"/>
  <c r="H1810" i="1"/>
  <c r="H1812" i="1"/>
  <c r="H1814" i="1"/>
  <c r="H1816" i="1"/>
  <c r="H1818" i="1"/>
  <c r="H1820" i="1"/>
  <c r="H1822" i="1"/>
  <c r="H1824" i="1"/>
  <c r="H1826" i="1"/>
  <c r="H1828" i="1"/>
  <c r="H1830" i="1"/>
  <c r="H1832" i="1"/>
  <c r="H1834" i="1"/>
  <c r="H1836" i="1"/>
  <c r="H1838" i="1"/>
  <c r="H1840" i="1"/>
  <c r="F1843" i="1"/>
  <c r="G1845" i="1"/>
  <c r="H1847" i="1"/>
  <c r="I1849" i="1"/>
  <c r="F1852" i="1"/>
  <c r="G1854" i="1"/>
  <c r="H1856" i="1"/>
  <c r="F1859" i="1"/>
  <c r="G1861" i="1"/>
  <c r="H1863" i="1"/>
  <c r="I1865" i="1"/>
  <c r="F1868" i="1"/>
  <c r="G1870" i="1"/>
  <c r="H1872" i="1"/>
  <c r="F1875" i="1"/>
  <c r="G1877" i="1"/>
  <c r="H1879" i="1"/>
  <c r="I1881" i="1"/>
  <c r="F1884" i="1"/>
  <c r="G1886" i="1"/>
  <c r="H1888" i="1"/>
  <c r="F1891" i="1"/>
  <c r="G1893" i="1"/>
  <c r="H1895" i="1"/>
  <c r="I1897" i="1"/>
  <c r="F1900" i="1"/>
  <c r="G1902" i="1"/>
  <c r="H1904" i="1"/>
  <c r="F1907" i="1"/>
  <c r="G1909" i="1"/>
  <c r="H1911" i="1"/>
  <c r="I1913" i="1"/>
  <c r="F1916" i="1"/>
  <c r="G1918" i="1"/>
  <c r="H1920" i="1"/>
  <c r="F1923" i="1"/>
  <c r="G1925" i="1"/>
  <c r="H1927" i="1"/>
  <c r="I1929" i="1"/>
  <c r="F1932" i="1"/>
  <c r="G1934" i="1"/>
  <c r="H1936" i="1"/>
  <c r="F1939" i="1"/>
  <c r="G1941" i="1"/>
  <c r="H1943" i="1"/>
  <c r="I1945" i="1"/>
  <c r="F1948" i="1"/>
  <c r="G1950" i="1"/>
  <c r="H1952" i="1"/>
  <c r="F1955" i="1"/>
  <c r="G1957" i="1"/>
  <c r="H1959" i="1"/>
  <c r="I1961" i="1"/>
  <c r="F1964" i="1"/>
  <c r="G1966" i="1"/>
  <c r="H1968" i="1"/>
  <c r="F1971" i="1"/>
  <c r="G1973" i="1"/>
  <c r="H1975" i="1"/>
  <c r="I1977" i="1"/>
  <c r="F1980" i="1"/>
  <c r="G1982" i="1"/>
  <c r="H1984" i="1"/>
  <c r="F1987" i="1"/>
  <c r="G1989" i="1"/>
  <c r="H1991" i="1"/>
  <c r="I1993" i="1"/>
  <c r="F1996" i="1"/>
  <c r="G1998" i="1"/>
  <c r="H2000" i="1"/>
  <c r="G2003" i="1"/>
  <c r="G2007" i="1"/>
  <c r="G2011" i="1"/>
  <c r="H2015" i="1"/>
  <c r="F2020" i="1"/>
  <c r="I2024" i="1"/>
  <c r="G2029" i="1"/>
  <c r="I2033" i="1"/>
  <c r="H2038" i="1"/>
  <c r="F2043" i="1"/>
  <c r="H2047" i="1"/>
  <c r="F2052" i="1"/>
  <c r="I2056" i="1"/>
  <c r="G2061" i="1"/>
  <c r="I2065" i="1"/>
  <c r="H2070" i="1"/>
  <c r="F2075" i="1"/>
  <c r="H2079" i="1"/>
  <c r="F2084" i="1"/>
  <c r="I2088" i="1"/>
  <c r="G2093" i="1"/>
  <c r="I2097" i="1"/>
  <c r="H2102" i="1"/>
  <c r="F2107" i="1"/>
  <c r="H2111" i="1"/>
  <c r="F2116" i="1"/>
  <c r="I2120" i="1"/>
  <c r="G2125" i="1"/>
  <c r="I2129" i="1"/>
  <c r="H2134" i="1"/>
  <c r="F2139" i="1"/>
  <c r="H2143" i="1"/>
  <c r="F2149" i="1"/>
  <c r="F2157" i="1"/>
  <c r="F2165" i="1"/>
  <c r="F2173" i="1"/>
  <c r="F2181" i="1"/>
  <c r="F2189" i="1"/>
  <c r="F2197" i="1"/>
  <c r="F2206" i="1"/>
  <c r="F2215" i="1"/>
  <c r="G2224" i="1"/>
  <c r="H2233" i="1"/>
  <c r="H2242" i="1"/>
  <c r="I2251" i="1"/>
  <c r="I2260" i="1"/>
  <c r="F2270" i="1"/>
  <c r="I2279" i="1"/>
  <c r="G2290" i="1"/>
  <c r="I2300" i="1"/>
  <c r="G2314" i="1"/>
  <c r="G2330" i="1"/>
  <c r="G2346" i="1"/>
  <c r="G2362" i="1"/>
  <c r="G2378" i="1"/>
  <c r="H2396" i="1"/>
  <c r="I2415" i="1"/>
  <c r="I1750" i="1"/>
  <c r="I1752" i="1"/>
  <c r="I1754" i="1"/>
  <c r="I1756" i="1"/>
  <c r="I1758" i="1"/>
  <c r="I1760" i="1"/>
  <c r="I1762" i="1"/>
  <c r="I1764" i="1"/>
  <c r="I1766" i="1"/>
  <c r="I1768" i="1"/>
  <c r="I1770" i="1"/>
  <c r="I1772" i="1"/>
  <c r="I1774" i="1"/>
  <c r="I1776" i="1"/>
  <c r="I1778" i="1"/>
  <c r="I1780" i="1"/>
  <c r="I1782" i="1"/>
  <c r="I1784" i="1"/>
  <c r="I1786" i="1"/>
  <c r="I1788" i="1"/>
  <c r="I1790" i="1"/>
  <c r="I1792" i="1"/>
  <c r="I1794" i="1"/>
  <c r="I1796" i="1"/>
  <c r="I1798" i="1"/>
  <c r="I1800" i="1"/>
  <c r="I1802" i="1"/>
  <c r="I1804" i="1"/>
  <c r="I1806" i="1"/>
  <c r="I1808" i="1"/>
  <c r="I1810" i="1"/>
  <c r="I1812" i="1"/>
  <c r="I1814" i="1"/>
  <c r="I1816" i="1"/>
  <c r="I1818" i="1"/>
  <c r="I1820" i="1"/>
  <c r="I1822" i="1"/>
  <c r="I1824" i="1"/>
  <c r="I1826" i="1"/>
  <c r="I1828" i="1"/>
  <c r="I1830" i="1"/>
  <c r="I1832" i="1"/>
  <c r="I1834" i="1"/>
  <c r="I1836" i="1"/>
  <c r="I1838" i="1"/>
  <c r="F1841" i="1"/>
  <c r="G1843" i="1"/>
  <c r="H1845" i="1"/>
  <c r="I1847" i="1"/>
  <c r="F1850" i="1"/>
  <c r="G1852" i="1"/>
  <c r="H1854" i="1"/>
  <c r="F1857" i="1"/>
  <c r="G1859" i="1"/>
  <c r="H1861" i="1"/>
  <c r="I1863" i="1"/>
  <c r="F1866" i="1"/>
  <c r="G1868" i="1"/>
  <c r="H1870" i="1"/>
  <c r="F1873" i="1"/>
  <c r="G1875" i="1"/>
  <c r="H1877" i="1"/>
  <c r="I1879" i="1"/>
  <c r="F1882" i="1"/>
  <c r="G1884" i="1"/>
  <c r="H1886" i="1"/>
  <c r="F1889" i="1"/>
  <c r="G1891" i="1"/>
  <c r="H1893" i="1"/>
  <c r="I1895" i="1"/>
  <c r="F1898" i="1"/>
  <c r="G1900" i="1"/>
  <c r="H1902" i="1"/>
  <c r="F1905" i="1"/>
  <c r="G1907" i="1"/>
  <c r="H1909" i="1"/>
  <c r="I1911" i="1"/>
  <c r="F1914" i="1"/>
  <c r="G1916" i="1"/>
  <c r="H1918" i="1"/>
  <c r="F1921" i="1"/>
  <c r="G1923" i="1"/>
  <c r="H1925" i="1"/>
  <c r="I1927" i="1"/>
  <c r="F1930" i="1"/>
  <c r="G1932" i="1"/>
  <c r="H1934" i="1"/>
  <c r="F1937" i="1"/>
  <c r="G1939" i="1"/>
  <c r="H1941" i="1"/>
  <c r="I1943" i="1"/>
  <c r="F1946" i="1"/>
  <c r="G1948" i="1"/>
  <c r="H1950" i="1"/>
  <c r="F1953" i="1"/>
  <c r="G1955" i="1"/>
  <c r="H1957" i="1"/>
  <c r="I1959" i="1"/>
  <c r="F1962" i="1"/>
  <c r="G1964" i="1"/>
  <c r="H1966" i="1"/>
  <c r="F1969" i="1"/>
  <c r="G1971" i="1"/>
  <c r="H1973" i="1"/>
  <c r="I1975" i="1"/>
  <c r="F1978" i="1"/>
  <c r="G1980" i="1"/>
  <c r="H1982" i="1"/>
  <c r="F1985" i="1"/>
  <c r="G1987" i="1"/>
  <c r="H1989" i="1"/>
  <c r="I1991" i="1"/>
  <c r="F1994" i="1"/>
  <c r="G1996" i="1"/>
  <c r="H1998" i="1"/>
  <c r="F2001" i="1"/>
  <c r="H2003" i="1"/>
  <c r="H2007" i="1"/>
  <c r="H2011" i="1"/>
  <c r="I2015" i="1"/>
  <c r="H2020" i="1"/>
  <c r="F2025" i="1"/>
  <c r="H2029" i="1"/>
  <c r="F2034" i="1"/>
  <c r="I2038" i="1"/>
  <c r="G2043" i="1"/>
  <c r="I2047" i="1"/>
  <c r="H2052" i="1"/>
  <c r="F2057" i="1"/>
  <c r="H2061" i="1"/>
  <c r="F2066" i="1"/>
  <c r="I2070" i="1"/>
  <c r="G2075" i="1"/>
  <c r="I2079" i="1"/>
  <c r="H2084" i="1"/>
  <c r="F2089" i="1"/>
  <c r="H2093" i="1"/>
  <c r="F2098" i="1"/>
  <c r="I2102" i="1"/>
  <c r="G2107" i="1"/>
  <c r="I2111" i="1"/>
  <c r="H2116" i="1"/>
  <c r="F2121" i="1"/>
  <c r="H2125" i="1"/>
  <c r="F2130" i="1"/>
  <c r="I2134" i="1"/>
  <c r="G2139" i="1"/>
  <c r="I2143" i="1"/>
  <c r="G2149" i="1"/>
  <c r="G2157" i="1"/>
  <c r="G2165" i="1"/>
  <c r="G2173" i="1"/>
  <c r="G2181" i="1"/>
  <c r="G2189" i="1"/>
  <c r="G2197" i="1"/>
  <c r="G2206" i="1"/>
  <c r="H2215" i="1"/>
  <c r="H2224" i="1"/>
  <c r="I2233" i="1"/>
  <c r="I2242" i="1"/>
  <c r="F2252" i="1"/>
  <c r="F2261" i="1"/>
  <c r="G2270" i="1"/>
  <c r="F2280" i="1"/>
  <c r="H2290" i="1"/>
  <c r="H2301" i="1"/>
  <c r="H2315" i="1"/>
  <c r="H2331" i="1"/>
  <c r="H2347" i="1"/>
  <c r="H2363" i="1"/>
  <c r="I2379" i="1"/>
  <c r="F2398" i="1"/>
  <c r="H2417" i="1"/>
  <c r="F1751" i="1"/>
  <c r="F1753" i="1"/>
  <c r="F1755" i="1"/>
  <c r="F1757" i="1"/>
  <c r="F1759" i="1"/>
  <c r="F1761" i="1"/>
  <c r="F1763" i="1"/>
  <c r="F1765" i="1"/>
  <c r="F1767" i="1"/>
  <c r="F1769" i="1"/>
  <c r="F1771" i="1"/>
  <c r="F1773" i="1"/>
  <c r="F1775" i="1"/>
  <c r="F1777" i="1"/>
  <c r="F1779" i="1"/>
  <c r="F1781" i="1"/>
  <c r="F1783" i="1"/>
  <c r="F1785" i="1"/>
  <c r="F1787" i="1"/>
  <c r="F1789" i="1"/>
  <c r="F1791" i="1"/>
  <c r="F1793" i="1"/>
  <c r="F1795" i="1"/>
  <c r="F1797" i="1"/>
  <c r="F1799" i="1"/>
  <c r="F1801" i="1"/>
  <c r="F1803" i="1"/>
  <c r="F1805" i="1"/>
  <c r="F1807" i="1"/>
  <c r="F1809" i="1"/>
  <c r="F1811" i="1"/>
  <c r="F1813" i="1"/>
  <c r="F1815" i="1"/>
  <c r="F1817" i="1"/>
  <c r="F1819" i="1"/>
  <c r="F1821" i="1"/>
  <c r="F1823" i="1"/>
  <c r="F1825" i="1"/>
  <c r="F1827" i="1"/>
  <c r="F1829" i="1"/>
  <c r="F1831" i="1"/>
  <c r="F1833" i="1"/>
  <c r="F1835" i="1"/>
  <c r="F1837" i="1"/>
  <c r="F1839" i="1"/>
  <c r="G1841" i="1"/>
  <c r="H1843" i="1"/>
  <c r="I1845" i="1"/>
  <c r="F1848" i="1"/>
  <c r="G1850" i="1"/>
  <c r="H1852" i="1"/>
  <c r="F1855" i="1"/>
  <c r="G1857" i="1"/>
  <c r="H1859" i="1"/>
  <c r="I1861" i="1"/>
  <c r="F1864" i="1"/>
  <c r="G1866" i="1"/>
  <c r="H1868" i="1"/>
  <c r="F1871" i="1"/>
  <c r="G1873" i="1"/>
  <c r="H1875" i="1"/>
  <c r="I1877" i="1"/>
  <c r="F1880" i="1"/>
  <c r="G1882" i="1"/>
  <c r="H1884" i="1"/>
  <c r="F1887" i="1"/>
  <c r="G1889" i="1"/>
  <c r="H1891" i="1"/>
  <c r="I1893" i="1"/>
  <c r="F1896" i="1"/>
  <c r="G1898" i="1"/>
  <c r="H1900" i="1"/>
  <c r="F1903" i="1"/>
  <c r="G1905" i="1"/>
  <c r="H1907" i="1"/>
  <c r="I1909" i="1"/>
  <c r="F1912" i="1"/>
  <c r="G1914" i="1"/>
  <c r="H1916" i="1"/>
  <c r="F1919" i="1"/>
  <c r="G1921" i="1"/>
  <c r="H1923" i="1"/>
  <c r="I1925" i="1"/>
  <c r="F1928" i="1"/>
  <c r="G1930" i="1"/>
  <c r="H1932" i="1"/>
  <c r="F1935" i="1"/>
  <c r="G1937" i="1"/>
  <c r="H1939" i="1"/>
  <c r="I1941" i="1"/>
  <c r="F1944" i="1"/>
  <c r="G1946" i="1"/>
  <c r="H1948" i="1"/>
  <c r="F1951" i="1"/>
  <c r="G1953" i="1"/>
  <c r="H1955" i="1"/>
  <c r="I1957" i="1"/>
  <c r="F1960" i="1"/>
  <c r="G1962" i="1"/>
  <c r="H1964" i="1"/>
  <c r="F1967" i="1"/>
  <c r="G1969" i="1"/>
  <c r="H1971" i="1"/>
  <c r="I1973" i="1"/>
  <c r="F1976" i="1"/>
  <c r="G1978" i="1"/>
  <c r="H1980" i="1"/>
  <c r="F1983" i="1"/>
  <c r="G1985" i="1"/>
  <c r="H1987" i="1"/>
  <c r="I1989" i="1"/>
  <c r="F1992" i="1"/>
  <c r="G1994" i="1"/>
  <c r="H1996" i="1"/>
  <c r="F1999" i="1"/>
  <c r="G2001" i="1"/>
  <c r="I2003" i="1"/>
  <c r="I2007" i="1"/>
  <c r="I2011" i="1"/>
  <c r="F2016" i="1"/>
  <c r="I2020" i="1"/>
  <c r="G2025" i="1"/>
  <c r="I2029" i="1"/>
  <c r="H2034" i="1"/>
  <c r="F2039" i="1"/>
  <c r="H2043" i="1"/>
  <c r="F2048" i="1"/>
  <c r="I2052" i="1"/>
  <c r="G2057" i="1"/>
  <c r="I2061" i="1"/>
  <c r="H2066" i="1"/>
  <c r="F2071" i="1"/>
  <c r="H2075" i="1"/>
  <c r="F2080" i="1"/>
  <c r="I2084" i="1"/>
  <c r="G2089" i="1"/>
  <c r="I2093" i="1"/>
  <c r="H2098" i="1"/>
  <c r="F2103" i="1"/>
  <c r="H2107" i="1"/>
  <c r="F2112" i="1"/>
  <c r="I2116" i="1"/>
  <c r="G2121" i="1"/>
  <c r="I2125" i="1"/>
  <c r="H2130" i="1"/>
  <c r="F2135" i="1"/>
  <c r="H2139" i="1"/>
  <c r="F2144" i="1"/>
  <c r="H2150" i="1"/>
  <c r="H2158" i="1"/>
  <c r="H2166" i="1"/>
  <c r="H2174" i="1"/>
  <c r="H2182" i="1"/>
  <c r="H2190" i="1"/>
  <c r="H2198" i="1"/>
  <c r="I2207" i="1"/>
  <c r="I2216" i="1"/>
  <c r="F2226" i="1"/>
  <c r="F2235" i="1"/>
  <c r="G2244" i="1"/>
  <c r="H2253" i="1"/>
  <c r="H2262" i="1"/>
  <c r="I2271" i="1"/>
  <c r="I2281" i="1"/>
  <c r="G2292" i="1"/>
  <c r="I2302" i="1"/>
  <c r="I2317" i="1"/>
  <c r="I2333" i="1"/>
  <c r="I2349" i="1"/>
  <c r="I2365" i="1"/>
  <c r="G2382" i="1"/>
  <c r="H2400" i="1"/>
  <c r="G2420" i="1"/>
  <c r="I1840" i="1"/>
  <c r="I1842" i="1"/>
  <c r="I1844" i="1"/>
  <c r="I1846" i="1"/>
  <c r="I1848" i="1"/>
  <c r="I1850" i="1"/>
  <c r="I1852" i="1"/>
  <c r="I1854" i="1"/>
  <c r="I1856" i="1"/>
  <c r="I1858" i="1"/>
  <c r="I1860" i="1"/>
  <c r="I1862" i="1"/>
  <c r="I1864" i="1"/>
  <c r="I1866" i="1"/>
  <c r="I1868" i="1"/>
  <c r="I1870" i="1"/>
  <c r="I1872" i="1"/>
  <c r="I1874" i="1"/>
  <c r="I1876" i="1"/>
  <c r="I1878" i="1"/>
  <c r="I1880" i="1"/>
  <c r="I1882" i="1"/>
  <c r="I1884" i="1"/>
  <c r="I1886" i="1"/>
  <c r="I1888" i="1"/>
  <c r="I1890" i="1"/>
  <c r="I1892" i="1"/>
  <c r="I1894" i="1"/>
  <c r="I1896" i="1"/>
  <c r="I1898" i="1"/>
  <c r="I1900" i="1"/>
  <c r="I1902" i="1"/>
  <c r="I1904" i="1"/>
  <c r="I1906" i="1"/>
  <c r="I1908" i="1"/>
  <c r="I1910" i="1"/>
  <c r="I1912" i="1"/>
  <c r="I1914" i="1"/>
  <c r="I1916" i="1"/>
  <c r="I1918" i="1"/>
  <c r="I1920" i="1"/>
  <c r="I1922" i="1"/>
  <c r="I1924" i="1"/>
  <c r="I1926" i="1"/>
  <c r="I1928" i="1"/>
  <c r="I1930" i="1"/>
  <c r="I1932" i="1"/>
  <c r="I1934" i="1"/>
  <c r="I1936" i="1"/>
  <c r="I1938" i="1"/>
  <c r="I1940" i="1"/>
  <c r="I1942" i="1"/>
  <c r="I1944" i="1"/>
  <c r="I1946" i="1"/>
  <c r="I1948" i="1"/>
  <c r="I1950" i="1"/>
  <c r="I1952" i="1"/>
  <c r="I1954" i="1"/>
  <c r="I1956" i="1"/>
  <c r="I1958" i="1"/>
  <c r="I1960" i="1"/>
  <c r="I1962" i="1"/>
  <c r="I1964" i="1"/>
  <c r="I1966" i="1"/>
  <c r="I1968" i="1"/>
  <c r="I1970" i="1"/>
  <c r="I1972" i="1"/>
  <c r="I1974" i="1"/>
  <c r="I1976" i="1"/>
  <c r="I1978" i="1"/>
  <c r="I1980" i="1"/>
  <c r="I1982" i="1"/>
  <c r="I1984" i="1"/>
  <c r="I1986" i="1"/>
  <c r="I1988" i="1"/>
  <c r="I1990" i="1"/>
  <c r="I1992" i="1"/>
  <c r="I1994" i="1"/>
  <c r="I1996" i="1"/>
  <c r="I1998" i="1"/>
  <c r="I2000" i="1"/>
  <c r="I2002" i="1"/>
  <c r="I2004" i="1"/>
  <c r="I2006" i="1"/>
  <c r="I2008" i="1"/>
  <c r="I2010" i="1"/>
  <c r="I2012" i="1"/>
  <c r="F2015" i="1"/>
  <c r="G2017" i="1"/>
  <c r="H2019" i="1"/>
  <c r="I2021" i="1"/>
  <c r="F2024" i="1"/>
  <c r="H2026" i="1"/>
  <c r="I2028" i="1"/>
  <c r="F2031" i="1"/>
  <c r="G2033" i="1"/>
  <c r="H2035" i="1"/>
  <c r="I2037" i="1"/>
  <c r="F2040" i="1"/>
  <c r="H2042" i="1"/>
  <c r="I2044" i="1"/>
  <c r="F2047" i="1"/>
  <c r="G2049" i="1"/>
  <c r="H2051" i="1"/>
  <c r="I2053" i="1"/>
  <c r="F2056" i="1"/>
  <c r="H2058" i="1"/>
  <c r="I2060" i="1"/>
  <c r="F2063" i="1"/>
  <c r="G2065" i="1"/>
  <c r="H2067" i="1"/>
  <c r="I2069" i="1"/>
  <c r="F2072" i="1"/>
  <c r="H2074" i="1"/>
  <c r="I2076" i="1"/>
  <c r="F2079" i="1"/>
  <c r="G2081" i="1"/>
  <c r="H2083" i="1"/>
  <c r="I2085" i="1"/>
  <c r="F2088" i="1"/>
  <c r="H2090" i="1"/>
  <c r="I2092" i="1"/>
  <c r="F2095" i="1"/>
  <c r="G2097" i="1"/>
  <c r="H2099" i="1"/>
  <c r="I2101" i="1"/>
  <c r="F2104" i="1"/>
  <c r="H2106" i="1"/>
  <c r="I2108" i="1"/>
  <c r="F2111" i="1"/>
  <c r="G2113" i="1"/>
  <c r="H2115" i="1"/>
  <c r="I2117" i="1"/>
  <c r="F2120" i="1"/>
  <c r="H2122" i="1"/>
  <c r="I2124" i="1"/>
  <c r="F2127" i="1"/>
  <c r="G2129" i="1"/>
  <c r="H2131" i="1"/>
  <c r="I2133" i="1"/>
  <c r="F2136" i="1"/>
  <c r="H2138" i="1"/>
  <c r="I2140" i="1"/>
  <c r="F2143" i="1"/>
  <c r="G2145" i="1"/>
  <c r="H2148" i="1"/>
  <c r="H2152" i="1"/>
  <c r="H2156" i="1"/>
  <c r="H2160" i="1"/>
  <c r="H2164" i="1"/>
  <c r="H2168" i="1"/>
  <c r="H2172" i="1"/>
  <c r="H2176" i="1"/>
  <c r="H2180" i="1"/>
  <c r="H2184" i="1"/>
  <c r="H2188" i="1"/>
  <c r="H2192" i="1"/>
  <c r="H2196" i="1"/>
  <c r="I2200" i="1"/>
  <c r="H2205" i="1"/>
  <c r="F2210" i="1"/>
  <c r="H2214" i="1"/>
  <c r="F2219" i="1"/>
  <c r="I2223" i="1"/>
  <c r="G2228" i="1"/>
  <c r="I2232" i="1"/>
  <c r="H2237" i="1"/>
  <c r="F2242" i="1"/>
  <c r="H2246" i="1"/>
  <c r="F2251" i="1"/>
  <c r="I2255" i="1"/>
  <c r="G2260" i="1"/>
  <c r="I2264" i="1"/>
  <c r="H2269" i="1"/>
  <c r="F2274" i="1"/>
  <c r="I2278" i="1"/>
  <c r="G2284" i="1"/>
  <c r="I2289" i="1"/>
  <c r="I2294" i="1"/>
  <c r="G2300" i="1"/>
  <c r="I2305" i="1"/>
  <c r="I2313" i="1"/>
  <c r="I2321" i="1"/>
  <c r="I2329" i="1"/>
  <c r="I2337" i="1"/>
  <c r="I2345" i="1"/>
  <c r="I2353" i="1"/>
  <c r="I2361" i="1"/>
  <c r="I2369" i="1"/>
  <c r="I2377" i="1"/>
  <c r="I2386" i="1"/>
  <c r="F2396" i="1"/>
  <c r="G2405" i="1"/>
  <c r="G2415" i="1"/>
  <c r="I2425" i="1"/>
  <c r="F2002" i="1"/>
  <c r="F2004" i="1"/>
  <c r="F2006" i="1"/>
  <c r="F2008" i="1"/>
  <c r="F2010" i="1"/>
  <c r="F2012" i="1"/>
  <c r="F2014" i="1"/>
  <c r="H2016" i="1"/>
  <c r="I2018" i="1"/>
  <c r="F2021" i="1"/>
  <c r="G2023" i="1"/>
  <c r="H2025" i="1"/>
  <c r="I2027" i="1"/>
  <c r="F2030" i="1"/>
  <c r="H2032" i="1"/>
  <c r="I2034" i="1"/>
  <c r="F2037" i="1"/>
  <c r="G2039" i="1"/>
  <c r="H2041" i="1"/>
  <c r="I2043" i="1"/>
  <c r="F2046" i="1"/>
  <c r="H2048" i="1"/>
  <c r="I2050" i="1"/>
  <c r="F2053" i="1"/>
  <c r="G2055" i="1"/>
  <c r="H2057" i="1"/>
  <c r="I2059" i="1"/>
  <c r="F2062" i="1"/>
  <c r="H2064" i="1"/>
  <c r="I2066" i="1"/>
  <c r="F2069" i="1"/>
  <c r="G2071" i="1"/>
  <c r="H2073" i="1"/>
  <c r="I2075" i="1"/>
  <c r="F2078" i="1"/>
  <c r="H2080" i="1"/>
  <c r="I2082" i="1"/>
  <c r="F2085" i="1"/>
  <c r="G2087" i="1"/>
  <c r="H2089" i="1"/>
  <c r="I2091" i="1"/>
  <c r="F2094" i="1"/>
  <c r="H2096" i="1"/>
  <c r="I2098" i="1"/>
  <c r="F2101" i="1"/>
  <c r="G2103" i="1"/>
  <c r="H2105" i="1"/>
  <c r="I2107" i="1"/>
  <c r="F2110" i="1"/>
  <c r="H2112" i="1"/>
  <c r="I2114" i="1"/>
  <c r="F2117" i="1"/>
  <c r="G2119" i="1"/>
  <c r="H2121" i="1"/>
  <c r="I2123" i="1"/>
  <c r="F2126" i="1"/>
  <c r="H2128" i="1"/>
  <c r="I2130" i="1"/>
  <c r="F2133" i="1"/>
  <c r="G2135" i="1"/>
  <c r="H2137" i="1"/>
  <c r="I2139" i="1"/>
  <c r="F2142" i="1"/>
  <c r="H2144" i="1"/>
  <c r="I2146" i="1"/>
  <c r="I2150" i="1"/>
  <c r="I2154" i="1"/>
  <c r="I2158" i="1"/>
  <c r="I2162" i="1"/>
  <c r="I2166" i="1"/>
  <c r="I2170" i="1"/>
  <c r="I2174" i="1"/>
  <c r="I2178" i="1"/>
  <c r="I2182" i="1"/>
  <c r="I2186" i="1"/>
  <c r="I2190" i="1"/>
  <c r="I2194" i="1"/>
  <c r="I2198" i="1"/>
  <c r="H2203" i="1"/>
  <c r="F2208" i="1"/>
  <c r="H2212" i="1"/>
  <c r="F2217" i="1"/>
  <c r="I2221" i="1"/>
  <c r="G2226" i="1"/>
  <c r="I2230" i="1"/>
  <c r="H2235" i="1"/>
  <c r="F2240" i="1"/>
  <c r="H2244" i="1"/>
  <c r="F2249" i="1"/>
  <c r="I2253" i="1"/>
  <c r="G2258" i="1"/>
  <c r="I2262" i="1"/>
  <c r="H2267" i="1"/>
  <c r="F2272" i="1"/>
  <c r="H2276" i="1"/>
  <c r="F2282" i="1"/>
  <c r="H2287" i="1"/>
  <c r="H2292" i="1"/>
  <c r="F2298" i="1"/>
  <c r="H2303" i="1"/>
  <c r="F2310" i="1"/>
  <c r="F2318" i="1"/>
  <c r="F2326" i="1"/>
  <c r="F2334" i="1"/>
  <c r="F2342" i="1"/>
  <c r="F2350" i="1"/>
  <c r="F2358" i="1"/>
  <c r="F2366" i="1"/>
  <c r="F2374" i="1"/>
  <c r="H2382" i="1"/>
  <c r="I2391" i="1"/>
  <c r="I2400" i="1"/>
  <c r="F2410" i="1"/>
  <c r="H2420" i="1"/>
  <c r="G2004" i="1"/>
  <c r="G2006" i="1"/>
  <c r="G2008" i="1"/>
  <c r="G2010" i="1"/>
  <c r="G2012" i="1"/>
  <c r="H2014" i="1"/>
  <c r="I2016" i="1"/>
  <c r="F2019" i="1"/>
  <c r="G2021" i="1"/>
  <c r="H2023" i="1"/>
  <c r="I2025" i="1"/>
  <c r="F2028" i="1"/>
  <c r="H2030" i="1"/>
  <c r="I2032" i="1"/>
  <c r="F2035" i="1"/>
  <c r="G2037" i="1"/>
  <c r="H2039" i="1"/>
  <c r="I2041" i="1"/>
  <c r="F2044" i="1"/>
  <c r="H2046" i="1"/>
  <c r="I2048" i="1"/>
  <c r="F2051" i="1"/>
  <c r="G2053" i="1"/>
  <c r="H2055" i="1"/>
  <c r="I2057" i="1"/>
  <c r="F2060" i="1"/>
  <c r="H2062" i="1"/>
  <c r="I2064" i="1"/>
  <c r="F2067" i="1"/>
  <c r="G2069" i="1"/>
  <c r="H2071" i="1"/>
  <c r="I2073" i="1"/>
  <c r="F2076" i="1"/>
  <c r="H2078" i="1"/>
  <c r="I2080" i="1"/>
  <c r="F2083" i="1"/>
  <c r="G2085" i="1"/>
  <c r="H2087" i="1"/>
  <c r="I2089" i="1"/>
  <c r="F2092" i="1"/>
  <c r="H2094" i="1"/>
  <c r="I2096" i="1"/>
  <c r="F2099" i="1"/>
  <c r="G2101" i="1"/>
  <c r="H2103" i="1"/>
  <c r="I2105" i="1"/>
  <c r="F2108" i="1"/>
  <c r="H2110" i="1"/>
  <c r="I2112" i="1"/>
  <c r="F2115" i="1"/>
  <c r="G2117" i="1"/>
  <c r="H2119" i="1"/>
  <c r="I2121" i="1"/>
  <c r="F2124" i="1"/>
  <c r="H2126" i="1"/>
  <c r="I2128" i="1"/>
  <c r="F2131" i="1"/>
  <c r="G2133" i="1"/>
  <c r="H2135" i="1"/>
  <c r="I2137" i="1"/>
  <c r="F2140" i="1"/>
  <c r="H2142" i="1"/>
  <c r="I2144" i="1"/>
  <c r="F2147" i="1"/>
  <c r="F2151" i="1"/>
  <c r="F2155" i="1"/>
  <c r="F2159" i="1"/>
  <c r="F2163" i="1"/>
  <c r="F2167" i="1"/>
  <c r="F2171" i="1"/>
  <c r="F2175" i="1"/>
  <c r="F2179" i="1"/>
  <c r="F2183" i="1"/>
  <c r="F2187" i="1"/>
  <c r="F2191" i="1"/>
  <c r="F2195" i="1"/>
  <c r="F2199" i="1"/>
  <c r="I2203" i="1"/>
  <c r="G2208" i="1"/>
  <c r="I2212" i="1"/>
  <c r="H2217" i="1"/>
  <c r="F2222" i="1"/>
  <c r="H2226" i="1"/>
  <c r="F2231" i="1"/>
  <c r="I2235" i="1"/>
  <c r="G2240" i="1"/>
  <c r="I2244" i="1"/>
  <c r="H2249" i="1"/>
  <c r="F2254" i="1"/>
  <c r="H2258" i="1"/>
  <c r="F2263" i="1"/>
  <c r="I2267" i="1"/>
  <c r="G2272" i="1"/>
  <c r="I2276" i="1"/>
  <c r="G2282" i="1"/>
  <c r="I2287" i="1"/>
  <c r="I2292" i="1"/>
  <c r="G2298" i="1"/>
  <c r="I2303" i="1"/>
  <c r="G2310" i="1"/>
  <c r="G2318" i="1"/>
  <c r="G2326" i="1"/>
  <c r="G2334" i="1"/>
  <c r="G2342" i="1"/>
  <c r="G2350" i="1"/>
  <c r="G2358" i="1"/>
  <c r="G2366" i="1"/>
  <c r="G2374" i="1"/>
  <c r="I2382" i="1"/>
  <c r="F2392" i="1"/>
  <c r="G2401" i="1"/>
  <c r="G2410" i="1"/>
  <c r="G2421" i="1"/>
  <c r="H2004" i="1"/>
  <c r="H2006" i="1"/>
  <c r="H2008" i="1"/>
  <c r="H2010" i="1"/>
  <c r="H2012" i="1"/>
  <c r="I2014" i="1"/>
  <c r="F2017" i="1"/>
  <c r="G2019" i="1"/>
  <c r="H2021" i="1"/>
  <c r="I2023" i="1"/>
  <c r="F2026" i="1"/>
  <c r="H2028" i="1"/>
  <c r="I2030" i="1"/>
  <c r="F2033" i="1"/>
  <c r="G2035" i="1"/>
  <c r="H2037" i="1"/>
  <c r="I2039" i="1"/>
  <c r="F2042" i="1"/>
  <c r="H2044" i="1"/>
  <c r="I2046" i="1"/>
  <c r="F2049" i="1"/>
  <c r="G2051" i="1"/>
  <c r="H2053" i="1"/>
  <c r="I2055" i="1"/>
  <c r="F2058" i="1"/>
  <c r="H2060" i="1"/>
  <c r="I2062" i="1"/>
  <c r="F2065" i="1"/>
  <c r="G2067" i="1"/>
  <c r="H2069" i="1"/>
  <c r="I2071" i="1"/>
  <c r="F2074" i="1"/>
  <c r="H2076" i="1"/>
  <c r="I2078" i="1"/>
  <c r="F2081" i="1"/>
  <c r="G2083" i="1"/>
  <c r="H2085" i="1"/>
  <c r="I2087" i="1"/>
  <c r="F2090" i="1"/>
  <c r="H2092" i="1"/>
  <c r="I2094" i="1"/>
  <c r="F2097" i="1"/>
  <c r="G2099" i="1"/>
  <c r="H2101" i="1"/>
  <c r="I2103" i="1"/>
  <c r="F2106" i="1"/>
  <c r="H2108" i="1"/>
  <c r="I2110" i="1"/>
  <c r="F2113" i="1"/>
  <c r="G2115" i="1"/>
  <c r="H2117" i="1"/>
  <c r="I2119" i="1"/>
  <c r="F2122" i="1"/>
  <c r="H2124" i="1"/>
  <c r="I2126" i="1"/>
  <c r="F2129" i="1"/>
  <c r="G2131" i="1"/>
  <c r="H2133" i="1"/>
  <c r="I2135" i="1"/>
  <c r="F2138" i="1"/>
  <c r="H2140" i="1"/>
  <c r="I2142" i="1"/>
  <c r="F2145" i="1"/>
  <c r="G2147" i="1"/>
  <c r="G2151" i="1"/>
  <c r="G2155" i="1"/>
  <c r="G2159" i="1"/>
  <c r="G2163" i="1"/>
  <c r="G2167" i="1"/>
  <c r="G2171" i="1"/>
  <c r="G2175" i="1"/>
  <c r="G2179" i="1"/>
  <c r="G2183" i="1"/>
  <c r="G2187" i="1"/>
  <c r="G2191" i="1"/>
  <c r="G2195" i="1"/>
  <c r="H2199" i="1"/>
  <c r="F2204" i="1"/>
  <c r="H2208" i="1"/>
  <c r="F2213" i="1"/>
  <c r="I2217" i="1"/>
  <c r="G2222" i="1"/>
  <c r="I2226" i="1"/>
  <c r="H2231" i="1"/>
  <c r="F2236" i="1"/>
  <c r="H2240" i="1"/>
  <c r="F2245" i="1"/>
  <c r="I2249" i="1"/>
  <c r="G2254" i="1"/>
  <c r="I2258" i="1"/>
  <c r="H2263" i="1"/>
  <c r="F2268" i="1"/>
  <c r="H2272" i="1"/>
  <c r="H2277" i="1"/>
  <c r="H2282" i="1"/>
  <c r="F2288" i="1"/>
  <c r="H2293" i="1"/>
  <c r="H2298" i="1"/>
  <c r="F2304" i="1"/>
  <c r="H2311" i="1"/>
  <c r="H2319" i="1"/>
  <c r="H2327" i="1"/>
  <c r="H2335" i="1"/>
  <c r="H2343" i="1"/>
  <c r="H2351" i="1"/>
  <c r="H2359" i="1"/>
  <c r="H2367" i="1"/>
  <c r="H2375" i="1"/>
  <c r="G2384" i="1"/>
  <c r="H2393" i="1"/>
  <c r="H2402" i="1"/>
  <c r="F2412" i="1"/>
  <c r="H2422" i="1"/>
  <c r="G2014" i="1"/>
  <c r="G2016" i="1"/>
  <c r="G2018" i="1"/>
  <c r="G2020" i="1"/>
  <c r="G2022" i="1"/>
  <c r="G2024" i="1"/>
  <c r="G2026" i="1"/>
  <c r="G2028" i="1"/>
  <c r="G2030" i="1"/>
  <c r="G2032" i="1"/>
  <c r="G2034" i="1"/>
  <c r="G2036" i="1"/>
  <c r="G2038" i="1"/>
  <c r="G2040" i="1"/>
  <c r="G2042" i="1"/>
  <c r="G2044" i="1"/>
  <c r="G2046" i="1"/>
  <c r="G2048" i="1"/>
  <c r="G2050" i="1"/>
  <c r="G2052" i="1"/>
  <c r="G2054" i="1"/>
  <c r="G2056" i="1"/>
  <c r="G2058" i="1"/>
  <c r="G2060" i="1"/>
  <c r="G2062" i="1"/>
  <c r="G2064" i="1"/>
  <c r="G2066" i="1"/>
  <c r="G2068" i="1"/>
  <c r="G2070" i="1"/>
  <c r="G2072" i="1"/>
  <c r="G2074" i="1"/>
  <c r="G2076" i="1"/>
  <c r="G2078" i="1"/>
  <c r="G2080" i="1"/>
  <c r="G2082" i="1"/>
  <c r="G2084" i="1"/>
  <c r="G2086" i="1"/>
  <c r="G2088" i="1"/>
  <c r="G2090" i="1"/>
  <c r="G2092" i="1"/>
  <c r="G2094" i="1"/>
  <c r="G2096" i="1"/>
  <c r="G2098" i="1"/>
  <c r="G2100" i="1"/>
  <c r="G2102" i="1"/>
  <c r="G2104" i="1"/>
  <c r="G2106" i="1"/>
  <c r="G2108" i="1"/>
  <c r="G2110" i="1"/>
  <c r="G2112" i="1"/>
  <c r="G2114" i="1"/>
  <c r="G2116" i="1"/>
  <c r="G2118" i="1"/>
  <c r="G2120" i="1"/>
  <c r="G2122" i="1"/>
  <c r="G2124" i="1"/>
  <c r="G2126" i="1"/>
  <c r="G2128" i="1"/>
  <c r="G2130" i="1"/>
  <c r="G2132" i="1"/>
  <c r="G2134" i="1"/>
  <c r="G2136" i="1"/>
  <c r="G2138" i="1"/>
  <c r="G2140" i="1"/>
  <c r="G2142" i="1"/>
  <c r="G2144" i="1"/>
  <c r="G2146" i="1"/>
  <c r="G2148" i="1"/>
  <c r="G2150" i="1"/>
  <c r="G2152" i="1"/>
  <c r="G2154" i="1"/>
  <c r="G2156" i="1"/>
  <c r="G2158" i="1"/>
  <c r="G2160" i="1"/>
  <c r="G2162" i="1"/>
  <c r="G2164" i="1"/>
  <c r="G2166" i="1"/>
  <c r="G2168" i="1"/>
  <c r="G2170" i="1"/>
  <c r="G2172" i="1"/>
  <c r="G2174" i="1"/>
  <c r="G2176" i="1"/>
  <c r="G2178" i="1"/>
  <c r="G2180" i="1"/>
  <c r="G2182" i="1"/>
  <c r="G2184" i="1"/>
  <c r="G2186" i="1"/>
  <c r="G2188" i="1"/>
  <c r="G2190" i="1"/>
  <c r="G2192" i="1"/>
  <c r="G2194" i="1"/>
  <c r="G2196" i="1"/>
  <c r="G2198" i="1"/>
  <c r="H2200" i="1"/>
  <c r="I2202" i="1"/>
  <c r="F2205" i="1"/>
  <c r="H2207" i="1"/>
  <c r="I2209" i="1"/>
  <c r="F2212" i="1"/>
  <c r="G2214" i="1"/>
  <c r="H2216" i="1"/>
  <c r="I2218" i="1"/>
  <c r="F2221" i="1"/>
  <c r="H2223" i="1"/>
  <c r="I2225" i="1"/>
  <c r="F2228" i="1"/>
  <c r="G2230" i="1"/>
  <c r="H2232" i="1"/>
  <c r="I2234" i="1"/>
  <c r="F2237" i="1"/>
  <c r="H2239" i="1"/>
  <c r="I2241" i="1"/>
  <c r="F2244" i="1"/>
  <c r="G2246" i="1"/>
  <c r="H2248" i="1"/>
  <c r="I2250" i="1"/>
  <c r="F2253" i="1"/>
  <c r="H2255" i="1"/>
  <c r="I2257" i="1"/>
  <c r="F2260" i="1"/>
  <c r="G2262" i="1"/>
  <c r="H2264" i="1"/>
  <c r="I2266" i="1"/>
  <c r="F2269" i="1"/>
  <c r="H2271" i="1"/>
  <c r="I2273" i="1"/>
  <c r="F2276" i="1"/>
  <c r="H2278" i="1"/>
  <c r="H2281" i="1"/>
  <c r="F2284" i="1"/>
  <c r="H2286" i="1"/>
  <c r="H2289" i="1"/>
  <c r="F2292" i="1"/>
  <c r="H2294" i="1"/>
  <c r="H2297" i="1"/>
  <c r="F2300" i="1"/>
  <c r="H2302" i="1"/>
  <c r="H2305" i="1"/>
  <c r="H2309" i="1"/>
  <c r="H2313" i="1"/>
  <c r="H2317" i="1"/>
  <c r="H2321" i="1"/>
  <c r="H2325" i="1"/>
  <c r="H2329" i="1"/>
  <c r="H2333" i="1"/>
  <c r="H2337" i="1"/>
  <c r="H2341" i="1"/>
  <c r="H2345" i="1"/>
  <c r="H2349" i="1"/>
  <c r="H2353" i="1"/>
  <c r="H2357" i="1"/>
  <c r="H2361" i="1"/>
  <c r="H2365" i="1"/>
  <c r="H2369" i="1"/>
  <c r="H2373" i="1"/>
  <c r="H2377" i="1"/>
  <c r="F2382" i="1"/>
  <c r="H2386" i="1"/>
  <c r="G2391" i="1"/>
  <c r="I2395" i="1"/>
  <c r="G2400" i="1"/>
  <c r="I2404" i="1"/>
  <c r="H2409" i="1"/>
  <c r="H2414" i="1"/>
  <c r="F2420" i="1"/>
  <c r="H2425" i="1"/>
  <c r="H2147" i="1"/>
  <c r="H2149" i="1"/>
  <c r="H2151" i="1"/>
  <c r="H2153" i="1"/>
  <c r="H2155" i="1"/>
  <c r="H2157" i="1"/>
  <c r="H2159" i="1"/>
  <c r="H2161" i="1"/>
  <c r="H2163" i="1"/>
  <c r="H2165" i="1"/>
  <c r="H2167" i="1"/>
  <c r="H2169" i="1"/>
  <c r="H2171" i="1"/>
  <c r="H2173" i="1"/>
  <c r="H2175" i="1"/>
  <c r="H2177" i="1"/>
  <c r="H2179" i="1"/>
  <c r="H2181" i="1"/>
  <c r="H2183" i="1"/>
  <c r="H2185" i="1"/>
  <c r="H2187" i="1"/>
  <c r="H2189" i="1"/>
  <c r="H2191" i="1"/>
  <c r="H2193" i="1"/>
  <c r="H2195" i="1"/>
  <c r="H2197" i="1"/>
  <c r="I2199" i="1"/>
  <c r="F2202" i="1"/>
  <c r="G2204" i="1"/>
  <c r="H2206" i="1"/>
  <c r="I2208" i="1"/>
  <c r="F2211" i="1"/>
  <c r="H2213" i="1"/>
  <c r="I2215" i="1"/>
  <c r="F2218" i="1"/>
  <c r="G2220" i="1"/>
  <c r="H2222" i="1"/>
  <c r="I2224" i="1"/>
  <c r="F2227" i="1"/>
  <c r="H2229" i="1"/>
  <c r="I2231" i="1"/>
  <c r="F2234" i="1"/>
  <c r="G2236" i="1"/>
  <c r="H2238" i="1"/>
  <c r="I2240" i="1"/>
  <c r="F2243" i="1"/>
  <c r="H2245" i="1"/>
  <c r="I2247" i="1"/>
  <c r="F2250" i="1"/>
  <c r="G2252" i="1"/>
  <c r="H2254" i="1"/>
  <c r="I2256" i="1"/>
  <c r="F2259" i="1"/>
  <c r="H2261" i="1"/>
  <c r="I2263" i="1"/>
  <c r="F2266" i="1"/>
  <c r="G2268" i="1"/>
  <c r="H2270" i="1"/>
  <c r="I2272" i="1"/>
  <c r="F2275" i="1"/>
  <c r="I2277" i="1"/>
  <c r="G2280" i="1"/>
  <c r="I2282" i="1"/>
  <c r="I2285" i="1"/>
  <c r="G2288" i="1"/>
  <c r="I2290" i="1"/>
  <c r="I2293" i="1"/>
  <c r="G2296" i="1"/>
  <c r="I2298" i="1"/>
  <c r="I2301" i="1"/>
  <c r="G2304" i="1"/>
  <c r="I2307" i="1"/>
  <c r="I2311" i="1"/>
  <c r="I2315" i="1"/>
  <c r="I2319" i="1"/>
  <c r="I2323" i="1"/>
  <c r="I2327" i="1"/>
  <c r="I2331" i="1"/>
  <c r="I2335" i="1"/>
  <c r="I2339" i="1"/>
  <c r="I2343" i="1"/>
  <c r="I2347" i="1"/>
  <c r="I2351" i="1"/>
  <c r="I2355" i="1"/>
  <c r="I2359" i="1"/>
  <c r="I2363" i="1"/>
  <c r="I2367" i="1"/>
  <c r="I2371" i="1"/>
  <c r="I2375" i="1"/>
  <c r="F2380" i="1"/>
  <c r="H2384" i="1"/>
  <c r="G2389" i="1"/>
  <c r="I2393" i="1"/>
  <c r="G2398" i="1"/>
  <c r="I2402" i="1"/>
  <c r="H2407" i="1"/>
  <c r="G2412" i="1"/>
  <c r="I2417" i="1"/>
  <c r="G2423" i="1"/>
  <c r="G2428" i="1"/>
  <c r="I2147" i="1"/>
  <c r="I2149" i="1"/>
  <c r="I2151" i="1"/>
  <c r="I2153" i="1"/>
  <c r="I2155" i="1"/>
  <c r="I2157" i="1"/>
  <c r="I2159" i="1"/>
  <c r="I2161" i="1"/>
  <c r="I2163" i="1"/>
  <c r="I2165" i="1"/>
  <c r="I2167" i="1"/>
  <c r="I2169" i="1"/>
  <c r="I2171" i="1"/>
  <c r="I2173" i="1"/>
  <c r="I2175" i="1"/>
  <c r="I2177" i="1"/>
  <c r="I2179" i="1"/>
  <c r="I2181" i="1"/>
  <c r="I2183" i="1"/>
  <c r="I2185" i="1"/>
  <c r="I2187" i="1"/>
  <c r="I2189" i="1"/>
  <c r="I2191" i="1"/>
  <c r="I2193" i="1"/>
  <c r="I2195" i="1"/>
  <c r="I2197" i="1"/>
  <c r="F2200" i="1"/>
  <c r="G2202" i="1"/>
  <c r="H2204" i="1"/>
  <c r="I2206" i="1"/>
  <c r="F2209" i="1"/>
  <c r="H2211" i="1"/>
  <c r="I2213" i="1"/>
  <c r="F2216" i="1"/>
  <c r="G2218" i="1"/>
  <c r="H2220" i="1"/>
  <c r="I2222" i="1"/>
  <c r="F2225" i="1"/>
  <c r="H2227" i="1"/>
  <c r="I2229" i="1"/>
  <c r="F2232" i="1"/>
  <c r="G2234" i="1"/>
  <c r="H2236" i="1"/>
  <c r="I2238" i="1"/>
  <c r="F2241" i="1"/>
  <c r="H2243" i="1"/>
  <c r="I2245" i="1"/>
  <c r="F2248" i="1"/>
  <c r="G2250" i="1"/>
  <c r="H2252" i="1"/>
  <c r="I2254" i="1"/>
  <c r="F2257" i="1"/>
  <c r="H2259" i="1"/>
  <c r="I2261" i="1"/>
  <c r="F2264" i="1"/>
  <c r="G2266" i="1"/>
  <c r="H2268" i="1"/>
  <c r="I2270" i="1"/>
  <c r="F2273" i="1"/>
  <c r="H2275" i="1"/>
  <c r="F2278" i="1"/>
  <c r="H2280" i="1"/>
  <c r="H2283" i="1"/>
  <c r="F2286" i="1"/>
  <c r="H2288" i="1"/>
  <c r="H2291" i="1"/>
  <c r="F2294" i="1"/>
  <c r="H2296" i="1"/>
  <c r="H2299" i="1"/>
  <c r="F2302" i="1"/>
  <c r="H2304" i="1"/>
  <c r="F2308" i="1"/>
  <c r="F2312" i="1"/>
  <c r="F2316" i="1"/>
  <c r="F2320" i="1"/>
  <c r="F2324" i="1"/>
  <c r="F2328" i="1"/>
  <c r="F2332" i="1"/>
  <c r="F2336" i="1"/>
  <c r="F2340" i="1"/>
  <c r="F2344" i="1"/>
  <c r="F2348" i="1"/>
  <c r="F2352" i="1"/>
  <c r="F2356" i="1"/>
  <c r="F2360" i="1"/>
  <c r="F2364" i="1"/>
  <c r="F2368" i="1"/>
  <c r="F2372" i="1"/>
  <c r="F2376" i="1"/>
  <c r="G2380" i="1"/>
  <c r="I2384" i="1"/>
  <c r="H2389" i="1"/>
  <c r="F2394" i="1"/>
  <c r="H2398" i="1"/>
  <c r="G2403" i="1"/>
  <c r="I2407" i="1"/>
  <c r="H2412" i="1"/>
  <c r="F2418" i="1"/>
  <c r="H2423" i="1"/>
  <c r="H2428" i="1"/>
  <c r="F2148" i="1"/>
  <c r="F2150" i="1"/>
  <c r="F2152" i="1"/>
  <c r="F2154" i="1"/>
  <c r="F2156" i="1"/>
  <c r="F2158" i="1"/>
  <c r="F2160" i="1"/>
  <c r="F2162" i="1"/>
  <c r="F2164" i="1"/>
  <c r="F2166" i="1"/>
  <c r="F2168" i="1"/>
  <c r="F2170" i="1"/>
  <c r="F2172" i="1"/>
  <c r="F2174" i="1"/>
  <c r="F2176" i="1"/>
  <c r="F2178" i="1"/>
  <c r="F2180" i="1"/>
  <c r="F2182" i="1"/>
  <c r="F2184" i="1"/>
  <c r="F2186" i="1"/>
  <c r="F2188" i="1"/>
  <c r="F2190" i="1"/>
  <c r="F2192" i="1"/>
  <c r="F2194" i="1"/>
  <c r="F2196" i="1"/>
  <c r="F2198" i="1"/>
  <c r="G2200" i="1"/>
  <c r="H2202" i="1"/>
  <c r="I2204" i="1"/>
  <c r="F2207" i="1"/>
  <c r="H2209" i="1"/>
  <c r="I2211" i="1"/>
  <c r="F2214" i="1"/>
  <c r="G2216" i="1"/>
  <c r="H2218" i="1"/>
  <c r="I2220" i="1"/>
  <c r="F2223" i="1"/>
  <c r="H2225" i="1"/>
  <c r="I2227" i="1"/>
  <c r="F2230" i="1"/>
  <c r="G2232" i="1"/>
  <c r="H2234" i="1"/>
  <c r="I2236" i="1"/>
  <c r="F2239" i="1"/>
  <c r="H2241" i="1"/>
  <c r="I2243" i="1"/>
  <c r="F2246" i="1"/>
  <c r="G2248" i="1"/>
  <c r="H2250" i="1"/>
  <c r="I2252" i="1"/>
  <c r="F2255" i="1"/>
  <c r="H2257" i="1"/>
  <c r="I2259" i="1"/>
  <c r="F2262" i="1"/>
  <c r="G2264" i="1"/>
  <c r="H2266" i="1"/>
  <c r="I2268" i="1"/>
  <c r="F2271" i="1"/>
  <c r="H2273" i="1"/>
  <c r="I2275" i="1"/>
  <c r="G2278" i="1"/>
  <c r="I2280" i="1"/>
  <c r="I2283" i="1"/>
  <c r="G2286" i="1"/>
  <c r="I2288" i="1"/>
  <c r="I2291" i="1"/>
  <c r="G2294" i="1"/>
  <c r="I2296" i="1"/>
  <c r="I2299" i="1"/>
  <c r="G2302" i="1"/>
  <c r="I2304" i="1"/>
  <c r="G2308" i="1"/>
  <c r="G2312" i="1"/>
  <c r="G2316" i="1"/>
  <c r="G2320" i="1"/>
  <c r="G2324" i="1"/>
  <c r="G2328" i="1"/>
  <c r="G2332" i="1"/>
  <c r="G2336" i="1"/>
  <c r="G2340" i="1"/>
  <c r="G2344" i="1"/>
  <c r="G2348" i="1"/>
  <c r="G2352" i="1"/>
  <c r="G2356" i="1"/>
  <c r="G2360" i="1"/>
  <c r="G2364" i="1"/>
  <c r="G2368" i="1"/>
  <c r="G2372" i="1"/>
  <c r="G2376" i="1"/>
  <c r="H2380" i="1"/>
  <c r="G2385" i="1"/>
  <c r="I2389" i="1"/>
  <c r="G2394" i="1"/>
  <c r="I2398" i="1"/>
  <c r="H2403" i="1"/>
  <c r="F2408" i="1"/>
  <c r="G2413" i="1"/>
  <c r="G2418" i="1"/>
  <c r="I2423" i="1"/>
  <c r="G2199" i="1"/>
  <c r="G2201" i="1"/>
  <c r="G2203" i="1"/>
  <c r="G2205" i="1"/>
  <c r="G2207" i="1"/>
  <c r="G2209" i="1"/>
  <c r="G2211" i="1"/>
  <c r="G2213" i="1"/>
  <c r="G2215" i="1"/>
  <c r="G2217" i="1"/>
  <c r="G2219" i="1"/>
  <c r="G2221" i="1"/>
  <c r="G2223" i="1"/>
  <c r="G2225" i="1"/>
  <c r="G2227" i="1"/>
  <c r="G2229" i="1"/>
  <c r="G2231" i="1"/>
  <c r="G2233" i="1"/>
  <c r="G2235" i="1"/>
  <c r="G2237" i="1"/>
  <c r="G2239" i="1"/>
  <c r="G2241" i="1"/>
  <c r="G2243" i="1"/>
  <c r="G2245" i="1"/>
  <c r="G2247" i="1"/>
  <c r="G2249" i="1"/>
  <c r="G2251" i="1"/>
  <c r="G2253" i="1"/>
  <c r="G2255" i="1"/>
  <c r="G2257" i="1"/>
  <c r="G2259" i="1"/>
  <c r="G2261" i="1"/>
  <c r="G2263" i="1"/>
  <c r="G2265" i="1"/>
  <c r="G2267" i="1"/>
  <c r="G2269" i="1"/>
  <c r="G2271" i="1"/>
  <c r="G2273" i="1"/>
  <c r="G2275" i="1"/>
  <c r="G2277" i="1"/>
  <c r="G2279" i="1"/>
  <c r="G2281" i="1"/>
  <c r="G2283" i="1"/>
  <c r="G2285" i="1"/>
  <c r="G2287" i="1"/>
  <c r="G2289" i="1"/>
  <c r="G2291" i="1"/>
  <c r="G2293" i="1"/>
  <c r="G2295" i="1"/>
  <c r="G2297" i="1"/>
  <c r="G2299" i="1"/>
  <c r="G2301" i="1"/>
  <c r="G2303" i="1"/>
  <c r="G2305" i="1"/>
  <c r="G2307" i="1"/>
  <c r="G2309" i="1"/>
  <c r="G2311" i="1"/>
  <c r="G2313" i="1"/>
  <c r="G2315" i="1"/>
  <c r="G2317" i="1"/>
  <c r="G2319" i="1"/>
  <c r="G2321" i="1"/>
  <c r="G2323" i="1"/>
  <c r="G2325" i="1"/>
  <c r="G2327" i="1"/>
  <c r="G2329" i="1"/>
  <c r="G2331" i="1"/>
  <c r="G2333" i="1"/>
  <c r="G2335" i="1"/>
  <c r="G2337" i="1"/>
  <c r="G2339" i="1"/>
  <c r="G2341" i="1"/>
  <c r="G2343" i="1"/>
  <c r="G2345" i="1"/>
  <c r="G2347" i="1"/>
  <c r="G2349" i="1"/>
  <c r="G2351" i="1"/>
  <c r="G2353" i="1"/>
  <c r="G2355" i="1"/>
  <c r="G2357" i="1"/>
  <c r="G2359" i="1"/>
  <c r="G2361" i="1"/>
  <c r="G2363" i="1"/>
  <c r="G2365" i="1"/>
  <c r="G2367" i="1"/>
  <c r="G2369" i="1"/>
  <c r="G2371" i="1"/>
  <c r="G2373" i="1"/>
  <c r="G2375" i="1"/>
  <c r="G2377" i="1"/>
  <c r="H2379" i="1"/>
  <c r="I2381" i="1"/>
  <c r="F2384" i="1"/>
  <c r="G2386" i="1"/>
  <c r="H2388" i="1"/>
  <c r="I2390" i="1"/>
  <c r="G2393" i="1"/>
  <c r="H2395" i="1"/>
  <c r="I2397" i="1"/>
  <c r="F2400" i="1"/>
  <c r="G2402" i="1"/>
  <c r="H2404" i="1"/>
  <c r="I2406" i="1"/>
  <c r="G2409" i="1"/>
  <c r="I2411" i="1"/>
  <c r="G2414" i="1"/>
  <c r="G2417" i="1"/>
  <c r="I2419" i="1"/>
  <c r="G2422" i="1"/>
  <c r="G2425" i="1"/>
  <c r="I2427" i="1"/>
  <c r="H2306" i="1"/>
  <c r="H2308" i="1"/>
  <c r="H2310" i="1"/>
  <c r="H2312" i="1"/>
  <c r="H2314" i="1"/>
  <c r="H2316" i="1"/>
  <c r="H2318" i="1"/>
  <c r="H2320" i="1"/>
  <c r="H2322" i="1"/>
  <c r="H2324" i="1"/>
  <c r="H2326" i="1"/>
  <c r="H2328" i="1"/>
  <c r="H2330" i="1"/>
  <c r="H2332" i="1"/>
  <c r="H2334" i="1"/>
  <c r="H2336" i="1"/>
  <c r="H2338" i="1"/>
  <c r="H2340" i="1"/>
  <c r="H2342" i="1"/>
  <c r="H2344" i="1"/>
  <c r="H2346" i="1"/>
  <c r="H2348" i="1"/>
  <c r="H2350" i="1"/>
  <c r="H2352" i="1"/>
  <c r="H2354" i="1"/>
  <c r="H2356" i="1"/>
  <c r="H2358" i="1"/>
  <c r="H2360" i="1"/>
  <c r="H2362" i="1"/>
  <c r="H2364" i="1"/>
  <c r="H2366" i="1"/>
  <c r="H2368" i="1"/>
  <c r="H2370" i="1"/>
  <c r="H2372" i="1"/>
  <c r="H2374" i="1"/>
  <c r="H2376" i="1"/>
  <c r="H2378" i="1"/>
  <c r="I2380" i="1"/>
  <c r="G2383" i="1"/>
  <c r="H2385" i="1"/>
  <c r="I2387" i="1"/>
  <c r="F2390" i="1"/>
  <c r="G2392" i="1"/>
  <c r="H2394" i="1"/>
  <c r="I2396" i="1"/>
  <c r="G2399" i="1"/>
  <c r="H2401" i="1"/>
  <c r="I2403" i="1"/>
  <c r="F2406" i="1"/>
  <c r="G2408" i="1"/>
  <c r="H2410" i="1"/>
  <c r="H2413" i="1"/>
  <c r="F2416" i="1"/>
  <c r="H2418" i="1"/>
  <c r="H2421" i="1"/>
  <c r="F2424" i="1"/>
  <c r="H2426" i="1"/>
  <c r="I2306" i="1"/>
  <c r="I2308" i="1"/>
  <c r="I2310" i="1"/>
  <c r="I2312" i="1"/>
  <c r="I2314" i="1"/>
  <c r="I2316" i="1"/>
  <c r="I2318" i="1"/>
  <c r="I2320" i="1"/>
  <c r="I2322" i="1"/>
  <c r="I2324" i="1"/>
  <c r="I2326" i="1"/>
  <c r="I2328" i="1"/>
  <c r="I2330" i="1"/>
  <c r="I2332" i="1"/>
  <c r="I2334" i="1"/>
  <c r="I2336" i="1"/>
  <c r="I2338" i="1"/>
  <c r="I2340" i="1"/>
  <c r="I2342" i="1"/>
  <c r="I2344" i="1"/>
  <c r="I2346" i="1"/>
  <c r="I2348" i="1"/>
  <c r="I2350" i="1"/>
  <c r="I2352" i="1"/>
  <c r="I2354" i="1"/>
  <c r="I2356" i="1"/>
  <c r="I2358" i="1"/>
  <c r="I2360" i="1"/>
  <c r="I2362" i="1"/>
  <c r="I2364" i="1"/>
  <c r="I2366" i="1"/>
  <c r="I2368" i="1"/>
  <c r="I2370" i="1"/>
  <c r="I2372" i="1"/>
  <c r="I2374" i="1"/>
  <c r="I2376" i="1"/>
  <c r="I2378" i="1"/>
  <c r="G2381" i="1"/>
  <c r="H2383" i="1"/>
  <c r="I2385" i="1"/>
  <c r="F2388" i="1"/>
  <c r="G2390" i="1"/>
  <c r="H2392" i="1"/>
  <c r="I2394" i="1"/>
  <c r="G2397" i="1"/>
  <c r="H2399" i="1"/>
  <c r="I2401" i="1"/>
  <c r="F2404" i="1"/>
  <c r="G2406" i="1"/>
  <c r="H2408" i="1"/>
  <c r="G2411" i="1"/>
  <c r="I2413" i="1"/>
  <c r="G2416" i="1"/>
  <c r="G2419" i="1"/>
  <c r="I2421" i="1"/>
  <c r="G2424" i="1"/>
  <c r="G2427" i="1"/>
  <c r="F2277" i="1"/>
  <c r="F2279" i="1"/>
  <c r="F2281" i="1"/>
  <c r="F2283" i="1"/>
  <c r="F2285" i="1"/>
  <c r="F2287" i="1"/>
  <c r="F2289" i="1"/>
  <c r="F2291" i="1"/>
  <c r="F2293" i="1"/>
  <c r="F2295" i="1"/>
  <c r="F2297" i="1"/>
  <c r="F2299" i="1"/>
  <c r="F2301" i="1"/>
  <c r="F2303" i="1"/>
  <c r="F2305" i="1"/>
  <c r="F2307" i="1"/>
  <c r="F2309" i="1"/>
  <c r="F2311" i="1"/>
  <c r="F2313" i="1"/>
  <c r="F2315" i="1"/>
  <c r="F2317" i="1"/>
  <c r="F2319" i="1"/>
  <c r="F2321" i="1"/>
  <c r="F2323" i="1"/>
  <c r="F2325" i="1"/>
  <c r="F2327" i="1"/>
  <c r="F2329" i="1"/>
  <c r="F2331" i="1"/>
  <c r="F2333" i="1"/>
  <c r="F2335" i="1"/>
  <c r="F2337" i="1"/>
  <c r="F2339" i="1"/>
  <c r="F2341" i="1"/>
  <c r="F2343" i="1"/>
  <c r="F2345" i="1"/>
  <c r="F2347" i="1"/>
  <c r="F2349" i="1"/>
  <c r="F2351" i="1"/>
  <c r="F2353" i="1"/>
  <c r="F2355" i="1"/>
  <c r="F2357" i="1"/>
  <c r="F2359" i="1"/>
  <c r="F2361" i="1"/>
  <c r="F2363" i="1"/>
  <c r="F2365" i="1"/>
  <c r="F2367" i="1"/>
  <c r="F2369" i="1"/>
  <c r="F2371" i="1"/>
  <c r="F2373" i="1"/>
  <c r="F2375" i="1"/>
  <c r="F2377" i="1"/>
  <c r="G2379" i="1"/>
  <c r="H2381" i="1"/>
  <c r="I2383" i="1"/>
  <c r="F2386" i="1"/>
  <c r="G2388" i="1"/>
  <c r="H2390" i="1"/>
  <c r="I2392" i="1"/>
  <c r="G2395" i="1"/>
  <c r="H2397" i="1"/>
  <c r="I2399" i="1"/>
  <c r="F2402" i="1"/>
  <c r="G2404" i="1"/>
  <c r="H2406" i="1"/>
  <c r="I2408" i="1"/>
  <c r="H2411" i="1"/>
  <c r="F2414" i="1"/>
  <c r="H2416" i="1"/>
  <c r="H2419" i="1"/>
  <c r="F2422" i="1"/>
  <c r="H2424" i="1"/>
  <c r="H2427" i="1"/>
  <c r="F2379" i="1"/>
  <c r="F2381" i="1"/>
  <c r="F2383" i="1"/>
  <c r="F2385" i="1"/>
  <c r="F2387" i="1"/>
  <c r="F2389" i="1"/>
  <c r="F2391" i="1"/>
  <c r="F2393" i="1"/>
  <c r="F2395" i="1"/>
  <c r="F2397" i="1"/>
  <c r="F2399" i="1"/>
  <c r="F2401" i="1"/>
  <c r="F2403" i="1"/>
  <c r="F2405" i="1"/>
  <c r="F2407" i="1"/>
  <c r="F2409" i="1"/>
  <c r="F2411" i="1"/>
  <c r="F2413" i="1"/>
  <c r="F2415" i="1"/>
  <c r="F2417" i="1"/>
  <c r="F2419" i="1"/>
  <c r="F2421" i="1"/>
  <c r="F2423" i="1"/>
  <c r="F2425" i="1"/>
  <c r="F2427" i="1"/>
  <c r="I2410" i="1"/>
  <c r="I2412" i="1"/>
  <c r="I2414" i="1"/>
  <c r="I2416" i="1"/>
  <c r="I2418" i="1"/>
  <c r="I2420" i="1"/>
  <c r="I2422" i="1"/>
  <c r="I2424" i="1"/>
  <c r="I2426" i="1"/>
  <c r="I2428" i="1"/>
  <c r="G2429" i="1" l="1"/>
  <c r="H2429" i="1"/>
  <c r="I2429" i="1"/>
  <c r="F2429" i="1"/>
</calcChain>
</file>

<file path=xl/sharedStrings.xml><?xml version="1.0" encoding="utf-8"?>
<sst xmlns="http://schemas.openxmlformats.org/spreadsheetml/2006/main" count="12867" uniqueCount="155">
  <si>
    <t>Destino de los Recursos</t>
  </si>
  <si>
    <t>Ejercicio</t>
  </si>
  <si>
    <t>DEVENGADO</t>
  </si>
  <si>
    <t>PAGADO</t>
  </si>
  <si>
    <t>APROBADO-DEVENGADO</t>
  </si>
  <si>
    <t>Total</t>
  </si>
  <si>
    <t>Formato del Ejercicio y Destino de Gasto Federalizado y Reintegros</t>
  </si>
  <si>
    <t>Ejercicio Presupuestal</t>
  </si>
  <si>
    <r>
      <t xml:space="preserve">APROBADO
</t>
    </r>
    <r>
      <rPr>
        <b/>
        <sz val="11"/>
        <color rgb="FF000000"/>
        <rFont val="Calibri"/>
        <family val="2"/>
        <scheme val="minor"/>
      </rPr>
      <t>*</t>
    </r>
  </si>
  <si>
    <t>MUNICIPIO DE OAXACA DE JUAREZ</t>
  </si>
  <si>
    <t>____________________________________________</t>
  </si>
  <si>
    <t>__________________________________________</t>
  </si>
  <si>
    <t>__________________________________</t>
  </si>
  <si>
    <t xml:space="preserve">                                                                   SINDICO SEGUNDO</t>
  </si>
  <si>
    <t xml:space="preserve">                                                                      ____________________________________________</t>
  </si>
  <si>
    <t xml:space="preserve">             _____________________________________</t>
  </si>
  <si>
    <t>Clasif. Programática</t>
  </si>
  <si>
    <t>Programa o Fondo</t>
  </si>
  <si>
    <r>
      <t xml:space="preserve">Reintegro
</t>
    </r>
    <r>
      <rPr>
        <b/>
        <sz val="11"/>
        <color rgb="FF000000"/>
        <rFont val="Calibri"/>
        <family val="2"/>
        <scheme val="minor"/>
      </rPr>
      <t>*</t>
    </r>
  </si>
  <si>
    <r>
      <rPr>
        <b/>
        <sz val="14"/>
        <rFont val="Arial"/>
        <family val="2"/>
      </rPr>
      <t xml:space="preserve">* </t>
    </r>
    <r>
      <rPr>
        <b/>
        <sz val="10"/>
        <color rgb="FF000000"/>
        <rFont val="Arial"/>
        <family val="2"/>
      </rPr>
      <t>Nota: El importe especificado en la columna de Reintegros corresponde al Presupuesto de Egresos que a la fecha no ha sido Devengado, sin embargo, el cálculo real de este será hasta que finalice el presente ejercicio, es decir, el real a Reintegrar será el que resulte hasta el 31 de diciembre del presente año.</t>
    </r>
  </si>
  <si>
    <r>
      <rPr>
        <b/>
        <sz val="14"/>
        <rFont val="Arial"/>
        <family val="2"/>
      </rPr>
      <t>*</t>
    </r>
    <r>
      <rPr>
        <b/>
        <sz val="10"/>
        <rFont val="Arial"/>
        <family val="2"/>
      </rPr>
      <t xml:space="preserve">  El Aprobado muestra el Presupuesto Aprobado más Ampliaciones/Reducciones.</t>
    </r>
  </si>
  <si>
    <t>.</t>
  </si>
  <si>
    <t xml:space="preserve">       JOSÉ ANTONIO HERNÁNDEZ FRAGUAS</t>
  </si>
  <si>
    <t xml:space="preserve">                     PRESIDENTE MUNICIPAL                                                                          TESORERO MUNICIPAL</t>
  </si>
  <si>
    <t>MARÍA DE LOS ANGELES GÓMEZ SANDOVAL HERNÁNDEZ</t>
  </si>
  <si>
    <t xml:space="preserve">                                                         JUAN ENRIQUE LIRA VASQUEZ</t>
  </si>
  <si>
    <t>30/01/2018</t>
  </si>
  <si>
    <t>1..12</t>
  </si>
  <si>
    <t>2017</t>
  </si>
  <si>
    <t>Ejercicio Cve. presu</t>
  </si>
  <si>
    <t>Clasif Programatica</t>
  </si>
  <si>
    <t>Área funcional</t>
  </si>
  <si>
    <t/>
  </si>
  <si>
    <t>Pos.presupuestaria</t>
  </si>
  <si>
    <t>Presupuesto</t>
  </si>
  <si>
    <t>Devengado</t>
  </si>
  <si>
    <t>Pagado</t>
  </si>
  <si>
    <t>Reintegro</t>
  </si>
  <si>
    <t>11</t>
  </si>
  <si>
    <t>I</t>
  </si>
  <si>
    <t>22076014I333</t>
  </si>
  <si>
    <t>33F FONDO APORT. INFRA S.</t>
  </si>
  <si>
    <t>12</t>
  </si>
  <si>
    <t>13</t>
  </si>
  <si>
    <t>15</t>
  </si>
  <si>
    <t>M</t>
  </si>
  <si>
    <t>15015032M101</t>
  </si>
  <si>
    <t>U</t>
  </si>
  <si>
    <t>22076014U238</t>
  </si>
  <si>
    <t>23CONTINGENCIA ECONOMICAS</t>
  </si>
  <si>
    <t>16</t>
  </si>
  <si>
    <t>17015016I334</t>
  </si>
  <si>
    <t>33 FORTAMUN-DF</t>
  </si>
  <si>
    <t>22075016I333</t>
  </si>
  <si>
    <t>33F APORT P/ INFRA S</t>
  </si>
  <si>
    <t>S</t>
  </si>
  <si>
    <t>22015016S238</t>
  </si>
  <si>
    <t>23 F. FINANCIERO 2016</t>
  </si>
  <si>
    <t>22075016S231</t>
  </si>
  <si>
    <t>23 DESARROLLO REGIONAL</t>
  </si>
  <si>
    <t>22075016S239</t>
  </si>
  <si>
    <t>RG23 FORTALECE 2016</t>
  </si>
  <si>
    <t>17</t>
  </si>
  <si>
    <t>E</t>
  </si>
  <si>
    <t>17011011E103</t>
  </si>
  <si>
    <t>17015017I334</t>
  </si>
  <si>
    <t>33 RAMO 33 FONDO IV</t>
  </si>
  <si>
    <t>22015017I334</t>
  </si>
  <si>
    <t>22075017I333</t>
  </si>
  <si>
    <t>33 RAMO 33 FONDO 111</t>
  </si>
  <si>
    <t>41015017I334</t>
  </si>
  <si>
    <t>22075017S238</t>
  </si>
  <si>
    <t>23 FONDO DE FORTALECIMIEN</t>
  </si>
  <si>
    <t>22075017S239</t>
  </si>
  <si>
    <t>23 F. FORTALECIMIENTO PAR</t>
  </si>
  <si>
    <t>22015017U236</t>
  </si>
  <si>
    <t>23 PROGRAMAS REGIONALES</t>
  </si>
  <si>
    <t>22015017U238</t>
  </si>
  <si>
    <t>23 CONTINGENCIAS ECONÓMIC</t>
  </si>
  <si>
    <t>Resultado total</t>
  </si>
  <si>
    <t>22013082E208</t>
  </si>
  <si>
    <t>15015041M101</t>
  </si>
  <si>
    <t>18015041M103</t>
  </si>
  <si>
    <t>CONTROL FIN Y ADMÓN</t>
  </si>
  <si>
    <t>12021071E209</t>
  </si>
  <si>
    <t>12041061E101</t>
  </si>
  <si>
    <t>13012121E209</t>
  </si>
  <si>
    <t>13033071E207</t>
  </si>
  <si>
    <t>13041061E101</t>
  </si>
  <si>
    <t>13041061E1E1</t>
  </si>
  <si>
    <t>SECRETARÍA MUNICIPAL</t>
  </si>
  <si>
    <t>13041071E102</t>
  </si>
  <si>
    <t>13041071E209</t>
  </si>
  <si>
    <t>13041081E209</t>
  </si>
  <si>
    <t>13042111E204</t>
  </si>
  <si>
    <t>13042121E206</t>
  </si>
  <si>
    <t>13051061E101</t>
  </si>
  <si>
    <t>13071081E205</t>
  </si>
  <si>
    <t>13071082E205</t>
  </si>
  <si>
    <t>17021031E103</t>
  </si>
  <si>
    <t>17031011E101</t>
  </si>
  <si>
    <t>SEG. INT. COMISARÍA</t>
  </si>
  <si>
    <t>17031011E103</t>
  </si>
  <si>
    <t>17031021E103</t>
  </si>
  <si>
    <t>18032121E206</t>
  </si>
  <si>
    <t>21063051E207</t>
  </si>
  <si>
    <t>22012121E207</t>
  </si>
  <si>
    <t>22012121E209</t>
  </si>
  <si>
    <t>22012121E208</t>
  </si>
  <si>
    <t>SRÍA DES URB OBRA PÚBLICA</t>
  </si>
  <si>
    <t>SRIA. DES. URB. URB Y E.</t>
  </si>
  <si>
    <t>22013071E207</t>
  </si>
  <si>
    <t>22013081E208</t>
  </si>
  <si>
    <t>22013082E207</t>
  </si>
  <si>
    <t>22042102E201</t>
  </si>
  <si>
    <t>22052091E210</t>
  </si>
  <si>
    <t>22062103E201</t>
  </si>
  <si>
    <t>22062106E201</t>
  </si>
  <si>
    <t>22073081E208</t>
  </si>
  <si>
    <t>23022012E202</t>
  </si>
  <si>
    <t>24012063E203</t>
  </si>
  <si>
    <t>24022022E202</t>
  </si>
  <si>
    <t>24042042E203</t>
  </si>
  <si>
    <t>25062031E202</t>
  </si>
  <si>
    <t>26012071E213</t>
  </si>
  <si>
    <t>26082012E212</t>
  </si>
  <si>
    <t>26082081E211</t>
  </si>
  <si>
    <t>26082121E202</t>
  </si>
  <si>
    <t>26082121E203</t>
  </si>
  <si>
    <t>SALUD EDUC. S. D. HUM.</t>
  </si>
  <si>
    <t>27012054E203</t>
  </si>
  <si>
    <t>31013021E301</t>
  </si>
  <si>
    <t>31013031E302</t>
  </si>
  <si>
    <t>F</t>
  </si>
  <si>
    <t>37014011F101</t>
  </si>
  <si>
    <t>37014013F102</t>
  </si>
  <si>
    <t>37014018F102</t>
  </si>
  <si>
    <t>15025022M101</t>
  </si>
  <si>
    <t>15025031M101</t>
  </si>
  <si>
    <t>18015041M101</t>
  </si>
  <si>
    <t>O</t>
  </si>
  <si>
    <t>11025021O103</t>
  </si>
  <si>
    <t>11025022O103</t>
  </si>
  <si>
    <t>18013062O102</t>
  </si>
  <si>
    <t>18045023O103</t>
  </si>
  <si>
    <t>22013062O102</t>
  </si>
  <si>
    <t>38045011O101</t>
  </si>
  <si>
    <t>R</t>
  </si>
  <si>
    <t>1.AF.INGRESO</t>
  </si>
  <si>
    <t>AF FUNCIONAL REG INGRESO</t>
  </si>
  <si>
    <t>JAZMIN AURORA QUINTERO DE PABLO</t>
  </si>
  <si>
    <t xml:space="preserve">             LIUDMILA ZARATE VELASCO</t>
  </si>
  <si>
    <t>Del 01 de Enero al 31 DE Diciembre 2017</t>
  </si>
  <si>
    <t>REGIDORA DE HACIENDA MUNICIPAL Y CONTRALORIA</t>
  </si>
  <si>
    <t xml:space="preserve">        SINDICA PRIMERA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</si>
</sst>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.00"/>
    <numFmt numFmtId="165" formatCode="#,##0.0000000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b/>
      <sz val="14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2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3" fillId="0" borderId="0"/>
    <xf numFmtId="0" fontId="33" fillId="7" borderId="4" applyNumberFormat="0" applyFont="0" applyAlignment="0" applyProtection="0"/>
    <xf numFmtId="0" fontId="2" fillId="0" borderId="0"/>
    <xf numFmtId="4" fontId="34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3" fillId="21" borderId="6" applyNumberFormat="0" applyProtection="0">
      <alignment horizontal="left" vertical="center" indent="1"/>
    </xf>
    <xf numFmtId="0" fontId="33" fillId="21" borderId="6" applyNumberFormat="0" applyProtection="0">
      <alignment horizontal="left" vertical="top" indent="1"/>
    </xf>
    <xf numFmtId="0" fontId="33" fillId="9" borderId="6" applyNumberFormat="0" applyProtection="0">
      <alignment horizontal="left" vertical="center" indent="1"/>
    </xf>
    <xf numFmtId="0" fontId="33" fillId="9" borderId="6" applyNumberFormat="0" applyProtection="0">
      <alignment horizontal="left" vertical="top" indent="1"/>
    </xf>
    <xf numFmtId="0" fontId="33" fillId="22" borderId="6" applyNumberFormat="0" applyProtection="0">
      <alignment horizontal="left" vertical="center" indent="1"/>
    </xf>
    <xf numFmtId="0" fontId="33" fillId="22" borderId="6" applyNumberFormat="0" applyProtection="0">
      <alignment horizontal="left" vertical="top" indent="1"/>
    </xf>
    <xf numFmtId="0" fontId="33" fillId="20" borderId="6" applyNumberFormat="0" applyProtection="0">
      <alignment horizontal="left" vertical="center" indent="1"/>
    </xf>
    <xf numFmtId="0" fontId="33" fillId="20" borderId="6" applyNumberFormat="0" applyProtection="0">
      <alignment horizontal="left" vertical="top" indent="1"/>
    </xf>
    <xf numFmtId="0" fontId="33" fillId="23" borderId="8" applyNumberFormat="0">
      <protection locked="0"/>
    </xf>
    <xf numFmtId="4" fontId="35" fillId="2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33" fillId="0" borderId="0"/>
    <xf numFmtId="0" fontId="33" fillId="0" borderId="0"/>
  </cellStyleXfs>
  <cellXfs count="79">
    <xf numFmtId="0" fontId="0" fillId="0" borderId="0" xfId="0"/>
    <xf numFmtId="4" fontId="0" fillId="0" borderId="0" xfId="0" applyNumberFormat="1"/>
    <xf numFmtId="164" fontId="0" fillId="0" borderId="0" xfId="0" applyNumberFormat="1"/>
    <xf numFmtId="0" fontId="0" fillId="0" borderId="0" xfId="0" quotePrefix="1" applyAlignment="1"/>
    <xf numFmtId="0" fontId="0" fillId="0" borderId="19" xfId="0" applyBorder="1"/>
    <xf numFmtId="0" fontId="0" fillId="0" borderId="21" xfId="0" applyBorder="1"/>
    <xf numFmtId="164" fontId="0" fillId="0" borderId="21" xfId="0" applyNumberFormat="1" applyBorder="1"/>
    <xf numFmtId="0" fontId="0" fillId="0" borderId="20" xfId="0" applyBorder="1"/>
    <xf numFmtId="164" fontId="0" fillId="0" borderId="20" xfId="0" applyNumberFormat="1" applyBorder="1"/>
    <xf numFmtId="0" fontId="32" fillId="0" borderId="16" xfId="60" applyFont="1" applyFill="1" applyBorder="1" applyAlignment="1">
      <alignment horizontal="center" vertical="center" wrapText="1"/>
    </xf>
    <xf numFmtId="0" fontId="32" fillId="0" borderId="16" xfId="60" applyFont="1" applyBorder="1" applyAlignment="1">
      <alignment horizontal="center" vertical="center" wrapText="1"/>
    </xf>
    <xf numFmtId="0" fontId="33" fillId="0" borderId="0" xfId="81"/>
    <xf numFmtId="164" fontId="33" fillId="0" borderId="0" xfId="81" applyNumberFormat="1"/>
    <xf numFmtId="0" fontId="37" fillId="0" borderId="0" xfId="80" applyFont="1" applyBorder="1"/>
    <xf numFmtId="0" fontId="37" fillId="0" borderId="0" xfId="81" applyFont="1" applyBorder="1"/>
    <xf numFmtId="4" fontId="37" fillId="0" borderId="0" xfId="81" applyNumberFormat="1" applyFont="1" applyBorder="1"/>
    <xf numFmtId="0" fontId="36" fillId="0" borderId="0" xfId="80" applyFont="1" applyBorder="1"/>
    <xf numFmtId="0" fontId="33" fillId="0" borderId="0" xfId="81" applyBorder="1"/>
    <xf numFmtId="4" fontId="33" fillId="0" borderId="0" xfId="81" applyNumberFormat="1" applyBorder="1"/>
    <xf numFmtId="0" fontId="33" fillId="0" borderId="0" xfId="80" applyBorder="1"/>
    <xf numFmtId="4" fontId="36" fillId="0" borderId="0" xfId="81" applyNumberFormat="1" applyFont="1" applyBorder="1"/>
    <xf numFmtId="0" fontId="36" fillId="0" borderId="0" xfId="81" quotePrefix="1" applyFont="1" applyBorder="1"/>
    <xf numFmtId="0" fontId="37" fillId="0" borderId="0" xfId="80" applyFont="1" applyBorder="1" applyAlignment="1">
      <alignment horizontal="left"/>
    </xf>
    <xf numFmtId="0" fontId="31" fillId="0" borderId="17" xfId="60" applyFont="1" applyBorder="1" applyAlignment="1">
      <alignment vertical="center"/>
    </xf>
    <xf numFmtId="0" fontId="31" fillId="0" borderId="0" xfId="60" applyFont="1" applyBorder="1" applyAlignment="1">
      <alignment vertical="center"/>
    </xf>
    <xf numFmtId="0" fontId="2" fillId="0" borderId="17" xfId="60" applyFont="1" applyBorder="1" applyAlignment="1">
      <alignment vertical="center"/>
    </xf>
    <xf numFmtId="0" fontId="2" fillId="0" borderId="0" xfId="60" applyFont="1" applyBorder="1" applyAlignment="1">
      <alignment vertical="center"/>
    </xf>
    <xf numFmtId="0" fontId="30" fillId="0" borderId="17" xfId="60" applyFont="1" applyBorder="1" applyAlignment="1">
      <alignment vertical="center"/>
    </xf>
    <xf numFmtId="0" fontId="30" fillId="0" borderId="0" xfId="60" applyFont="1" applyBorder="1" applyAlignment="1">
      <alignment vertical="center"/>
    </xf>
    <xf numFmtId="0" fontId="0" fillId="0" borderId="15" xfId="0" applyBorder="1"/>
    <xf numFmtId="0" fontId="0" fillId="0" borderId="14" xfId="0" applyBorder="1"/>
    <xf numFmtId="0" fontId="33" fillId="0" borderId="13" xfId="0" applyFont="1" applyBorder="1"/>
    <xf numFmtId="0" fontId="33" fillId="0" borderId="0" xfId="0" applyFont="1"/>
    <xf numFmtId="0" fontId="0" fillId="0" borderId="0" xfId="0" applyBorder="1"/>
    <xf numFmtId="0" fontId="37" fillId="0" borderId="0" xfId="0" applyFont="1" applyBorder="1"/>
    <xf numFmtId="4" fontId="40" fillId="0" borderId="0" xfId="0" applyNumberFormat="1" applyFont="1" applyBorder="1"/>
    <xf numFmtId="0" fontId="36" fillId="0" borderId="0" xfId="0" applyFont="1" applyBorder="1"/>
    <xf numFmtId="0" fontId="39" fillId="0" borderId="0" xfId="0" applyFont="1" applyBorder="1"/>
    <xf numFmtId="4" fontId="37" fillId="0" borderId="0" xfId="0" applyNumberFormat="1" applyFont="1" applyBorder="1"/>
    <xf numFmtId="4" fontId="41" fillId="0" borderId="0" xfId="0" applyNumberFormat="1" applyFont="1" applyBorder="1"/>
    <xf numFmtId="4" fontId="0" fillId="0" borderId="0" xfId="0" applyNumberFormat="1" applyBorder="1"/>
    <xf numFmtId="4" fontId="36" fillId="0" borderId="0" xfId="0" applyNumberFormat="1" applyFont="1" applyBorder="1"/>
    <xf numFmtId="0" fontId="36" fillId="0" borderId="0" xfId="0" quotePrefix="1" applyFont="1" applyBorder="1"/>
    <xf numFmtId="0" fontId="37" fillId="0" borderId="0" xfId="0" applyFont="1" applyBorder="1" applyAlignment="1">
      <alignment horizontal="left"/>
    </xf>
    <xf numFmtId="0" fontId="32" fillId="0" borderId="15" xfId="60" applyFont="1" applyBorder="1" applyAlignment="1">
      <alignment horizontal="center" vertical="center" wrapText="1"/>
    </xf>
    <xf numFmtId="0" fontId="36" fillId="0" borderId="0" xfId="0" applyFont="1"/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165" fontId="17" fillId="20" borderId="6" xfId="50" applyNumberFormat="1">
      <alignment horizontal="right" vertical="center"/>
    </xf>
    <xf numFmtId="3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165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0" fontId="37" fillId="0" borderId="0" xfId="0" applyFont="1" applyBorder="1" applyAlignment="1">
      <alignment horizontal="center" wrapText="1"/>
    </xf>
    <xf numFmtId="0" fontId="36" fillId="0" borderId="0" xfId="0" applyFont="1" applyAlignment="1">
      <alignment horizontal="left" vertical="center" wrapText="1"/>
    </xf>
    <xf numFmtId="0" fontId="32" fillId="0" borderId="19" xfId="60" applyFont="1" applyBorder="1" applyAlignment="1">
      <alignment horizontal="center" vertical="center" wrapText="1"/>
    </xf>
    <xf numFmtId="0" fontId="32" fillId="0" borderId="18" xfId="60" applyFont="1" applyBorder="1" applyAlignment="1">
      <alignment horizontal="center" vertical="center" wrapText="1"/>
    </xf>
    <xf numFmtId="0" fontId="30" fillId="0" borderId="24" xfId="60" applyFont="1" applyBorder="1" applyAlignment="1">
      <alignment horizontal="center" vertical="center"/>
    </xf>
    <xf numFmtId="0" fontId="30" fillId="0" borderId="25" xfId="60" applyFont="1" applyBorder="1" applyAlignment="1">
      <alignment horizontal="center" vertical="center"/>
    </xf>
    <xf numFmtId="0" fontId="30" fillId="0" borderId="26" xfId="60" applyFont="1" applyBorder="1" applyAlignment="1">
      <alignment horizontal="center" vertical="center"/>
    </xf>
    <xf numFmtId="0" fontId="31" fillId="0" borderId="17" xfId="60" applyFont="1" applyBorder="1" applyAlignment="1">
      <alignment horizontal="center" vertical="center"/>
    </xf>
    <xf numFmtId="0" fontId="31" fillId="0" borderId="0" xfId="60" applyFont="1" applyBorder="1" applyAlignment="1">
      <alignment horizontal="center" vertical="center"/>
    </xf>
    <xf numFmtId="0" fontId="31" fillId="0" borderId="23" xfId="60" applyFont="1" applyBorder="1" applyAlignment="1">
      <alignment horizontal="center" vertical="center"/>
    </xf>
    <xf numFmtId="0" fontId="1" fillId="0" borderId="17" xfId="60" applyFont="1" applyBorder="1" applyAlignment="1">
      <alignment horizontal="center" vertical="center"/>
    </xf>
    <xf numFmtId="0" fontId="2" fillId="0" borderId="0" xfId="60" applyFont="1" applyBorder="1" applyAlignment="1">
      <alignment horizontal="center" vertical="center"/>
    </xf>
    <xf numFmtId="0" fontId="2" fillId="0" borderId="23" xfId="60" applyFont="1" applyBorder="1" applyAlignment="1">
      <alignment horizontal="center" vertical="center"/>
    </xf>
    <xf numFmtId="0" fontId="2" fillId="0" borderId="27" xfId="60" applyFont="1" applyBorder="1" applyAlignment="1">
      <alignment horizontal="center" vertical="center"/>
    </xf>
    <xf numFmtId="0" fontId="2" fillId="0" borderId="22" xfId="60" applyFont="1" applyBorder="1" applyAlignment="1">
      <alignment horizontal="center" vertical="center"/>
    </xf>
    <xf numFmtId="0" fontId="2" fillId="0" borderId="16" xfId="60" applyFont="1" applyBorder="1" applyAlignment="1">
      <alignment horizontal="center" vertical="center"/>
    </xf>
    <xf numFmtId="0" fontId="32" fillId="0" borderId="13" xfId="60" applyFont="1" applyBorder="1" applyAlignment="1">
      <alignment horizontal="center" vertical="center"/>
    </xf>
    <xf numFmtId="0" fontId="32" fillId="0" borderId="14" xfId="60" applyFont="1" applyBorder="1" applyAlignment="1">
      <alignment horizontal="center" vertical="center"/>
    </xf>
    <xf numFmtId="0" fontId="32" fillId="0" borderId="15" xfId="60" applyFont="1" applyBorder="1" applyAlignment="1">
      <alignment horizontal="center" vertical="center"/>
    </xf>
    <xf numFmtId="0" fontId="32" fillId="0" borderId="19" xfId="60" applyFont="1" applyBorder="1" applyAlignment="1">
      <alignment horizontal="center" vertical="center"/>
    </xf>
    <xf numFmtId="0" fontId="32" fillId="0" borderId="18" xfId="60" applyFont="1" applyBorder="1" applyAlignment="1">
      <alignment horizontal="center" vertical="center"/>
    </xf>
    <xf numFmtId="0" fontId="32" fillId="0" borderId="24" xfId="60" applyFont="1" applyBorder="1" applyAlignment="1">
      <alignment horizontal="center" vertical="center" wrapText="1"/>
    </xf>
    <xf numFmtId="0" fontId="32" fillId="0" borderId="26" xfId="60" applyFont="1" applyBorder="1" applyAlignment="1">
      <alignment horizontal="center" vertical="center" wrapText="1"/>
    </xf>
    <xf numFmtId="0" fontId="32" fillId="0" borderId="27" xfId="60" applyFont="1" applyBorder="1" applyAlignment="1">
      <alignment horizontal="center" vertical="center" wrapText="1"/>
    </xf>
    <xf numFmtId="0" fontId="32" fillId="0" borderId="16" xfId="60" applyFont="1" applyBorder="1" applyAlignment="1">
      <alignment horizontal="center" vertical="center" wrapText="1"/>
    </xf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127003</xdr:colOff>
      <xdr:row>1</xdr:row>
      <xdr:rowOff>109541</xdr:rowOff>
    </xdr:from>
    <xdr:to>
      <xdr:col>0</xdr:col>
      <xdr:colOff>1037167</xdr:colOff>
      <xdr:row>4</xdr:row>
      <xdr:rowOff>80985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27003" y="109541"/>
          <a:ext cx="910164" cy="606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381696</xdr:colOff>
      <xdr:row>1</xdr:row>
      <xdr:rowOff>42334</xdr:rowOff>
    </xdr:from>
    <xdr:to>
      <xdr:col>8</xdr:col>
      <xdr:colOff>1036469</xdr:colOff>
      <xdr:row>4</xdr:row>
      <xdr:rowOff>155672</xdr:rowOff>
    </xdr:to>
    <xdr:pic>
      <xdr:nvPicPr>
        <xdr:cNvPr id="8" name="Imagen 7" descr="Imágenes integradas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11208446" y="42334"/>
          <a:ext cx="1935356" cy="74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3054350</xdr:colOff>
      <xdr:row>0</xdr:row>
      <xdr:rowOff>0</xdr:rowOff>
    </xdr:to>
    <xdr:pic macro="[1]!DesignIconClicked">
      <xdr:nvPicPr>
        <xdr:cNvPr id="20" name="BExF827KQMQJRUB1STK0GQL49041" hidden="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2075" y="0"/>
          <a:ext cx="3054350" cy="0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1263650</xdr:colOff>
      <xdr:row>0</xdr:row>
      <xdr:rowOff>0</xdr:rowOff>
    </xdr:to>
    <xdr:pic macro="[1]!DesignIconClicked">
      <xdr:nvPicPr>
        <xdr:cNvPr id="21" name="BExTW1JB02PPJ9CFFO0F620G1UKC" hidden="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0400" y="0"/>
          <a:ext cx="126365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3</xdr:col>
      <xdr:colOff>4006850</xdr:colOff>
      <xdr:row>0</xdr:row>
      <xdr:rowOff>0</xdr:rowOff>
    </xdr:to>
    <xdr:pic macro="[1]!DesignIconClicked">
      <xdr:nvPicPr>
        <xdr:cNvPr id="19" name="BExAXBO7XHEDUCHZDBHJX68GPJVO" hidden="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5" y="0"/>
          <a:ext cx="400685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1263650</xdr:colOff>
      <xdr:row>114</xdr:row>
      <xdr:rowOff>149225</xdr:rowOff>
    </xdr:to>
    <xdr:pic macro="[1]!DesignIconClicked">
      <xdr:nvPicPr>
        <xdr:cNvPr id="2" name="BExKKIBF0J3ZYSCT57G1RUSD1RVR" hidden="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007850" cy="186086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200</xdr:row>
      <xdr:rowOff>0</xdr:rowOff>
    </xdr:from>
    <xdr:to>
      <xdr:col>8</xdr:col>
      <xdr:colOff>1263650</xdr:colOff>
      <xdr:row>2649</xdr:row>
      <xdr:rowOff>149225</xdr:rowOff>
    </xdr:to>
    <xdr:pic macro="[1]!DesignIconClicked">
      <xdr:nvPicPr>
        <xdr:cNvPr id="3" name="BExXQUQWDFGF9F30CGG42LFFPHLD" hidden="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385000"/>
          <a:ext cx="12007850" cy="3967035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BexGetData"/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10"/>
  <sheetViews>
    <sheetView showGridLines="0" tabSelected="1" zoomScale="90" zoomScaleNormal="90" workbookViewId="0">
      <pane ySplit="7" topLeftCell="A2433" activePane="bottomLeft" state="frozen"/>
      <selection activeCell="A2" sqref="A2"/>
      <selection pane="bottomLeft" activeCell="F2443" sqref="F2443"/>
    </sheetView>
  </sheetViews>
  <sheetFormatPr baseColWidth="10" defaultRowHeight="12.75" x14ac:dyDescent="0.2"/>
  <cols>
    <col min="1" max="1" width="17.28515625" customWidth="1"/>
    <col min="2" max="2" width="12.7109375" hidden="1" customWidth="1"/>
    <col min="3" max="3" width="8.7109375" hidden="1" customWidth="1"/>
    <col min="4" max="4" width="60.28515625" customWidth="1"/>
    <col min="5" max="5" width="46" customWidth="1"/>
    <col min="6" max="6" width="19.7109375" customWidth="1"/>
    <col min="7" max="7" width="19" customWidth="1"/>
    <col min="8" max="8" width="19.140625" customWidth="1"/>
    <col min="9" max="9" width="17.28515625" customWidth="1"/>
    <col min="10" max="10" width="16" customWidth="1"/>
    <col min="11" max="11" width="18.7109375" customWidth="1"/>
    <col min="12" max="12" width="11.7109375" bestFit="1" customWidth="1"/>
  </cols>
  <sheetData>
    <row r="1" spans="1:20" ht="13.5" hidden="1" thickBot="1" x14ac:dyDescent="0.25">
      <c r="D1" s="3" t="s">
        <v>28</v>
      </c>
      <c r="E1" s="3" t="s">
        <v>26</v>
      </c>
      <c r="H1" s="3" t="s">
        <v>27</v>
      </c>
      <c r="I1" t="str">
        <f>IF(AND(LEN(H1)&gt;0,LEN(H1)&lt;=2),MID(H1,1,2),MID(H1,1,FIND(".",H1)-1))</f>
        <v>1</v>
      </c>
      <c r="J1" t="str">
        <f>IF(LEN(H1)&gt;2,MID(H1,FIND(".",H1)+2,2),0)</f>
        <v>12</v>
      </c>
      <c r="L1" t="str">
        <f>IF(I1="1","Ene",IF(I1="2","Feb",IF(I1="3","Mar",IF(I1="4","Abr",IF(I1="5","May",IF(I1="6","Jun",IF(I1="7","Jul",IF(I1="8","Ago",IF(I1="9","Sep",IF(I1="10","Oct",IF(I1="11","Nov","Dic")))))))))))</f>
        <v>Ene</v>
      </c>
      <c r="M1" t="str">
        <f>IF(J1&lt;&gt;0,IF(J1="1","Ene",IF(J1="2","Feb",IF(J1="3","Mar",IF(J1="4","Abr",IF(J1="5","May",IF(J1="6","Jun",IF(J1="7","Jul",IF(J1="8","Ago",IF(J1="9","Sep",IF(J1="10","Oct",IF(J1="11","Nov","Dic"))))))))))),0)</f>
        <v>Dic</v>
      </c>
    </row>
    <row r="2" spans="1:20" ht="18.75" x14ac:dyDescent="0.2">
      <c r="A2" s="58" t="s">
        <v>9</v>
      </c>
      <c r="B2" s="59"/>
      <c r="C2" s="59"/>
      <c r="D2" s="59"/>
      <c r="E2" s="59"/>
      <c r="F2" s="59"/>
      <c r="G2" s="59"/>
      <c r="H2" s="59"/>
      <c r="I2" s="60"/>
      <c r="J2" s="27"/>
      <c r="K2" s="28"/>
    </row>
    <row r="3" spans="1:20" ht="15.75" x14ac:dyDescent="0.2">
      <c r="A3" s="61" t="s">
        <v>6</v>
      </c>
      <c r="B3" s="62"/>
      <c r="C3" s="62"/>
      <c r="D3" s="62"/>
      <c r="E3" s="62"/>
      <c r="F3" s="62"/>
      <c r="G3" s="62"/>
      <c r="H3" s="62"/>
      <c r="I3" s="63"/>
      <c r="J3" s="23"/>
      <c r="K3" s="24"/>
    </row>
    <row r="4" spans="1:20" ht="15" x14ac:dyDescent="0.2">
      <c r="A4" s="64" t="s">
        <v>152</v>
      </c>
      <c r="B4" s="65"/>
      <c r="C4" s="65"/>
      <c r="D4" s="65"/>
      <c r="E4" s="65"/>
      <c r="F4" s="65"/>
      <c r="G4" s="65"/>
      <c r="H4" s="65"/>
      <c r="I4" s="66"/>
      <c r="J4" s="25"/>
      <c r="K4" s="26"/>
    </row>
    <row r="5" spans="1:20" ht="15.75" thickBot="1" x14ac:dyDescent="0.25">
      <c r="A5" s="67"/>
      <c r="B5" s="68"/>
      <c r="C5" s="68"/>
      <c r="D5" s="68"/>
      <c r="E5" s="68"/>
      <c r="F5" s="68"/>
      <c r="G5" s="68"/>
      <c r="H5" s="68"/>
      <c r="I5" s="69"/>
      <c r="J5" s="25"/>
      <c r="K5" s="26"/>
      <c r="T5" t="s">
        <v>21</v>
      </c>
    </row>
    <row r="6" spans="1:20" ht="27" customHeight="1" thickBot="1" x14ac:dyDescent="0.25">
      <c r="A6" s="56" t="s">
        <v>7</v>
      </c>
      <c r="B6" s="56" t="s">
        <v>16</v>
      </c>
      <c r="C6" s="75" t="s">
        <v>17</v>
      </c>
      <c r="D6" s="76"/>
      <c r="E6" s="73" t="s">
        <v>0</v>
      </c>
      <c r="F6" s="70" t="s">
        <v>1</v>
      </c>
      <c r="G6" s="71"/>
      <c r="H6" s="72"/>
      <c r="I6" s="44" t="s">
        <v>18</v>
      </c>
    </row>
    <row r="7" spans="1:20" ht="30.75" customHeight="1" thickBot="1" x14ac:dyDescent="0.25">
      <c r="A7" s="57"/>
      <c r="B7" s="57"/>
      <c r="C7" s="77"/>
      <c r="D7" s="78"/>
      <c r="E7" s="74"/>
      <c r="F7" s="9" t="s">
        <v>8</v>
      </c>
      <c r="G7" s="10" t="s">
        <v>2</v>
      </c>
      <c r="H7" s="10" t="s">
        <v>3</v>
      </c>
      <c r="I7" s="10" t="s">
        <v>4</v>
      </c>
    </row>
    <row r="8" spans="1:20" x14ac:dyDescent="0.2">
      <c r="A8" s="5" t="str">
        <f>IF('FUENTE NO BORRAR'!A2="","",(IF('FUENTE NO BORRAR'!A2&lt;&gt;"Resultado total",'FUENTE NO BORRAR'!A2,"")))</f>
        <v>11</v>
      </c>
      <c r="B8" s="4" t="str">
        <f>IF('FUENTE NO BORRAR'!B2="","",'FUENTE NO BORRAR'!B2)</f>
        <v>I</v>
      </c>
      <c r="C8" s="4" t="str">
        <f>IF('FUENTE NO BORRAR'!C2="","",'FUENTE NO BORRAR'!C2)</f>
        <v>22076014I333</v>
      </c>
      <c r="D8" s="4" t="str">
        <f>IF('FUENTE NO BORRAR'!D2="","",'FUENTE NO BORRAR'!D2)</f>
        <v>33F FONDO APORT. INFRA S.</v>
      </c>
      <c r="E8" s="4" t="str">
        <f>IF('FUENTE NO BORRAR'!E2="","",'FUENTE NO BORRAR'!E2)</f>
        <v/>
      </c>
      <c r="F8" s="6">
        <f>IF('FUENTE NO BORRAR'!F2="","",IF('FUENTE NO BORRAR'!$A2&lt;&gt;"Resultado total",('FUENTE NO BORRAR'!F2),""))</f>
        <v>1209079.33</v>
      </c>
      <c r="G8" s="6">
        <f>IF('FUENTE NO BORRAR'!G2="","",IF('FUENTE NO BORRAR'!$A2&lt;&gt;"Resultado total",('FUENTE NO BORRAR'!G2),""))</f>
        <v>0</v>
      </c>
      <c r="H8" s="6">
        <f>IF('FUENTE NO BORRAR'!H2="","",IF('FUENTE NO BORRAR'!$A2&lt;&gt;"Resultado total",('FUENTE NO BORRAR'!H2),""))</f>
        <v>0</v>
      </c>
      <c r="I8" s="6">
        <f>IF('FUENTE NO BORRAR'!I2="","",IF('FUENTE NO BORRAR'!$A2&lt;&gt;"Resultado total",('FUENTE NO BORRAR'!I2),""))</f>
        <v>1209079.33</v>
      </c>
      <c r="J8" s="1"/>
    </row>
    <row r="9" spans="1:20" x14ac:dyDescent="0.2">
      <c r="A9" s="5" t="str">
        <f>IF('FUENTE NO BORRAR'!A3="","",(IF('FUENTE NO BORRAR'!A3&lt;&gt;"Resultado total",'FUENTE NO BORRAR'!A3,"")))</f>
        <v/>
      </c>
      <c r="B9" s="5" t="str">
        <f>IF('FUENTE NO BORRAR'!B3="","",'FUENTE NO BORRAR'!B3)</f>
        <v/>
      </c>
      <c r="C9" s="5" t="str">
        <f>IF('FUENTE NO BORRAR'!C3="","",'FUENTE NO BORRAR'!C3)</f>
        <v/>
      </c>
      <c r="D9" s="5" t="str">
        <f>IF('FUENTE NO BORRAR'!D3="","",'FUENTE NO BORRAR'!D3)</f>
        <v/>
      </c>
      <c r="E9" s="5" t="str">
        <f>IF('FUENTE NO BORRAR'!E3="","",'FUENTE NO BORRAR'!E3)</f>
        <v/>
      </c>
      <c r="F9" s="6">
        <f>IF('FUENTE NO BORRAR'!F3="","",IF('FUENTE NO BORRAR'!$A3&lt;&gt;"Resultado total",('FUENTE NO BORRAR'!F3),""))</f>
        <v>828721.45</v>
      </c>
      <c r="G9" s="6">
        <f>IF('FUENTE NO BORRAR'!G3="","",IF('FUENTE NO BORRAR'!$A3&lt;&gt;"Resultado total",('FUENTE NO BORRAR'!G3),""))</f>
        <v>0</v>
      </c>
      <c r="H9" s="6">
        <f>IF('FUENTE NO BORRAR'!H3="","",IF('FUENTE NO BORRAR'!$A3&lt;&gt;"Resultado total",('FUENTE NO BORRAR'!H3),""))</f>
        <v>0</v>
      </c>
      <c r="I9" s="6">
        <f>IF('FUENTE NO BORRAR'!I3="","",IF('FUENTE NO BORRAR'!$A3&lt;&gt;"Resultado total",('FUENTE NO BORRAR'!I3),""))</f>
        <v>828721.45</v>
      </c>
    </row>
    <row r="10" spans="1:20" x14ac:dyDescent="0.2">
      <c r="A10" s="5" t="str">
        <f>IF('FUENTE NO BORRAR'!A4="","",(IF('FUENTE NO BORRAR'!A4&lt;&gt;"Resultado total",'FUENTE NO BORRAR'!A4,"")))</f>
        <v>12</v>
      </c>
      <c r="B10" s="5" t="str">
        <f>IF('FUENTE NO BORRAR'!B4="","",'FUENTE NO BORRAR'!B4)</f>
        <v>I</v>
      </c>
      <c r="C10" s="5" t="str">
        <f>IF('FUENTE NO BORRAR'!C4="","",'FUENTE NO BORRAR'!C4)</f>
        <v>22076014I333</v>
      </c>
      <c r="D10" s="5" t="str">
        <f>IF('FUENTE NO BORRAR'!D4="","",'FUENTE NO BORRAR'!D4)</f>
        <v>33F FONDO APORT. INFRA S.</v>
      </c>
      <c r="E10" s="5" t="str">
        <f>IF('FUENTE NO BORRAR'!E4="","",'FUENTE NO BORRAR'!E4)</f>
        <v/>
      </c>
      <c r="F10" s="6">
        <f>IF('FUENTE NO BORRAR'!F4="","",IF('FUENTE NO BORRAR'!$A4&lt;&gt;"Resultado total",('FUENTE NO BORRAR'!F4),""))</f>
        <v>1110312.19</v>
      </c>
      <c r="G10" s="6">
        <f>IF('FUENTE NO BORRAR'!G4="","",IF('FUENTE NO BORRAR'!$A4&lt;&gt;"Resultado total",('FUENTE NO BORRAR'!G4),""))</f>
        <v>0</v>
      </c>
      <c r="H10" s="6">
        <f>IF('FUENTE NO BORRAR'!H4="","",IF('FUENTE NO BORRAR'!$A4&lt;&gt;"Resultado total",('FUENTE NO BORRAR'!H4),""))</f>
        <v>0</v>
      </c>
      <c r="I10" s="6">
        <f>IF('FUENTE NO BORRAR'!I4="","",IF('FUENTE NO BORRAR'!$A4&lt;&gt;"Resultado total",('FUENTE NO BORRAR'!I4),""))</f>
        <v>1110312.19</v>
      </c>
    </row>
    <row r="11" spans="1:20" x14ac:dyDescent="0.2">
      <c r="A11" s="5" t="str">
        <f>IF('FUENTE NO BORRAR'!A5="","",(IF('FUENTE NO BORRAR'!A5&lt;&gt;"Resultado total",'FUENTE NO BORRAR'!A5,"")))</f>
        <v/>
      </c>
      <c r="B11" s="5" t="str">
        <f>IF('FUENTE NO BORRAR'!B5="","",'FUENTE NO BORRAR'!B5)</f>
        <v/>
      </c>
      <c r="C11" s="5" t="str">
        <f>IF('FUENTE NO BORRAR'!C5="","",'FUENTE NO BORRAR'!C5)</f>
        <v/>
      </c>
      <c r="D11" s="5" t="str">
        <f>IF('FUENTE NO BORRAR'!D5="","",'FUENTE NO BORRAR'!D5)</f>
        <v/>
      </c>
      <c r="E11" s="5" t="str">
        <f>IF('FUENTE NO BORRAR'!E5="","",'FUENTE NO BORRAR'!E5)</f>
        <v/>
      </c>
      <c r="F11" s="6">
        <f>IF('FUENTE NO BORRAR'!F5="","",IF('FUENTE NO BORRAR'!$A5&lt;&gt;"Resultado total",('FUENTE NO BORRAR'!F5),""))</f>
        <v>1282229.98</v>
      </c>
      <c r="G11" s="6">
        <f>IF('FUENTE NO BORRAR'!G5="","",IF('FUENTE NO BORRAR'!$A5&lt;&gt;"Resultado total",('FUENTE NO BORRAR'!G5),""))</f>
        <v>0</v>
      </c>
      <c r="H11" s="6">
        <f>IF('FUENTE NO BORRAR'!H5="","",IF('FUENTE NO BORRAR'!$A5&lt;&gt;"Resultado total",('FUENTE NO BORRAR'!H5),""))</f>
        <v>0</v>
      </c>
      <c r="I11" s="6">
        <f>IF('FUENTE NO BORRAR'!I5="","",IF('FUENTE NO BORRAR'!$A5&lt;&gt;"Resultado total",('FUENTE NO BORRAR'!I5),""))</f>
        <v>1282229.98</v>
      </c>
    </row>
    <row r="12" spans="1:20" x14ac:dyDescent="0.2">
      <c r="A12" s="5" t="str">
        <f>IF('FUENTE NO BORRAR'!A6="","",(IF('FUENTE NO BORRAR'!A6&lt;&gt;"Resultado total",'FUENTE NO BORRAR'!A6,"")))</f>
        <v>13</v>
      </c>
      <c r="B12" s="5" t="str">
        <f>IF('FUENTE NO BORRAR'!B6="","",'FUENTE NO BORRAR'!B6)</f>
        <v>I</v>
      </c>
      <c r="C12" s="5" t="str">
        <f>IF('FUENTE NO BORRAR'!C6="","",'FUENTE NO BORRAR'!C6)</f>
        <v>22076014I333</v>
      </c>
      <c r="D12" s="5" t="str">
        <f>IF('FUENTE NO BORRAR'!D6="","",'FUENTE NO BORRAR'!D6)</f>
        <v>33F FONDO APORT. INFRA S.</v>
      </c>
      <c r="E12" s="5" t="str">
        <f>IF('FUENTE NO BORRAR'!E6="","",'FUENTE NO BORRAR'!E6)</f>
        <v/>
      </c>
      <c r="F12" s="6" t="str">
        <f>IF('FUENTE NO BORRAR'!F6="","",IF('FUENTE NO BORRAR'!$A6&lt;&gt;"Resultado total",('FUENTE NO BORRAR'!F6),""))</f>
        <v/>
      </c>
      <c r="G12" s="6">
        <f>IF('FUENTE NO BORRAR'!G6="","",IF('FUENTE NO BORRAR'!$A6&lt;&gt;"Resultado total",('FUENTE NO BORRAR'!G6),""))</f>
        <v>27.84</v>
      </c>
      <c r="H12" s="6">
        <f>IF('FUENTE NO BORRAR'!H6="","",IF('FUENTE NO BORRAR'!$A6&lt;&gt;"Resultado total",('FUENTE NO BORRAR'!H6),""))</f>
        <v>27.84</v>
      </c>
      <c r="I12" s="6">
        <f>IF('FUENTE NO BORRAR'!I6="","",IF('FUENTE NO BORRAR'!$A6&lt;&gt;"Resultado total",('FUENTE NO BORRAR'!I6),""))</f>
        <v>-27.84</v>
      </c>
    </row>
    <row r="13" spans="1:20" x14ac:dyDescent="0.2">
      <c r="A13" s="5" t="str">
        <f>IF('FUENTE NO BORRAR'!A7="","",(IF('FUENTE NO BORRAR'!A7&lt;&gt;"Resultado total",'FUENTE NO BORRAR'!A7,"")))</f>
        <v/>
      </c>
      <c r="B13" s="5" t="str">
        <f>IF('FUENTE NO BORRAR'!B7="","",'FUENTE NO BORRAR'!B7)</f>
        <v/>
      </c>
      <c r="C13" s="5" t="str">
        <f>IF('FUENTE NO BORRAR'!C7="","",'FUENTE NO BORRAR'!C7)</f>
        <v/>
      </c>
      <c r="D13" s="5" t="str">
        <f>IF('FUENTE NO BORRAR'!D7="","",'FUENTE NO BORRAR'!D7)</f>
        <v/>
      </c>
      <c r="E13" s="5" t="str">
        <f>IF('FUENTE NO BORRAR'!E7="","",'FUENTE NO BORRAR'!E7)</f>
        <v/>
      </c>
      <c r="F13" s="6">
        <f>IF('FUENTE NO BORRAR'!F7="","",IF('FUENTE NO BORRAR'!$A7&lt;&gt;"Resultado total",('FUENTE NO BORRAR'!F7),""))</f>
        <v>252068.77</v>
      </c>
      <c r="G13" s="6">
        <f>IF('FUENTE NO BORRAR'!G7="","",IF('FUENTE NO BORRAR'!$A7&lt;&gt;"Resultado total",('FUENTE NO BORRAR'!G7),""))</f>
        <v>0</v>
      </c>
      <c r="H13" s="6">
        <f>IF('FUENTE NO BORRAR'!H7="","",IF('FUENTE NO BORRAR'!$A7&lt;&gt;"Resultado total",('FUENTE NO BORRAR'!H7),""))</f>
        <v>0</v>
      </c>
      <c r="I13" s="6">
        <f>IF('FUENTE NO BORRAR'!I7="","",IF('FUENTE NO BORRAR'!$A7&lt;&gt;"Resultado total",('FUENTE NO BORRAR'!I7),""))</f>
        <v>252068.77</v>
      </c>
    </row>
    <row r="14" spans="1:20" x14ac:dyDescent="0.2">
      <c r="A14" s="5" t="str">
        <f>IF('FUENTE NO BORRAR'!A8="","",(IF('FUENTE NO BORRAR'!A8&lt;&gt;"Resultado total",'FUENTE NO BORRAR'!A8,"")))</f>
        <v/>
      </c>
      <c r="B14" s="5" t="str">
        <f>IF('FUENTE NO BORRAR'!B8="","",'FUENTE NO BORRAR'!B8)</f>
        <v/>
      </c>
      <c r="C14" s="5" t="str">
        <f>IF('FUENTE NO BORRAR'!C8="","",'FUENTE NO BORRAR'!C8)</f>
        <v/>
      </c>
      <c r="D14" s="5" t="str">
        <f>IF('FUENTE NO BORRAR'!D8="","",'FUENTE NO BORRAR'!D8)</f>
        <v/>
      </c>
      <c r="E14" s="5" t="str">
        <f>IF('FUENTE NO BORRAR'!E8="","",'FUENTE NO BORRAR'!E8)</f>
        <v/>
      </c>
      <c r="F14" s="6">
        <f>IF('FUENTE NO BORRAR'!F8="","",IF('FUENTE NO BORRAR'!$A8&lt;&gt;"Resultado total",('FUENTE NO BORRAR'!F8),""))</f>
        <v>83150.17</v>
      </c>
      <c r="G14" s="6">
        <f>IF('FUENTE NO BORRAR'!G8="","",IF('FUENTE NO BORRAR'!$A8&lt;&gt;"Resultado total",('FUENTE NO BORRAR'!G8),""))</f>
        <v>0</v>
      </c>
      <c r="H14" s="6">
        <f>IF('FUENTE NO BORRAR'!H8="","",IF('FUENTE NO BORRAR'!$A8&lt;&gt;"Resultado total",('FUENTE NO BORRAR'!H8),""))</f>
        <v>0</v>
      </c>
      <c r="I14" s="6">
        <f>IF('FUENTE NO BORRAR'!I8="","",IF('FUENTE NO BORRAR'!$A8&lt;&gt;"Resultado total",('FUENTE NO BORRAR'!I8),""))</f>
        <v>83150.17</v>
      </c>
    </row>
    <row r="15" spans="1:20" x14ac:dyDescent="0.2">
      <c r="A15" s="5" t="str">
        <f>IF('FUENTE NO BORRAR'!A9="","",(IF('FUENTE NO BORRAR'!A9&lt;&gt;"Resultado total",'FUENTE NO BORRAR'!A9,"")))</f>
        <v/>
      </c>
      <c r="B15" s="5" t="str">
        <f>IF('FUENTE NO BORRAR'!B9="","",'FUENTE NO BORRAR'!B9)</f>
        <v/>
      </c>
      <c r="C15" s="5" t="str">
        <f>IF('FUENTE NO BORRAR'!C9="","",'FUENTE NO BORRAR'!C9)</f>
        <v/>
      </c>
      <c r="D15" s="5" t="str">
        <f>IF('FUENTE NO BORRAR'!D9="","",'FUENTE NO BORRAR'!D9)</f>
        <v/>
      </c>
      <c r="E15" s="5" t="str">
        <f>IF('FUENTE NO BORRAR'!E9="","",'FUENTE NO BORRAR'!E9)</f>
        <v/>
      </c>
      <c r="F15" s="6">
        <f>IF('FUENTE NO BORRAR'!F9="","",IF('FUENTE NO BORRAR'!$A9&lt;&gt;"Resultado total",('FUENTE NO BORRAR'!F9),""))</f>
        <v>3.21</v>
      </c>
      <c r="G15" s="6">
        <f>IF('FUENTE NO BORRAR'!G9="","",IF('FUENTE NO BORRAR'!$A9&lt;&gt;"Resultado total",('FUENTE NO BORRAR'!G9),""))</f>
        <v>0</v>
      </c>
      <c r="H15" s="6">
        <f>IF('FUENTE NO BORRAR'!H9="","",IF('FUENTE NO BORRAR'!$A9&lt;&gt;"Resultado total",('FUENTE NO BORRAR'!H9),""))</f>
        <v>0</v>
      </c>
      <c r="I15" s="6">
        <f>IF('FUENTE NO BORRAR'!I9="","",IF('FUENTE NO BORRAR'!$A9&lt;&gt;"Resultado total",('FUENTE NO BORRAR'!I9),""))</f>
        <v>3.21</v>
      </c>
    </row>
    <row r="16" spans="1:20" x14ac:dyDescent="0.2">
      <c r="A16" s="5" t="str">
        <f>IF('FUENTE NO BORRAR'!A10="","",(IF('FUENTE NO BORRAR'!A10&lt;&gt;"Resultado total",'FUENTE NO BORRAR'!A10,"")))</f>
        <v>15</v>
      </c>
      <c r="B16" s="5" t="str">
        <f>IF('FUENTE NO BORRAR'!B10="","",'FUENTE NO BORRAR'!B10)</f>
        <v>I</v>
      </c>
      <c r="C16" s="5" t="str">
        <f>IF('FUENTE NO BORRAR'!C10="","",'FUENTE NO BORRAR'!C10)</f>
        <v>22076014I333</v>
      </c>
      <c r="D16" s="5" t="str">
        <f>IF('FUENTE NO BORRAR'!D10="","",'FUENTE NO BORRAR'!D10)</f>
        <v>33F FONDO APORT. INFRA S.</v>
      </c>
      <c r="E16" s="5" t="str">
        <f>IF('FUENTE NO BORRAR'!E10="","",'FUENTE NO BORRAR'!E10)</f>
        <v/>
      </c>
      <c r="F16" s="6">
        <f>IF('FUENTE NO BORRAR'!F10="","",IF('FUENTE NO BORRAR'!$A10&lt;&gt;"Resultado total",('FUENTE NO BORRAR'!F10),""))</f>
        <v>1616.16</v>
      </c>
      <c r="G16" s="6">
        <f>IF('FUENTE NO BORRAR'!G10="","",IF('FUENTE NO BORRAR'!$A10&lt;&gt;"Resultado total",('FUENTE NO BORRAR'!G10),""))</f>
        <v>0</v>
      </c>
      <c r="H16" s="6">
        <f>IF('FUENTE NO BORRAR'!H10="","",IF('FUENTE NO BORRAR'!$A10&lt;&gt;"Resultado total",('FUENTE NO BORRAR'!H10),""))</f>
        <v>0</v>
      </c>
      <c r="I16" s="6">
        <f>IF('FUENTE NO BORRAR'!I10="","",IF('FUENTE NO BORRAR'!$A10&lt;&gt;"Resultado total",('FUENTE NO BORRAR'!I10),""))</f>
        <v>1616.16</v>
      </c>
    </row>
    <row r="17" spans="1:9" x14ac:dyDescent="0.2">
      <c r="A17" s="5" t="str">
        <f>IF('FUENTE NO BORRAR'!A11="","",(IF('FUENTE NO BORRAR'!A11&lt;&gt;"Resultado total",'FUENTE NO BORRAR'!A11,"")))</f>
        <v/>
      </c>
      <c r="B17" s="5" t="str">
        <f>IF('FUENTE NO BORRAR'!B11="","",'FUENTE NO BORRAR'!B11)</f>
        <v/>
      </c>
      <c r="C17" s="5" t="str">
        <f>IF('FUENTE NO BORRAR'!C11="","",'FUENTE NO BORRAR'!C11)</f>
        <v/>
      </c>
      <c r="D17" s="5" t="str">
        <f>IF('FUENTE NO BORRAR'!D11="","",'FUENTE NO BORRAR'!D11)</f>
        <v/>
      </c>
      <c r="E17" s="5" t="str">
        <f>IF('FUENTE NO BORRAR'!E11="","",'FUENTE NO BORRAR'!E11)</f>
        <v/>
      </c>
      <c r="F17" s="6">
        <f>IF('FUENTE NO BORRAR'!F11="","",IF('FUENTE NO BORRAR'!$A11&lt;&gt;"Resultado total",('FUENTE NO BORRAR'!F11),""))</f>
        <v>132.94999999999999</v>
      </c>
      <c r="G17" s="6">
        <f>IF('FUENTE NO BORRAR'!G11="","",IF('FUENTE NO BORRAR'!$A11&lt;&gt;"Resultado total",('FUENTE NO BORRAR'!G11),""))</f>
        <v>0</v>
      </c>
      <c r="H17" s="6">
        <f>IF('FUENTE NO BORRAR'!H11="","",IF('FUENTE NO BORRAR'!$A11&lt;&gt;"Resultado total",('FUENTE NO BORRAR'!H11),""))</f>
        <v>0</v>
      </c>
      <c r="I17" s="6">
        <f>IF('FUENTE NO BORRAR'!I11="","",IF('FUENTE NO BORRAR'!$A11&lt;&gt;"Resultado total",('FUENTE NO BORRAR'!I11),""))</f>
        <v>132.94999999999999</v>
      </c>
    </row>
    <row r="18" spans="1:9" x14ac:dyDescent="0.2">
      <c r="A18" s="5" t="str">
        <f>IF('FUENTE NO BORRAR'!A12="","",(IF('FUENTE NO BORRAR'!A12&lt;&gt;"Resultado total",'FUENTE NO BORRAR'!A12,"")))</f>
        <v/>
      </c>
      <c r="B18" s="5" t="str">
        <f>IF('FUENTE NO BORRAR'!B12="","",'FUENTE NO BORRAR'!B12)</f>
        <v/>
      </c>
      <c r="C18" s="5" t="str">
        <f>IF('FUENTE NO BORRAR'!C12="","",'FUENTE NO BORRAR'!C12)</f>
        <v/>
      </c>
      <c r="D18" s="5" t="str">
        <f>IF('FUENTE NO BORRAR'!D12="","",'FUENTE NO BORRAR'!D12)</f>
        <v/>
      </c>
      <c r="E18" s="5" t="str">
        <f>IF('FUENTE NO BORRAR'!E12="","",'FUENTE NO BORRAR'!E12)</f>
        <v/>
      </c>
      <c r="F18" s="6">
        <f>IF('FUENTE NO BORRAR'!F12="","",IF('FUENTE NO BORRAR'!$A12&lt;&gt;"Resultado total",('FUENTE NO BORRAR'!F12),""))</f>
        <v>47.16</v>
      </c>
      <c r="G18" s="6">
        <f>IF('FUENTE NO BORRAR'!G12="","",IF('FUENTE NO BORRAR'!$A12&lt;&gt;"Resultado total",('FUENTE NO BORRAR'!G12),""))</f>
        <v>0</v>
      </c>
      <c r="H18" s="6">
        <f>IF('FUENTE NO BORRAR'!H12="","",IF('FUENTE NO BORRAR'!$A12&lt;&gt;"Resultado total",('FUENTE NO BORRAR'!H12),""))</f>
        <v>0</v>
      </c>
      <c r="I18" s="6">
        <f>IF('FUENTE NO BORRAR'!I12="","",IF('FUENTE NO BORRAR'!$A12&lt;&gt;"Resultado total",('FUENTE NO BORRAR'!I12),""))</f>
        <v>47.16</v>
      </c>
    </row>
    <row r="19" spans="1:9" x14ac:dyDescent="0.2">
      <c r="A19" s="5" t="str">
        <f>IF('FUENTE NO BORRAR'!A13="","",(IF('FUENTE NO BORRAR'!A13&lt;&gt;"Resultado total",'FUENTE NO BORRAR'!A13,"")))</f>
        <v/>
      </c>
      <c r="B19" s="5" t="str">
        <f>IF('FUENTE NO BORRAR'!B13="","",'FUENTE NO BORRAR'!B13)</f>
        <v/>
      </c>
      <c r="C19" s="5" t="str">
        <f>IF('FUENTE NO BORRAR'!C13="","",'FUENTE NO BORRAR'!C13)</f>
        <v/>
      </c>
      <c r="D19" s="5" t="str">
        <f>IF('FUENTE NO BORRAR'!D13="","",'FUENTE NO BORRAR'!D13)</f>
        <v/>
      </c>
      <c r="E19" s="5" t="str">
        <f>IF('FUENTE NO BORRAR'!E13="","",'FUENTE NO BORRAR'!E13)</f>
        <v/>
      </c>
      <c r="F19" s="6">
        <f>IF('FUENTE NO BORRAR'!F13="","",IF('FUENTE NO BORRAR'!$A13&lt;&gt;"Resultado total",('FUENTE NO BORRAR'!F13),""))</f>
        <v>1509922.61</v>
      </c>
      <c r="G19" s="6">
        <f>IF('FUENTE NO BORRAR'!G13="","",IF('FUENTE NO BORRAR'!$A13&lt;&gt;"Resultado total",('FUENTE NO BORRAR'!G13),""))</f>
        <v>1209509.21</v>
      </c>
      <c r="H19" s="6">
        <f>IF('FUENTE NO BORRAR'!H13="","",IF('FUENTE NO BORRAR'!$A13&lt;&gt;"Resultado total",('FUENTE NO BORRAR'!H13),""))</f>
        <v>1196997.05</v>
      </c>
      <c r="I19" s="6">
        <f>IF('FUENTE NO BORRAR'!I13="","",IF('FUENTE NO BORRAR'!$A13&lt;&gt;"Resultado total",('FUENTE NO BORRAR'!I13),""))</f>
        <v>300413.40000000002</v>
      </c>
    </row>
    <row r="20" spans="1:9" x14ac:dyDescent="0.2">
      <c r="A20" s="5" t="str">
        <f>IF('FUENTE NO BORRAR'!A14="","",(IF('FUENTE NO BORRAR'!A14&lt;&gt;"Resultado total",'FUENTE NO BORRAR'!A14,"")))</f>
        <v/>
      </c>
      <c r="B20" s="5" t="str">
        <f>IF('FUENTE NO BORRAR'!B14="","",'FUENTE NO BORRAR'!B14)</f>
        <v/>
      </c>
      <c r="C20" s="5" t="str">
        <f>IF('FUENTE NO BORRAR'!C14="","",'FUENTE NO BORRAR'!C14)</f>
        <v/>
      </c>
      <c r="D20" s="5" t="str">
        <f>IF('FUENTE NO BORRAR'!D14="","",'FUENTE NO BORRAR'!D14)</f>
        <v/>
      </c>
      <c r="E20" s="5" t="str">
        <f>IF('FUENTE NO BORRAR'!E14="","",'FUENTE NO BORRAR'!E14)</f>
        <v/>
      </c>
      <c r="F20" s="6">
        <f>IF('FUENTE NO BORRAR'!F14="","",IF('FUENTE NO BORRAR'!$A14&lt;&gt;"Resultado total",('FUENTE NO BORRAR'!F14),""))</f>
        <v>948979.16</v>
      </c>
      <c r="G20" s="6">
        <f>IF('FUENTE NO BORRAR'!G14="","",IF('FUENTE NO BORRAR'!$A14&lt;&gt;"Resultado total",('FUENTE NO BORRAR'!G14),""))</f>
        <v>0</v>
      </c>
      <c r="H20" s="6">
        <f>IF('FUENTE NO BORRAR'!H14="","",IF('FUENTE NO BORRAR'!$A14&lt;&gt;"Resultado total",('FUENTE NO BORRAR'!H14),""))</f>
        <v>0</v>
      </c>
      <c r="I20" s="6">
        <f>IF('FUENTE NO BORRAR'!I14="","",IF('FUENTE NO BORRAR'!$A14&lt;&gt;"Resultado total",('FUENTE NO BORRAR'!I14),""))</f>
        <v>948979.16</v>
      </c>
    </row>
    <row r="21" spans="1:9" x14ac:dyDescent="0.2">
      <c r="A21" s="5" t="str">
        <f>IF('FUENTE NO BORRAR'!A15="","",(IF('FUENTE NO BORRAR'!A15&lt;&gt;"Resultado total",'FUENTE NO BORRAR'!A15,"")))</f>
        <v/>
      </c>
      <c r="B21" s="5" t="str">
        <f>IF('FUENTE NO BORRAR'!B15="","",'FUENTE NO BORRAR'!B15)</f>
        <v>M</v>
      </c>
      <c r="C21" s="5" t="str">
        <f>IF('FUENTE NO BORRAR'!C15="","",'FUENTE NO BORRAR'!C15)</f>
        <v>15015032M101</v>
      </c>
      <c r="D21" s="5" t="str">
        <f>IF('FUENTE NO BORRAR'!D15="","",'FUENTE NO BORRAR'!D15)</f>
        <v>15015032M101</v>
      </c>
      <c r="E21" s="5" t="str">
        <f>IF('FUENTE NO BORRAR'!E15="","",'FUENTE NO BORRAR'!E15)</f>
        <v/>
      </c>
      <c r="F21" s="6" t="str">
        <f>IF('FUENTE NO BORRAR'!F15="","",IF('FUENTE NO BORRAR'!$A15&lt;&gt;"Resultado total",('FUENTE NO BORRAR'!F15),""))</f>
        <v/>
      </c>
      <c r="G21" s="6">
        <f>IF('FUENTE NO BORRAR'!G15="","",IF('FUENTE NO BORRAR'!$A15&lt;&gt;"Resultado total",('FUENTE NO BORRAR'!G15),""))</f>
        <v>6871.45</v>
      </c>
      <c r="H21" s="6">
        <f>IF('FUENTE NO BORRAR'!H15="","",IF('FUENTE NO BORRAR'!$A15&lt;&gt;"Resultado total",('FUENTE NO BORRAR'!H15),""))</f>
        <v>6871.45</v>
      </c>
      <c r="I21" s="6">
        <f>IF('FUENTE NO BORRAR'!I15="","",IF('FUENTE NO BORRAR'!$A15&lt;&gt;"Resultado total",('FUENTE NO BORRAR'!I15),""))</f>
        <v>-6871.45</v>
      </c>
    </row>
    <row r="22" spans="1:9" x14ac:dyDescent="0.2">
      <c r="A22" s="5" t="str">
        <f>IF('FUENTE NO BORRAR'!A16="","",(IF('FUENTE NO BORRAR'!A16&lt;&gt;"Resultado total",'FUENTE NO BORRAR'!A16,"")))</f>
        <v/>
      </c>
      <c r="B22" s="5" t="str">
        <f>IF('FUENTE NO BORRAR'!B16="","",'FUENTE NO BORRAR'!B16)</f>
        <v>U</v>
      </c>
      <c r="C22" s="5" t="str">
        <f>IF('FUENTE NO BORRAR'!C16="","",'FUENTE NO BORRAR'!C16)</f>
        <v>22076014U238</v>
      </c>
      <c r="D22" s="5" t="str">
        <f>IF('FUENTE NO BORRAR'!D16="","",'FUENTE NO BORRAR'!D16)</f>
        <v>23CONTINGENCIA ECONOMICAS</v>
      </c>
      <c r="E22" s="5" t="str">
        <f>IF('FUENTE NO BORRAR'!E16="","",'FUENTE NO BORRAR'!E16)</f>
        <v/>
      </c>
      <c r="F22" s="6" t="str">
        <f>IF('FUENTE NO BORRAR'!F16="","",IF('FUENTE NO BORRAR'!$A16&lt;&gt;"Resultado total",('FUENTE NO BORRAR'!F16),""))</f>
        <v/>
      </c>
      <c r="G22" s="6">
        <f>IF('FUENTE NO BORRAR'!G16="","",IF('FUENTE NO BORRAR'!$A16&lt;&gt;"Resultado total",('FUENTE NO BORRAR'!G16),""))</f>
        <v>1049.22</v>
      </c>
      <c r="H22" s="6">
        <f>IF('FUENTE NO BORRAR'!H16="","",IF('FUENTE NO BORRAR'!$A16&lt;&gt;"Resultado total",('FUENTE NO BORRAR'!H16),""))</f>
        <v>1049.22</v>
      </c>
      <c r="I22" s="6">
        <f>IF('FUENTE NO BORRAR'!I16="","",IF('FUENTE NO BORRAR'!$A16&lt;&gt;"Resultado total",('FUENTE NO BORRAR'!I16),""))</f>
        <v>-1049.22</v>
      </c>
    </row>
    <row r="23" spans="1:9" x14ac:dyDescent="0.2">
      <c r="A23" s="5" t="str">
        <f>IF('FUENTE NO BORRAR'!A17="","",(IF('FUENTE NO BORRAR'!A17&lt;&gt;"Resultado total",'FUENTE NO BORRAR'!A17,"")))</f>
        <v>16</v>
      </c>
      <c r="B23" s="5" t="str">
        <f>IF('FUENTE NO BORRAR'!B17="","",'FUENTE NO BORRAR'!B17)</f>
        <v>I</v>
      </c>
      <c r="C23" s="5" t="str">
        <f>IF('FUENTE NO BORRAR'!C17="","",'FUENTE NO BORRAR'!C17)</f>
        <v>17015016I334</v>
      </c>
      <c r="D23" s="5" t="str">
        <f>IF('FUENTE NO BORRAR'!D17="","",'FUENTE NO BORRAR'!D17)</f>
        <v>33 FORTAMUN-DF</v>
      </c>
      <c r="E23" s="5" t="str">
        <f>IF('FUENTE NO BORRAR'!E17="","",'FUENTE NO BORRAR'!E17)</f>
        <v/>
      </c>
      <c r="F23" s="6" t="str">
        <f>IF('FUENTE NO BORRAR'!F17="","",IF('FUENTE NO BORRAR'!$A17&lt;&gt;"Resultado total",('FUENTE NO BORRAR'!F17),""))</f>
        <v/>
      </c>
      <c r="G23" s="6">
        <f>IF('FUENTE NO BORRAR'!G17="","",IF('FUENTE NO BORRAR'!$A17&lt;&gt;"Resultado total",('FUENTE NO BORRAR'!G17),""))</f>
        <v>0</v>
      </c>
      <c r="H23" s="6">
        <f>IF('FUENTE NO BORRAR'!H17="","",IF('FUENTE NO BORRAR'!$A17&lt;&gt;"Resultado total",('FUENTE NO BORRAR'!H17),""))</f>
        <v>0</v>
      </c>
      <c r="I23" s="6">
        <f>IF('FUENTE NO BORRAR'!I17="","",IF('FUENTE NO BORRAR'!$A17&lt;&gt;"Resultado total",('FUENTE NO BORRAR'!I17),""))</f>
        <v>0</v>
      </c>
    </row>
    <row r="24" spans="1:9" x14ac:dyDescent="0.2">
      <c r="A24" s="5" t="str">
        <f>IF('FUENTE NO BORRAR'!A18="","",(IF('FUENTE NO BORRAR'!A18&lt;&gt;"Resultado total",'FUENTE NO BORRAR'!A18,"")))</f>
        <v/>
      </c>
      <c r="B24" s="5" t="str">
        <f>IF('FUENTE NO BORRAR'!B18="","",'FUENTE NO BORRAR'!B18)</f>
        <v/>
      </c>
      <c r="C24" s="5" t="str">
        <f>IF('FUENTE NO BORRAR'!C18="","",'FUENTE NO BORRAR'!C18)</f>
        <v/>
      </c>
      <c r="D24" s="5" t="str">
        <f>IF('FUENTE NO BORRAR'!D18="","",'FUENTE NO BORRAR'!D18)</f>
        <v/>
      </c>
      <c r="E24" s="5" t="str">
        <f>IF('FUENTE NO BORRAR'!E18="","",'FUENTE NO BORRAR'!E18)</f>
        <v/>
      </c>
      <c r="F24" s="6" t="str">
        <f>IF('FUENTE NO BORRAR'!F18="","",IF('FUENTE NO BORRAR'!$A18&lt;&gt;"Resultado total",('FUENTE NO BORRAR'!F18),""))</f>
        <v/>
      </c>
      <c r="G24" s="6">
        <f>IF('FUENTE NO BORRAR'!G18="","",IF('FUENTE NO BORRAR'!$A18&lt;&gt;"Resultado total",('FUENTE NO BORRAR'!G18),""))</f>
        <v>0</v>
      </c>
      <c r="H24" s="6">
        <f>IF('FUENTE NO BORRAR'!H18="","",IF('FUENTE NO BORRAR'!$A18&lt;&gt;"Resultado total",('FUENTE NO BORRAR'!H18),""))</f>
        <v>0</v>
      </c>
      <c r="I24" s="6">
        <f>IF('FUENTE NO BORRAR'!I18="","",IF('FUENTE NO BORRAR'!$A18&lt;&gt;"Resultado total",('FUENTE NO BORRAR'!I18),""))</f>
        <v>0</v>
      </c>
    </row>
    <row r="25" spans="1:9" x14ac:dyDescent="0.2">
      <c r="A25" s="5" t="str">
        <f>IF('FUENTE NO BORRAR'!A19="","",(IF('FUENTE NO BORRAR'!A19&lt;&gt;"Resultado total",'FUENTE NO BORRAR'!A19,"")))</f>
        <v/>
      </c>
      <c r="B25" s="5" t="str">
        <f>IF('FUENTE NO BORRAR'!B19="","",'FUENTE NO BORRAR'!B19)</f>
        <v/>
      </c>
      <c r="C25" s="5" t="str">
        <f>IF('FUENTE NO BORRAR'!C19="","",'FUENTE NO BORRAR'!C19)</f>
        <v/>
      </c>
      <c r="D25" s="5" t="str">
        <f>IF('FUENTE NO BORRAR'!D19="","",'FUENTE NO BORRAR'!D19)</f>
        <v/>
      </c>
      <c r="E25" s="5" t="str">
        <f>IF('FUENTE NO BORRAR'!E19="","",'FUENTE NO BORRAR'!E19)</f>
        <v/>
      </c>
      <c r="F25" s="6" t="str">
        <f>IF('FUENTE NO BORRAR'!F19="","",IF('FUENTE NO BORRAR'!$A19&lt;&gt;"Resultado total",('FUENTE NO BORRAR'!F19),""))</f>
        <v/>
      </c>
      <c r="G25" s="6">
        <f>IF('FUENTE NO BORRAR'!G19="","",IF('FUENTE NO BORRAR'!$A19&lt;&gt;"Resultado total",('FUENTE NO BORRAR'!G19),""))</f>
        <v>0</v>
      </c>
      <c r="H25" s="6">
        <f>IF('FUENTE NO BORRAR'!H19="","",IF('FUENTE NO BORRAR'!$A19&lt;&gt;"Resultado total",('FUENTE NO BORRAR'!H19),""))</f>
        <v>0</v>
      </c>
      <c r="I25" s="6">
        <f>IF('FUENTE NO BORRAR'!I19="","",IF('FUENTE NO BORRAR'!$A19&lt;&gt;"Resultado total",('FUENTE NO BORRAR'!I19),""))</f>
        <v>0</v>
      </c>
    </row>
    <row r="26" spans="1:9" x14ac:dyDescent="0.2">
      <c r="A26" s="5" t="str">
        <f>IF('FUENTE NO BORRAR'!A20="","",(IF('FUENTE NO BORRAR'!A20&lt;&gt;"Resultado total",'FUENTE NO BORRAR'!A20,"")))</f>
        <v/>
      </c>
      <c r="B26" s="5" t="str">
        <f>IF('FUENTE NO BORRAR'!B20="","",'FUENTE NO BORRAR'!B20)</f>
        <v/>
      </c>
      <c r="C26" s="5" t="str">
        <f>IF('FUENTE NO BORRAR'!C20="","",'FUENTE NO BORRAR'!C20)</f>
        <v>22075016I333</v>
      </c>
      <c r="D26" s="5" t="str">
        <f>IF('FUENTE NO BORRAR'!D20="","",'FUENTE NO BORRAR'!D20)</f>
        <v>33F APORT P/ INFRA S</v>
      </c>
      <c r="E26" s="5" t="str">
        <f>IF('FUENTE NO BORRAR'!E20="","",'FUENTE NO BORRAR'!E20)</f>
        <v/>
      </c>
      <c r="F26" s="6">
        <f>IF('FUENTE NO BORRAR'!F20="","",IF('FUENTE NO BORRAR'!$A20&lt;&gt;"Resultado total",('FUENTE NO BORRAR'!F20),""))</f>
        <v>1800000</v>
      </c>
      <c r="G26" s="6">
        <f>IF('FUENTE NO BORRAR'!G20="","",IF('FUENTE NO BORRAR'!$A20&lt;&gt;"Resultado total",('FUENTE NO BORRAR'!G20),""))</f>
        <v>1796523</v>
      </c>
      <c r="H26" s="6">
        <f>IF('FUENTE NO BORRAR'!H20="","",IF('FUENTE NO BORRAR'!$A20&lt;&gt;"Resultado total",('FUENTE NO BORRAR'!H20),""))</f>
        <v>1777938.29</v>
      </c>
      <c r="I26" s="6">
        <f>IF('FUENTE NO BORRAR'!I20="","",IF('FUENTE NO BORRAR'!$A20&lt;&gt;"Resultado total",('FUENTE NO BORRAR'!I20),""))</f>
        <v>3477</v>
      </c>
    </row>
    <row r="27" spans="1:9" x14ac:dyDescent="0.2">
      <c r="A27" s="5" t="str">
        <f>IF('FUENTE NO BORRAR'!A21="","",(IF('FUENTE NO BORRAR'!A21&lt;&gt;"Resultado total",'FUENTE NO BORRAR'!A21,"")))</f>
        <v/>
      </c>
      <c r="B27" s="5" t="str">
        <f>IF('FUENTE NO BORRAR'!B21="","",'FUENTE NO BORRAR'!B21)</f>
        <v/>
      </c>
      <c r="C27" s="5" t="str">
        <f>IF('FUENTE NO BORRAR'!C21="","",'FUENTE NO BORRAR'!C21)</f>
        <v/>
      </c>
      <c r="D27" s="5" t="str">
        <f>IF('FUENTE NO BORRAR'!D21="","",'FUENTE NO BORRAR'!D21)</f>
        <v/>
      </c>
      <c r="E27" s="5" t="str">
        <f>IF('FUENTE NO BORRAR'!E21="","",'FUENTE NO BORRAR'!E21)</f>
        <v/>
      </c>
      <c r="F27" s="6" t="str">
        <f>IF('FUENTE NO BORRAR'!F21="","",IF('FUENTE NO BORRAR'!$A21&lt;&gt;"Resultado total",('FUENTE NO BORRAR'!F21),""))</f>
        <v/>
      </c>
      <c r="G27" s="6">
        <f>IF('FUENTE NO BORRAR'!G21="","",IF('FUENTE NO BORRAR'!$A21&lt;&gt;"Resultado total",('FUENTE NO BORRAR'!G21),""))</f>
        <v>0</v>
      </c>
      <c r="H27" s="6">
        <f>IF('FUENTE NO BORRAR'!H21="","",IF('FUENTE NO BORRAR'!$A21&lt;&gt;"Resultado total",('FUENTE NO BORRAR'!H21),""))</f>
        <v>0</v>
      </c>
      <c r="I27" s="6">
        <f>IF('FUENTE NO BORRAR'!I21="","",IF('FUENTE NO BORRAR'!$A21&lt;&gt;"Resultado total",('FUENTE NO BORRAR'!I21),""))</f>
        <v>0</v>
      </c>
    </row>
    <row r="28" spans="1:9" x14ac:dyDescent="0.2">
      <c r="A28" s="5" t="str">
        <f>IF('FUENTE NO BORRAR'!A22="","",(IF('FUENTE NO BORRAR'!A22&lt;&gt;"Resultado total",'FUENTE NO BORRAR'!A22,"")))</f>
        <v/>
      </c>
      <c r="B28" s="5" t="str">
        <f>IF('FUENTE NO BORRAR'!B22="","",'FUENTE NO BORRAR'!B22)</f>
        <v/>
      </c>
      <c r="C28" s="5" t="str">
        <f>IF('FUENTE NO BORRAR'!C22="","",'FUENTE NO BORRAR'!C22)</f>
        <v/>
      </c>
      <c r="D28" s="5" t="str">
        <f>IF('FUENTE NO BORRAR'!D22="","",'FUENTE NO BORRAR'!D22)</f>
        <v/>
      </c>
      <c r="E28" s="5" t="str">
        <f>IF('FUENTE NO BORRAR'!E22="","",'FUENTE NO BORRAR'!E22)</f>
        <v/>
      </c>
      <c r="F28" s="6">
        <f>IF('FUENTE NO BORRAR'!F22="","",IF('FUENTE NO BORRAR'!$A22&lt;&gt;"Resultado total",('FUENTE NO BORRAR'!F22),""))</f>
        <v>2887972.25</v>
      </c>
      <c r="G28" s="6">
        <f>IF('FUENTE NO BORRAR'!G22="","",IF('FUENTE NO BORRAR'!$A22&lt;&gt;"Resultado total",('FUENTE NO BORRAR'!G22),""))</f>
        <v>1760248.04</v>
      </c>
      <c r="H28" s="6">
        <f>IF('FUENTE NO BORRAR'!H22="","",IF('FUENTE NO BORRAR'!$A22&lt;&gt;"Resultado total",('FUENTE NO BORRAR'!H22),""))</f>
        <v>1742038.57</v>
      </c>
      <c r="I28" s="6">
        <f>IF('FUENTE NO BORRAR'!I22="","",IF('FUENTE NO BORRAR'!$A22&lt;&gt;"Resultado total",('FUENTE NO BORRAR'!I22),""))</f>
        <v>1127724.21</v>
      </c>
    </row>
    <row r="29" spans="1:9" x14ac:dyDescent="0.2">
      <c r="A29" s="5" t="str">
        <f>IF('FUENTE NO BORRAR'!A23="","",(IF('FUENTE NO BORRAR'!A23&lt;&gt;"Resultado total",'FUENTE NO BORRAR'!A23,"")))</f>
        <v/>
      </c>
      <c r="B29" s="5" t="str">
        <f>IF('FUENTE NO BORRAR'!B23="","",'FUENTE NO BORRAR'!B23)</f>
        <v/>
      </c>
      <c r="C29" s="5" t="str">
        <f>IF('FUENTE NO BORRAR'!C23="","",'FUENTE NO BORRAR'!C23)</f>
        <v/>
      </c>
      <c r="D29" s="5" t="str">
        <f>IF('FUENTE NO BORRAR'!D23="","",'FUENTE NO BORRAR'!D23)</f>
        <v/>
      </c>
      <c r="E29" s="5" t="str">
        <f>IF('FUENTE NO BORRAR'!E23="","",'FUENTE NO BORRAR'!E23)</f>
        <v/>
      </c>
      <c r="F29" s="6">
        <f>IF('FUENTE NO BORRAR'!F23="","",IF('FUENTE NO BORRAR'!$A23&lt;&gt;"Resultado total",('FUENTE NO BORRAR'!F23),""))</f>
        <v>2164416.39</v>
      </c>
      <c r="G29" s="6">
        <f>IF('FUENTE NO BORRAR'!G23="","",IF('FUENTE NO BORRAR'!$A23&lt;&gt;"Resultado total",('FUENTE NO BORRAR'!G23),""))</f>
        <v>2131068.0499999998</v>
      </c>
      <c r="H29" s="6">
        <f>IF('FUENTE NO BORRAR'!H23="","",IF('FUENTE NO BORRAR'!$A23&lt;&gt;"Resultado total",('FUENTE NO BORRAR'!H23),""))</f>
        <v>2109022.52</v>
      </c>
      <c r="I29" s="6">
        <f>IF('FUENTE NO BORRAR'!I23="","",IF('FUENTE NO BORRAR'!$A23&lt;&gt;"Resultado total",('FUENTE NO BORRAR'!I23),""))</f>
        <v>33348.339999999997</v>
      </c>
    </row>
    <row r="30" spans="1:9" x14ac:dyDescent="0.2">
      <c r="A30" s="5" t="str">
        <f>IF('FUENTE NO BORRAR'!A24="","",(IF('FUENTE NO BORRAR'!A24&lt;&gt;"Resultado total",'FUENTE NO BORRAR'!A24,"")))</f>
        <v/>
      </c>
      <c r="B30" s="5" t="str">
        <f>IF('FUENTE NO BORRAR'!B24="","",'FUENTE NO BORRAR'!B24)</f>
        <v>M</v>
      </c>
      <c r="C30" s="5" t="str">
        <f>IF('FUENTE NO BORRAR'!C24="","",'FUENTE NO BORRAR'!C24)</f>
        <v>15015032M101</v>
      </c>
      <c r="D30" s="5" t="str">
        <f>IF('FUENTE NO BORRAR'!D24="","",'FUENTE NO BORRAR'!D24)</f>
        <v>15015032M101</v>
      </c>
      <c r="E30" s="5" t="str">
        <f>IF('FUENTE NO BORRAR'!E24="","",'FUENTE NO BORRAR'!E24)</f>
        <v/>
      </c>
      <c r="F30" s="6" t="str">
        <f>IF('FUENTE NO BORRAR'!F24="","",IF('FUENTE NO BORRAR'!$A24&lt;&gt;"Resultado total",('FUENTE NO BORRAR'!F24),""))</f>
        <v/>
      </c>
      <c r="G30" s="6">
        <f>IF('FUENTE NO BORRAR'!G24="","",IF('FUENTE NO BORRAR'!$A24&lt;&gt;"Resultado total",('FUENTE NO BORRAR'!G24),""))</f>
        <v>174</v>
      </c>
      <c r="H30" s="6">
        <f>IF('FUENTE NO BORRAR'!H24="","",IF('FUENTE NO BORRAR'!$A24&lt;&gt;"Resultado total",('FUENTE NO BORRAR'!H24),""))</f>
        <v>174</v>
      </c>
      <c r="I30" s="6">
        <f>IF('FUENTE NO BORRAR'!I24="","",IF('FUENTE NO BORRAR'!$A24&lt;&gt;"Resultado total",('FUENTE NO BORRAR'!I24),""))</f>
        <v>-174</v>
      </c>
    </row>
    <row r="31" spans="1:9" x14ac:dyDescent="0.2">
      <c r="A31" s="5" t="str">
        <f>IF('FUENTE NO BORRAR'!A25="","",(IF('FUENTE NO BORRAR'!A25&lt;&gt;"Resultado total",'FUENTE NO BORRAR'!A25,"")))</f>
        <v/>
      </c>
      <c r="B31" s="5" t="str">
        <f>IF('FUENTE NO BORRAR'!B25="","",'FUENTE NO BORRAR'!B25)</f>
        <v>S</v>
      </c>
      <c r="C31" s="5" t="str">
        <f>IF('FUENTE NO BORRAR'!C25="","",'FUENTE NO BORRAR'!C25)</f>
        <v>22015016S238</v>
      </c>
      <c r="D31" s="5" t="str">
        <f>IF('FUENTE NO BORRAR'!D25="","",'FUENTE NO BORRAR'!D25)</f>
        <v>23 F. FINANCIERO 2016</v>
      </c>
      <c r="E31" s="5" t="str">
        <f>IF('FUENTE NO BORRAR'!E25="","",'FUENTE NO BORRAR'!E25)</f>
        <v/>
      </c>
      <c r="F31" s="6" t="str">
        <f>IF('FUENTE NO BORRAR'!F25="","",IF('FUENTE NO BORRAR'!$A25&lt;&gt;"Resultado total",('FUENTE NO BORRAR'!F25),""))</f>
        <v/>
      </c>
      <c r="G31" s="6">
        <f>IF('FUENTE NO BORRAR'!G25="","",IF('FUENTE NO BORRAR'!$A25&lt;&gt;"Resultado total",('FUENTE NO BORRAR'!G25),""))</f>
        <v>236.64</v>
      </c>
      <c r="H31" s="6">
        <f>IF('FUENTE NO BORRAR'!H25="","",IF('FUENTE NO BORRAR'!$A25&lt;&gt;"Resultado total",('FUENTE NO BORRAR'!H25),""))</f>
        <v>236.64</v>
      </c>
      <c r="I31" s="6">
        <f>IF('FUENTE NO BORRAR'!I25="","",IF('FUENTE NO BORRAR'!$A25&lt;&gt;"Resultado total",('FUENTE NO BORRAR'!I25),""))</f>
        <v>-236.64</v>
      </c>
    </row>
    <row r="32" spans="1:9" x14ac:dyDescent="0.2">
      <c r="A32" s="5" t="str">
        <f>IF('FUENTE NO BORRAR'!A26="","",(IF('FUENTE NO BORRAR'!A26&lt;&gt;"Resultado total",'FUENTE NO BORRAR'!A26,"")))</f>
        <v/>
      </c>
      <c r="B32" s="5" t="str">
        <f>IF('FUENTE NO BORRAR'!B26="","",'FUENTE NO BORRAR'!B26)</f>
        <v/>
      </c>
      <c r="C32" s="5" t="str">
        <f>IF('FUENTE NO BORRAR'!C26="","",'FUENTE NO BORRAR'!C26)</f>
        <v/>
      </c>
      <c r="D32" s="5" t="str">
        <f>IF('FUENTE NO BORRAR'!D26="","",'FUENTE NO BORRAR'!D26)</f>
        <v/>
      </c>
      <c r="E32" s="5" t="str">
        <f>IF('FUENTE NO BORRAR'!E26="","",'FUENTE NO BORRAR'!E26)</f>
        <v/>
      </c>
      <c r="F32" s="6">
        <f>IF('FUENTE NO BORRAR'!F26="","",IF('FUENTE NO BORRAR'!$A26&lt;&gt;"Resultado total",('FUENTE NO BORRAR'!F26),""))</f>
        <v>48004987.25</v>
      </c>
      <c r="G32" s="6">
        <f>IF('FUENTE NO BORRAR'!G26="","",IF('FUENTE NO BORRAR'!$A26&lt;&gt;"Resultado total",('FUENTE NO BORRAR'!G26),""))</f>
        <v>4004987.25</v>
      </c>
      <c r="H32" s="6">
        <f>IF('FUENTE NO BORRAR'!H26="","",IF('FUENTE NO BORRAR'!$A26&lt;&gt;"Resultado total",('FUENTE NO BORRAR'!H26),""))</f>
        <v>3404191.49</v>
      </c>
      <c r="I32" s="6">
        <f>IF('FUENTE NO BORRAR'!I26="","",IF('FUENTE NO BORRAR'!$A26&lt;&gt;"Resultado total",('FUENTE NO BORRAR'!I26),""))</f>
        <v>44000000</v>
      </c>
    </row>
    <row r="33" spans="1:9" x14ac:dyDescent="0.2">
      <c r="A33" s="5" t="str">
        <f>IF('FUENTE NO BORRAR'!A27="","",(IF('FUENTE NO BORRAR'!A27&lt;&gt;"Resultado total",'FUENTE NO BORRAR'!A27,"")))</f>
        <v/>
      </c>
      <c r="B33" s="5" t="str">
        <f>IF('FUENTE NO BORRAR'!B27="","",'FUENTE NO BORRAR'!B27)</f>
        <v/>
      </c>
      <c r="C33" s="5" t="str">
        <f>IF('FUENTE NO BORRAR'!C27="","",'FUENTE NO BORRAR'!C27)</f>
        <v/>
      </c>
      <c r="D33" s="5" t="str">
        <f>IF('FUENTE NO BORRAR'!D27="","",'FUENTE NO BORRAR'!D27)</f>
        <v/>
      </c>
      <c r="E33" s="5" t="str">
        <f>IF('FUENTE NO BORRAR'!E27="","",'FUENTE NO BORRAR'!E27)</f>
        <v/>
      </c>
      <c r="F33" s="6">
        <f>IF('FUENTE NO BORRAR'!F27="","",IF('FUENTE NO BORRAR'!$A27&lt;&gt;"Resultado total",('FUENTE NO BORRAR'!F27),""))</f>
        <v>17140000</v>
      </c>
      <c r="G33" s="6">
        <f>IF('FUENTE NO BORRAR'!G27="","",IF('FUENTE NO BORRAR'!$A27&lt;&gt;"Resultado total",('FUENTE NO BORRAR'!G27),""))</f>
        <v>3712015.04</v>
      </c>
      <c r="H33" s="6">
        <f>IF('FUENTE NO BORRAR'!H27="","",IF('FUENTE NO BORRAR'!$A27&lt;&gt;"Resultado total",('FUENTE NO BORRAR'!H27),""))</f>
        <v>3684178.92</v>
      </c>
      <c r="I33" s="6">
        <f>IF('FUENTE NO BORRAR'!I27="","",IF('FUENTE NO BORRAR'!$A27&lt;&gt;"Resultado total",('FUENTE NO BORRAR'!I27),""))</f>
        <v>13427984.960000001</v>
      </c>
    </row>
    <row r="34" spans="1:9" x14ac:dyDescent="0.2">
      <c r="A34" s="5" t="str">
        <f>IF('FUENTE NO BORRAR'!A28="","",(IF('FUENTE NO BORRAR'!A28&lt;&gt;"Resultado total",'FUENTE NO BORRAR'!A28,"")))</f>
        <v/>
      </c>
      <c r="B34" s="5" t="str">
        <f>IF('FUENTE NO BORRAR'!B28="","",'FUENTE NO BORRAR'!B28)</f>
        <v/>
      </c>
      <c r="C34" s="5" t="str">
        <f>IF('FUENTE NO BORRAR'!C28="","",'FUENTE NO BORRAR'!C28)</f>
        <v/>
      </c>
      <c r="D34" s="5" t="str">
        <f>IF('FUENTE NO BORRAR'!D28="","",'FUENTE NO BORRAR'!D28)</f>
        <v/>
      </c>
      <c r="E34" s="5" t="str">
        <f>IF('FUENTE NO BORRAR'!E28="","",'FUENTE NO BORRAR'!E28)</f>
        <v/>
      </c>
      <c r="F34" s="6">
        <f>IF('FUENTE NO BORRAR'!F28="","",IF('FUENTE NO BORRAR'!$A28&lt;&gt;"Resultado total",('FUENTE NO BORRAR'!F28),""))</f>
        <v>2179973.98</v>
      </c>
      <c r="G34" s="6">
        <f>IF('FUENTE NO BORRAR'!G28="","",IF('FUENTE NO BORRAR'!$A28&lt;&gt;"Resultado total",('FUENTE NO BORRAR'!G28),""))</f>
        <v>199521.75</v>
      </c>
      <c r="H34" s="6">
        <f>IF('FUENTE NO BORRAR'!H28="","",IF('FUENTE NO BORRAR'!$A28&lt;&gt;"Resultado total",('FUENTE NO BORRAR'!H28),""))</f>
        <v>197457.73</v>
      </c>
      <c r="I34" s="6">
        <f>IF('FUENTE NO BORRAR'!I28="","",IF('FUENTE NO BORRAR'!$A28&lt;&gt;"Resultado total",('FUENTE NO BORRAR'!I28),""))</f>
        <v>1980452.23</v>
      </c>
    </row>
    <row r="35" spans="1:9" x14ac:dyDescent="0.2">
      <c r="A35" s="5" t="str">
        <f>IF('FUENTE NO BORRAR'!A29="","",(IF('FUENTE NO BORRAR'!A29&lt;&gt;"Resultado total",'FUENTE NO BORRAR'!A29,"")))</f>
        <v/>
      </c>
      <c r="B35" s="5" t="str">
        <f>IF('FUENTE NO BORRAR'!B29="","",'FUENTE NO BORRAR'!B29)</f>
        <v/>
      </c>
      <c r="C35" s="5" t="str">
        <f>IF('FUENTE NO BORRAR'!C29="","",'FUENTE NO BORRAR'!C29)</f>
        <v/>
      </c>
      <c r="D35" s="5" t="str">
        <f>IF('FUENTE NO BORRAR'!D29="","",'FUENTE NO BORRAR'!D29)</f>
        <v/>
      </c>
      <c r="E35" s="5" t="str">
        <f>IF('FUENTE NO BORRAR'!E29="","",'FUENTE NO BORRAR'!E29)</f>
        <v/>
      </c>
      <c r="F35" s="6">
        <f>IF('FUENTE NO BORRAR'!F29="","",IF('FUENTE NO BORRAR'!$A29&lt;&gt;"Resultado total",('FUENTE NO BORRAR'!F29),""))</f>
        <v>700000</v>
      </c>
      <c r="G35" s="6">
        <f>IF('FUENTE NO BORRAR'!G29="","",IF('FUENTE NO BORRAR'!$A29&lt;&gt;"Resultado total",('FUENTE NO BORRAR'!G29),""))</f>
        <v>377014.73</v>
      </c>
      <c r="H35" s="6">
        <f>IF('FUENTE NO BORRAR'!H29="","",IF('FUENTE NO BORRAR'!$A29&lt;&gt;"Resultado total",('FUENTE NO BORRAR'!H29),""))</f>
        <v>374739.64</v>
      </c>
      <c r="I35" s="6">
        <f>IF('FUENTE NO BORRAR'!I29="","",IF('FUENTE NO BORRAR'!$A29&lt;&gt;"Resultado total",('FUENTE NO BORRAR'!I29),""))</f>
        <v>322985.27</v>
      </c>
    </row>
    <row r="36" spans="1:9" x14ac:dyDescent="0.2">
      <c r="A36" s="5" t="str">
        <f>IF('FUENTE NO BORRAR'!A30="","",(IF('FUENTE NO BORRAR'!A30&lt;&gt;"Resultado total",'FUENTE NO BORRAR'!A30,"")))</f>
        <v/>
      </c>
      <c r="B36" s="5" t="str">
        <f>IF('FUENTE NO BORRAR'!B30="","",'FUENTE NO BORRAR'!B30)</f>
        <v/>
      </c>
      <c r="C36" s="5" t="str">
        <f>IF('FUENTE NO BORRAR'!C30="","",'FUENTE NO BORRAR'!C30)</f>
        <v/>
      </c>
      <c r="D36" s="5" t="str">
        <f>IF('FUENTE NO BORRAR'!D30="","",'FUENTE NO BORRAR'!D30)</f>
        <v/>
      </c>
      <c r="E36" s="5" t="str">
        <f>IF('FUENTE NO BORRAR'!E30="","",'FUENTE NO BORRAR'!E30)</f>
        <v/>
      </c>
      <c r="F36" s="6">
        <f>IF('FUENTE NO BORRAR'!F30="","",IF('FUENTE NO BORRAR'!$A30&lt;&gt;"Resultado total",('FUENTE NO BORRAR'!F30),""))</f>
        <v>553317.05000000005</v>
      </c>
      <c r="G36" s="6">
        <f>IF('FUENTE NO BORRAR'!G30="","",IF('FUENTE NO BORRAR'!$A30&lt;&gt;"Resultado total",('FUENTE NO BORRAR'!G30),""))</f>
        <v>545331.75</v>
      </c>
      <c r="H36" s="6">
        <f>IF('FUENTE NO BORRAR'!H30="","",IF('FUENTE NO BORRAR'!$A30&lt;&gt;"Resultado total",('FUENTE NO BORRAR'!H30),""))</f>
        <v>539690.38</v>
      </c>
      <c r="I36" s="6">
        <f>IF('FUENTE NO BORRAR'!I30="","",IF('FUENTE NO BORRAR'!$A30&lt;&gt;"Resultado total",('FUENTE NO BORRAR'!I30),""))</f>
        <v>7985.3</v>
      </c>
    </row>
    <row r="37" spans="1:9" x14ac:dyDescent="0.2">
      <c r="A37" s="5" t="str">
        <f>IF('FUENTE NO BORRAR'!A31="","",(IF('FUENTE NO BORRAR'!A31&lt;&gt;"Resultado total",'FUENTE NO BORRAR'!A31,"")))</f>
        <v/>
      </c>
      <c r="B37" s="5" t="str">
        <f>IF('FUENTE NO BORRAR'!B31="","",'FUENTE NO BORRAR'!B31)</f>
        <v/>
      </c>
      <c r="C37" s="5" t="str">
        <f>IF('FUENTE NO BORRAR'!C31="","",'FUENTE NO BORRAR'!C31)</f>
        <v/>
      </c>
      <c r="D37" s="5" t="str">
        <f>IF('FUENTE NO BORRAR'!D31="","",'FUENTE NO BORRAR'!D31)</f>
        <v/>
      </c>
      <c r="E37" s="5" t="str">
        <f>IF('FUENTE NO BORRAR'!E31="","",'FUENTE NO BORRAR'!E31)</f>
        <v/>
      </c>
      <c r="F37" s="6">
        <f>IF('FUENTE NO BORRAR'!F31="","",IF('FUENTE NO BORRAR'!$A31&lt;&gt;"Resultado total",('FUENTE NO BORRAR'!F31),""))</f>
        <v>5454325</v>
      </c>
      <c r="G37" s="6">
        <f>IF('FUENTE NO BORRAR'!G31="","",IF('FUENTE NO BORRAR'!$A31&lt;&gt;"Resultado total",('FUENTE NO BORRAR'!G31),""))</f>
        <v>5454325</v>
      </c>
      <c r="H37" s="6">
        <f>IF('FUENTE NO BORRAR'!H31="","",IF('FUENTE NO BORRAR'!$A31&lt;&gt;"Resultado total",('FUENTE NO BORRAR'!H31),""))</f>
        <v>5414431.9800000004</v>
      </c>
      <c r="I37" s="6">
        <f>IF('FUENTE NO BORRAR'!I31="","",IF('FUENTE NO BORRAR'!$A31&lt;&gt;"Resultado total",('FUENTE NO BORRAR'!I31),""))</f>
        <v>1.0000000000000001E-9</v>
      </c>
    </row>
    <row r="38" spans="1:9" x14ac:dyDescent="0.2">
      <c r="A38" s="5" t="str">
        <f>IF('FUENTE NO BORRAR'!A32="","",(IF('FUENTE NO BORRAR'!A32&lt;&gt;"Resultado total",'FUENTE NO BORRAR'!A32,"")))</f>
        <v/>
      </c>
      <c r="B38" s="5" t="str">
        <f>IF('FUENTE NO BORRAR'!B32="","",'FUENTE NO BORRAR'!B32)</f>
        <v/>
      </c>
      <c r="C38" s="5" t="str">
        <f>IF('FUENTE NO BORRAR'!C32="","",'FUENTE NO BORRAR'!C32)</f>
        <v/>
      </c>
      <c r="D38" s="5" t="str">
        <f>IF('FUENTE NO BORRAR'!D32="","",'FUENTE NO BORRAR'!D32)</f>
        <v/>
      </c>
      <c r="E38" s="5" t="str">
        <f>IF('FUENTE NO BORRAR'!E32="","",'FUENTE NO BORRAR'!E32)</f>
        <v/>
      </c>
      <c r="F38" s="6">
        <f>IF('FUENTE NO BORRAR'!F32="","",IF('FUENTE NO BORRAR'!$A32&lt;&gt;"Resultado total",('FUENTE NO BORRAR'!F32),""))</f>
        <v>2000000</v>
      </c>
      <c r="G38" s="6">
        <f>IF('FUENTE NO BORRAR'!G32="","",IF('FUENTE NO BORRAR'!$A32&lt;&gt;"Resultado total",('FUENTE NO BORRAR'!G32),""))</f>
        <v>0</v>
      </c>
      <c r="H38" s="6">
        <f>IF('FUENTE NO BORRAR'!H32="","",IF('FUENTE NO BORRAR'!$A32&lt;&gt;"Resultado total",('FUENTE NO BORRAR'!H32),""))</f>
        <v>0</v>
      </c>
      <c r="I38" s="6">
        <f>IF('FUENTE NO BORRAR'!I32="","",IF('FUENTE NO BORRAR'!$A32&lt;&gt;"Resultado total",('FUENTE NO BORRAR'!I32),""))</f>
        <v>2000000</v>
      </c>
    </row>
    <row r="39" spans="1:9" x14ac:dyDescent="0.2">
      <c r="A39" s="5" t="str">
        <f>IF('FUENTE NO BORRAR'!A33="","",(IF('FUENTE NO BORRAR'!A33&lt;&gt;"Resultado total",'FUENTE NO BORRAR'!A33,"")))</f>
        <v/>
      </c>
      <c r="B39" s="5" t="str">
        <f>IF('FUENTE NO BORRAR'!B33="","",'FUENTE NO BORRAR'!B33)</f>
        <v/>
      </c>
      <c r="C39" s="5" t="str">
        <f>IF('FUENTE NO BORRAR'!C33="","",'FUENTE NO BORRAR'!C33)</f>
        <v>22075016S231</v>
      </c>
      <c r="D39" s="5" t="str">
        <f>IF('FUENTE NO BORRAR'!D33="","",'FUENTE NO BORRAR'!D33)</f>
        <v>23 DESARROLLO REGIONAL</v>
      </c>
      <c r="E39" s="5" t="str">
        <f>IF('FUENTE NO BORRAR'!E33="","",'FUENTE NO BORRAR'!E33)</f>
        <v/>
      </c>
      <c r="F39" s="6">
        <f>IF('FUENTE NO BORRAR'!F33="","",IF('FUENTE NO BORRAR'!$A33&lt;&gt;"Resultado total",('FUENTE NO BORRAR'!F33),""))</f>
        <v>2296168.56</v>
      </c>
      <c r="G39" s="6">
        <f>IF('FUENTE NO BORRAR'!G33="","",IF('FUENTE NO BORRAR'!$A33&lt;&gt;"Resultado total",('FUENTE NO BORRAR'!G33),""))</f>
        <v>2296168.56</v>
      </c>
      <c r="H39" s="6">
        <f>IF('FUENTE NO BORRAR'!H33="","",IF('FUENTE NO BORRAR'!$A33&lt;&gt;"Resultado total",('FUENTE NO BORRAR'!H33),""))</f>
        <v>2272415.09</v>
      </c>
      <c r="I39" s="6">
        <f>IF('FUENTE NO BORRAR'!I33="","",IF('FUENTE NO BORRAR'!$A33&lt;&gt;"Resultado total",('FUENTE NO BORRAR'!I33),""))</f>
        <v>0</v>
      </c>
    </row>
    <row r="40" spans="1:9" x14ac:dyDescent="0.2">
      <c r="A40" s="5" t="str">
        <f>IF('FUENTE NO BORRAR'!A34="","",(IF('FUENTE NO BORRAR'!A34&lt;&gt;"Resultado total",'FUENTE NO BORRAR'!A34,"")))</f>
        <v/>
      </c>
      <c r="B40" s="5" t="str">
        <f>IF('FUENTE NO BORRAR'!B34="","",'FUENTE NO BORRAR'!B34)</f>
        <v/>
      </c>
      <c r="C40" s="5" t="str">
        <f>IF('FUENTE NO BORRAR'!C34="","",'FUENTE NO BORRAR'!C34)</f>
        <v/>
      </c>
      <c r="D40" s="5" t="str">
        <f>IF('FUENTE NO BORRAR'!D34="","",'FUENTE NO BORRAR'!D34)</f>
        <v/>
      </c>
      <c r="E40" s="5" t="str">
        <f>IF('FUENTE NO BORRAR'!E34="","",'FUENTE NO BORRAR'!E34)</f>
        <v/>
      </c>
      <c r="F40" s="6">
        <f>IF('FUENTE NO BORRAR'!F34="","",IF('FUENTE NO BORRAR'!$A34&lt;&gt;"Resultado total",('FUENTE NO BORRAR'!F34),""))</f>
        <v>1000000</v>
      </c>
      <c r="G40" s="6">
        <f>IF('FUENTE NO BORRAR'!G34="","",IF('FUENTE NO BORRAR'!$A34&lt;&gt;"Resultado total",('FUENTE NO BORRAR'!G34),""))</f>
        <v>591759.11</v>
      </c>
      <c r="H40" s="6">
        <f>IF('FUENTE NO BORRAR'!H34="","",IF('FUENTE NO BORRAR'!$A34&lt;&gt;"Resultado total",('FUENTE NO BORRAR'!H34),""))</f>
        <v>586891.93000000005</v>
      </c>
      <c r="I40" s="6">
        <f>IF('FUENTE NO BORRAR'!I34="","",IF('FUENTE NO BORRAR'!$A34&lt;&gt;"Resultado total",('FUENTE NO BORRAR'!I34),""))</f>
        <v>408240.89</v>
      </c>
    </row>
    <row r="41" spans="1:9" x14ac:dyDescent="0.2">
      <c r="A41" s="5" t="str">
        <f>IF('FUENTE NO BORRAR'!A35="","",(IF('FUENTE NO BORRAR'!A35&lt;&gt;"Resultado total",'FUENTE NO BORRAR'!A35,"")))</f>
        <v/>
      </c>
      <c r="B41" s="5" t="str">
        <f>IF('FUENTE NO BORRAR'!B35="","",'FUENTE NO BORRAR'!B35)</f>
        <v/>
      </c>
      <c r="C41" s="5" t="str">
        <f>IF('FUENTE NO BORRAR'!C35="","",'FUENTE NO BORRAR'!C35)</f>
        <v/>
      </c>
      <c r="D41" s="5" t="str">
        <f>IF('FUENTE NO BORRAR'!D35="","",'FUENTE NO BORRAR'!D35)</f>
        <v/>
      </c>
      <c r="E41" s="5" t="str">
        <f>IF('FUENTE NO BORRAR'!E35="","",'FUENTE NO BORRAR'!E35)</f>
        <v/>
      </c>
      <c r="F41" s="6">
        <f>IF('FUENTE NO BORRAR'!F35="","",IF('FUENTE NO BORRAR'!$A35&lt;&gt;"Resultado total",('FUENTE NO BORRAR'!F35),""))</f>
        <v>1000000</v>
      </c>
      <c r="G41" s="6">
        <f>IF('FUENTE NO BORRAR'!G35="","",IF('FUENTE NO BORRAR'!$A35&lt;&gt;"Resultado total",('FUENTE NO BORRAR'!G35),""))</f>
        <v>1000000</v>
      </c>
      <c r="H41" s="6">
        <f>IF('FUENTE NO BORRAR'!H35="","",IF('FUENTE NO BORRAR'!$A35&lt;&gt;"Resultado total",('FUENTE NO BORRAR'!H35),""))</f>
        <v>993965.52</v>
      </c>
      <c r="I41" s="6">
        <f>IF('FUENTE NO BORRAR'!I35="","",IF('FUENTE NO BORRAR'!$A35&lt;&gt;"Resultado total",('FUENTE NO BORRAR'!I35),""))</f>
        <v>0</v>
      </c>
    </row>
    <row r="42" spans="1:9" x14ac:dyDescent="0.2">
      <c r="A42" s="5" t="str">
        <f>IF('FUENTE NO BORRAR'!A36="","",(IF('FUENTE NO BORRAR'!A36&lt;&gt;"Resultado total",'FUENTE NO BORRAR'!A36,"")))</f>
        <v/>
      </c>
      <c r="B42" s="5" t="str">
        <f>IF('FUENTE NO BORRAR'!B36="","",'FUENTE NO BORRAR'!B36)</f>
        <v/>
      </c>
      <c r="C42" s="5" t="str">
        <f>IF('FUENTE NO BORRAR'!C36="","",'FUENTE NO BORRAR'!C36)</f>
        <v>22075016S239</v>
      </c>
      <c r="D42" s="5" t="str">
        <f>IF('FUENTE NO BORRAR'!D36="","",'FUENTE NO BORRAR'!D36)</f>
        <v>RG23 FORTALECE 2016</v>
      </c>
      <c r="E42" s="5" t="str">
        <f>IF('FUENTE NO BORRAR'!E36="","",'FUENTE NO BORRAR'!E36)</f>
        <v/>
      </c>
      <c r="F42" s="6" t="str">
        <f>IF('FUENTE NO BORRAR'!F36="","",IF('FUENTE NO BORRAR'!$A36&lt;&gt;"Resultado total",('FUENTE NO BORRAR'!F36),""))</f>
        <v/>
      </c>
      <c r="G42" s="6">
        <f>IF('FUENTE NO BORRAR'!G36="","",IF('FUENTE NO BORRAR'!$A36&lt;&gt;"Resultado total",('FUENTE NO BORRAR'!G36),""))</f>
        <v>164.6</v>
      </c>
      <c r="H42" s="6">
        <f>IF('FUENTE NO BORRAR'!H36="","",IF('FUENTE NO BORRAR'!$A36&lt;&gt;"Resultado total",('FUENTE NO BORRAR'!H36),""))</f>
        <v>164.6</v>
      </c>
      <c r="I42" s="6">
        <f>IF('FUENTE NO BORRAR'!I36="","",IF('FUENTE NO BORRAR'!$A36&lt;&gt;"Resultado total",('FUENTE NO BORRAR'!I36),""))</f>
        <v>-164.6</v>
      </c>
    </row>
    <row r="43" spans="1:9" x14ac:dyDescent="0.2">
      <c r="A43" s="5" t="str">
        <f>IF('FUENTE NO BORRAR'!A37="","",(IF('FUENTE NO BORRAR'!A37&lt;&gt;"Resultado total",'FUENTE NO BORRAR'!A37,"")))</f>
        <v>17</v>
      </c>
      <c r="B43" s="5" t="str">
        <f>IF('FUENTE NO BORRAR'!B37="","",'FUENTE NO BORRAR'!B37)</f>
        <v>E</v>
      </c>
      <c r="C43" s="5" t="str">
        <f>IF('FUENTE NO BORRAR'!C37="","",'FUENTE NO BORRAR'!C37)</f>
        <v>17011011E103</v>
      </c>
      <c r="D43" s="5" t="str">
        <f>IF('FUENTE NO BORRAR'!D37="","",'FUENTE NO BORRAR'!D37)</f>
        <v>17011011E103</v>
      </c>
      <c r="E43" s="5" t="str">
        <f>IF('FUENTE NO BORRAR'!E37="","",'FUENTE NO BORRAR'!E37)</f>
        <v/>
      </c>
      <c r="F43" s="6" t="str">
        <f>IF('FUENTE NO BORRAR'!F37="","",IF('FUENTE NO BORRAR'!$A37&lt;&gt;"Resultado total",('FUENTE NO BORRAR'!F37),""))</f>
        <v/>
      </c>
      <c r="G43" s="6">
        <f>IF('FUENTE NO BORRAR'!G37="","",IF('FUENTE NO BORRAR'!$A37&lt;&gt;"Resultado total",('FUENTE NO BORRAR'!G37),""))</f>
        <v>0</v>
      </c>
      <c r="H43" s="6">
        <f>IF('FUENTE NO BORRAR'!H37="","",IF('FUENTE NO BORRAR'!$A37&lt;&gt;"Resultado total",('FUENTE NO BORRAR'!H37),""))</f>
        <v>0</v>
      </c>
      <c r="I43" s="6">
        <f>IF('FUENTE NO BORRAR'!I37="","",IF('FUENTE NO BORRAR'!$A37&lt;&gt;"Resultado total",('FUENTE NO BORRAR'!I37),""))</f>
        <v>0</v>
      </c>
    </row>
    <row r="44" spans="1:9" x14ac:dyDescent="0.2">
      <c r="A44" s="5" t="str">
        <f>IF('FUENTE NO BORRAR'!A38="","",(IF('FUENTE NO BORRAR'!A38&lt;&gt;"Resultado total",'FUENTE NO BORRAR'!A38,"")))</f>
        <v/>
      </c>
      <c r="B44" s="5" t="str">
        <f>IF('FUENTE NO BORRAR'!B38="","",'FUENTE NO BORRAR'!B38)</f>
        <v/>
      </c>
      <c r="C44" s="5" t="str">
        <f>IF('FUENTE NO BORRAR'!C38="","",'FUENTE NO BORRAR'!C38)</f>
        <v/>
      </c>
      <c r="D44" s="5" t="str">
        <f>IF('FUENTE NO BORRAR'!D38="","",'FUENTE NO BORRAR'!D38)</f>
        <v/>
      </c>
      <c r="E44" s="5" t="str">
        <f>IF('FUENTE NO BORRAR'!E38="","",'FUENTE NO BORRAR'!E38)</f>
        <v/>
      </c>
      <c r="F44" s="6" t="str">
        <f>IF('FUENTE NO BORRAR'!F38="","",IF('FUENTE NO BORRAR'!$A38&lt;&gt;"Resultado total",('FUENTE NO BORRAR'!F38),""))</f>
        <v/>
      </c>
      <c r="G44" s="6">
        <f>IF('FUENTE NO BORRAR'!G38="","",IF('FUENTE NO BORRAR'!$A38&lt;&gt;"Resultado total",('FUENTE NO BORRAR'!G38),""))</f>
        <v>0</v>
      </c>
      <c r="H44" s="6">
        <f>IF('FUENTE NO BORRAR'!H38="","",IF('FUENTE NO BORRAR'!$A38&lt;&gt;"Resultado total",('FUENTE NO BORRAR'!H38),""))</f>
        <v>0</v>
      </c>
      <c r="I44" s="6">
        <f>IF('FUENTE NO BORRAR'!I38="","",IF('FUENTE NO BORRAR'!$A38&lt;&gt;"Resultado total",('FUENTE NO BORRAR'!I38),""))</f>
        <v>0</v>
      </c>
    </row>
    <row r="45" spans="1:9" x14ac:dyDescent="0.2">
      <c r="A45" s="5" t="str">
        <f>IF('FUENTE NO BORRAR'!A39="","",(IF('FUENTE NO BORRAR'!A39&lt;&gt;"Resultado total",'FUENTE NO BORRAR'!A39,"")))</f>
        <v/>
      </c>
      <c r="B45" s="5" t="str">
        <f>IF('FUENTE NO BORRAR'!B39="","",'FUENTE NO BORRAR'!B39)</f>
        <v/>
      </c>
      <c r="C45" s="5" t="str">
        <f>IF('FUENTE NO BORRAR'!C39="","",'FUENTE NO BORRAR'!C39)</f>
        <v/>
      </c>
      <c r="D45" s="5" t="str">
        <f>IF('FUENTE NO BORRAR'!D39="","",'FUENTE NO BORRAR'!D39)</f>
        <v/>
      </c>
      <c r="E45" s="5" t="str">
        <f>IF('FUENTE NO BORRAR'!E39="","",'FUENTE NO BORRAR'!E39)</f>
        <v/>
      </c>
      <c r="F45" s="6" t="str">
        <f>IF('FUENTE NO BORRAR'!F39="","",IF('FUENTE NO BORRAR'!$A39&lt;&gt;"Resultado total",('FUENTE NO BORRAR'!F39),""))</f>
        <v/>
      </c>
      <c r="G45" s="6">
        <f>IF('FUENTE NO BORRAR'!G39="","",IF('FUENTE NO BORRAR'!$A39&lt;&gt;"Resultado total",('FUENTE NO BORRAR'!G39),""))</f>
        <v>0</v>
      </c>
      <c r="H45" s="6">
        <f>IF('FUENTE NO BORRAR'!H39="","",IF('FUENTE NO BORRAR'!$A39&lt;&gt;"Resultado total",('FUENTE NO BORRAR'!H39),""))</f>
        <v>0</v>
      </c>
      <c r="I45" s="6">
        <f>IF('FUENTE NO BORRAR'!I39="","",IF('FUENTE NO BORRAR'!$A39&lt;&gt;"Resultado total",('FUENTE NO BORRAR'!I39),""))</f>
        <v>0</v>
      </c>
    </row>
    <row r="46" spans="1:9" x14ac:dyDescent="0.2">
      <c r="A46" s="5" t="str">
        <f>IF('FUENTE NO BORRAR'!A40="","",(IF('FUENTE NO BORRAR'!A40&lt;&gt;"Resultado total",'FUENTE NO BORRAR'!A40,"")))</f>
        <v/>
      </c>
      <c r="B46" s="5" t="str">
        <f>IF('FUENTE NO BORRAR'!B40="","",'FUENTE NO BORRAR'!B40)</f>
        <v/>
      </c>
      <c r="C46" s="5" t="str">
        <f>IF('FUENTE NO BORRAR'!C40="","",'FUENTE NO BORRAR'!C40)</f>
        <v/>
      </c>
      <c r="D46" s="5" t="str">
        <f>IF('FUENTE NO BORRAR'!D40="","",'FUENTE NO BORRAR'!D40)</f>
        <v/>
      </c>
      <c r="E46" s="5" t="str">
        <f>IF('FUENTE NO BORRAR'!E40="","",'FUENTE NO BORRAR'!E40)</f>
        <v/>
      </c>
      <c r="F46" s="6" t="str">
        <f>IF('FUENTE NO BORRAR'!F40="","",IF('FUENTE NO BORRAR'!$A40&lt;&gt;"Resultado total",('FUENTE NO BORRAR'!F40),""))</f>
        <v/>
      </c>
      <c r="G46" s="6">
        <f>IF('FUENTE NO BORRAR'!G40="","",IF('FUENTE NO BORRAR'!$A40&lt;&gt;"Resultado total",('FUENTE NO BORRAR'!G40),""))</f>
        <v>0</v>
      </c>
      <c r="H46" s="6">
        <f>IF('FUENTE NO BORRAR'!H40="","",IF('FUENTE NO BORRAR'!$A40&lt;&gt;"Resultado total",('FUENTE NO BORRAR'!H40),""))</f>
        <v>0</v>
      </c>
      <c r="I46" s="6">
        <f>IF('FUENTE NO BORRAR'!I40="","",IF('FUENTE NO BORRAR'!$A40&lt;&gt;"Resultado total",('FUENTE NO BORRAR'!I40),""))</f>
        <v>0</v>
      </c>
    </row>
    <row r="47" spans="1:9" x14ac:dyDescent="0.2">
      <c r="A47" s="5" t="str">
        <f>IF('FUENTE NO BORRAR'!A41="","",(IF('FUENTE NO BORRAR'!A41&lt;&gt;"Resultado total",'FUENTE NO BORRAR'!A41,"")))</f>
        <v/>
      </c>
      <c r="B47" s="5" t="str">
        <f>IF('FUENTE NO BORRAR'!B41="","",'FUENTE NO BORRAR'!B41)</f>
        <v>I</v>
      </c>
      <c r="C47" s="5" t="str">
        <f>IF('FUENTE NO BORRAR'!C41="","",'FUENTE NO BORRAR'!C41)</f>
        <v>17015016I334</v>
      </c>
      <c r="D47" s="5" t="str">
        <f>IF('FUENTE NO BORRAR'!D41="","",'FUENTE NO BORRAR'!D41)</f>
        <v>33 FORTAMUN-DF</v>
      </c>
      <c r="E47" s="5" t="str">
        <f>IF('FUENTE NO BORRAR'!E41="","",'FUENTE NO BORRAR'!E41)</f>
        <v/>
      </c>
      <c r="F47" s="6" t="str">
        <f>IF('FUENTE NO BORRAR'!F41="","",IF('FUENTE NO BORRAR'!$A41&lt;&gt;"Resultado total",('FUENTE NO BORRAR'!F41),""))</f>
        <v/>
      </c>
      <c r="G47" s="6">
        <f>IF('FUENTE NO BORRAR'!G41="","",IF('FUENTE NO BORRAR'!$A41&lt;&gt;"Resultado total",('FUENTE NO BORRAR'!G41),""))</f>
        <v>0</v>
      </c>
      <c r="H47" s="6">
        <f>IF('FUENTE NO BORRAR'!H41="","",IF('FUENTE NO BORRAR'!$A41&lt;&gt;"Resultado total",('FUENTE NO BORRAR'!H41),""))</f>
        <v>0</v>
      </c>
      <c r="I47" s="6">
        <f>IF('FUENTE NO BORRAR'!I41="","",IF('FUENTE NO BORRAR'!$A41&lt;&gt;"Resultado total",('FUENTE NO BORRAR'!I41),""))</f>
        <v>0</v>
      </c>
    </row>
    <row r="48" spans="1:9" x14ac:dyDescent="0.2">
      <c r="A48" s="5" t="str">
        <f>IF('FUENTE NO BORRAR'!A42="","",(IF('FUENTE NO BORRAR'!A42&lt;&gt;"Resultado total",'FUENTE NO BORRAR'!A42,"")))</f>
        <v/>
      </c>
      <c r="B48" s="5" t="str">
        <f>IF('FUENTE NO BORRAR'!B42="","",'FUENTE NO BORRAR'!B42)</f>
        <v/>
      </c>
      <c r="C48" s="5" t="str">
        <f>IF('FUENTE NO BORRAR'!C42="","",'FUENTE NO BORRAR'!C42)</f>
        <v/>
      </c>
      <c r="D48" s="5" t="str">
        <f>IF('FUENTE NO BORRAR'!D42="","",'FUENTE NO BORRAR'!D42)</f>
        <v/>
      </c>
      <c r="E48" s="5" t="str">
        <f>IF('FUENTE NO BORRAR'!E42="","",'FUENTE NO BORRAR'!E42)</f>
        <v/>
      </c>
      <c r="F48" s="6" t="str">
        <f>IF('FUENTE NO BORRAR'!F42="","",IF('FUENTE NO BORRAR'!$A42&lt;&gt;"Resultado total",('FUENTE NO BORRAR'!F42),""))</f>
        <v/>
      </c>
      <c r="G48" s="6">
        <f>IF('FUENTE NO BORRAR'!G42="","",IF('FUENTE NO BORRAR'!$A42&lt;&gt;"Resultado total",('FUENTE NO BORRAR'!G42),""))</f>
        <v>0</v>
      </c>
      <c r="H48" s="6">
        <f>IF('FUENTE NO BORRAR'!H42="","",IF('FUENTE NO BORRAR'!$A42&lt;&gt;"Resultado total",('FUENTE NO BORRAR'!H42),""))</f>
        <v>0</v>
      </c>
      <c r="I48" s="6">
        <f>IF('FUENTE NO BORRAR'!I42="","",IF('FUENTE NO BORRAR'!$A42&lt;&gt;"Resultado total",('FUENTE NO BORRAR'!I42),""))</f>
        <v>0</v>
      </c>
    </row>
    <row r="49" spans="1:9" x14ac:dyDescent="0.2">
      <c r="A49" s="5" t="str">
        <f>IF('FUENTE NO BORRAR'!A43="","",(IF('FUENTE NO BORRAR'!A43&lt;&gt;"Resultado total",'FUENTE NO BORRAR'!A43,"")))</f>
        <v/>
      </c>
      <c r="B49" s="5" t="str">
        <f>IF('FUENTE NO BORRAR'!B43="","",'FUENTE NO BORRAR'!B43)</f>
        <v/>
      </c>
      <c r="C49" s="5" t="str">
        <f>IF('FUENTE NO BORRAR'!C43="","",'FUENTE NO BORRAR'!C43)</f>
        <v/>
      </c>
      <c r="D49" s="5" t="str">
        <f>IF('FUENTE NO BORRAR'!D43="","",'FUENTE NO BORRAR'!D43)</f>
        <v/>
      </c>
      <c r="E49" s="5" t="str">
        <f>IF('FUENTE NO BORRAR'!E43="","",'FUENTE NO BORRAR'!E43)</f>
        <v/>
      </c>
      <c r="F49" s="6" t="str">
        <f>IF('FUENTE NO BORRAR'!F43="","",IF('FUENTE NO BORRAR'!$A43&lt;&gt;"Resultado total",('FUENTE NO BORRAR'!F43),""))</f>
        <v/>
      </c>
      <c r="G49" s="6">
        <f>IF('FUENTE NO BORRAR'!G43="","",IF('FUENTE NO BORRAR'!$A43&lt;&gt;"Resultado total",('FUENTE NO BORRAR'!G43),""))</f>
        <v>0</v>
      </c>
      <c r="H49" s="6">
        <f>IF('FUENTE NO BORRAR'!H43="","",IF('FUENTE NO BORRAR'!$A43&lt;&gt;"Resultado total",('FUENTE NO BORRAR'!H43),""))</f>
        <v>0</v>
      </c>
      <c r="I49" s="6">
        <f>IF('FUENTE NO BORRAR'!I43="","",IF('FUENTE NO BORRAR'!$A43&lt;&gt;"Resultado total",('FUENTE NO BORRAR'!I43),""))</f>
        <v>0</v>
      </c>
    </row>
    <row r="50" spans="1:9" x14ac:dyDescent="0.2">
      <c r="A50" s="5" t="str">
        <f>IF('FUENTE NO BORRAR'!A44="","",(IF('FUENTE NO BORRAR'!A44&lt;&gt;"Resultado total",'FUENTE NO BORRAR'!A44,"")))</f>
        <v/>
      </c>
      <c r="B50" s="5" t="str">
        <f>IF('FUENTE NO BORRAR'!B44="","",'FUENTE NO BORRAR'!B44)</f>
        <v/>
      </c>
      <c r="C50" s="5" t="str">
        <f>IF('FUENTE NO BORRAR'!C44="","",'FUENTE NO BORRAR'!C44)</f>
        <v/>
      </c>
      <c r="D50" s="5" t="str">
        <f>IF('FUENTE NO BORRAR'!D44="","",'FUENTE NO BORRAR'!D44)</f>
        <v/>
      </c>
      <c r="E50" s="5" t="str">
        <f>IF('FUENTE NO BORRAR'!E44="","",'FUENTE NO BORRAR'!E44)</f>
        <v/>
      </c>
      <c r="F50" s="6" t="str">
        <f>IF('FUENTE NO BORRAR'!F44="","",IF('FUENTE NO BORRAR'!$A44&lt;&gt;"Resultado total",('FUENTE NO BORRAR'!F44),""))</f>
        <v/>
      </c>
      <c r="G50" s="6">
        <f>IF('FUENTE NO BORRAR'!G44="","",IF('FUENTE NO BORRAR'!$A44&lt;&gt;"Resultado total",('FUENTE NO BORRAR'!G44),""))</f>
        <v>0</v>
      </c>
      <c r="H50" s="6">
        <f>IF('FUENTE NO BORRAR'!H44="","",IF('FUENTE NO BORRAR'!$A44&lt;&gt;"Resultado total",('FUENTE NO BORRAR'!H44),""))</f>
        <v>0</v>
      </c>
      <c r="I50" s="6">
        <f>IF('FUENTE NO BORRAR'!I44="","",IF('FUENTE NO BORRAR'!$A44&lt;&gt;"Resultado total",('FUENTE NO BORRAR'!I44),""))</f>
        <v>0</v>
      </c>
    </row>
    <row r="51" spans="1:9" x14ac:dyDescent="0.2">
      <c r="A51" s="5" t="str">
        <f>IF('FUENTE NO BORRAR'!A45="","",(IF('FUENTE NO BORRAR'!A45&lt;&gt;"Resultado total",'FUENTE NO BORRAR'!A45,"")))</f>
        <v/>
      </c>
      <c r="B51" s="5" t="str">
        <f>IF('FUENTE NO BORRAR'!B45="","",'FUENTE NO BORRAR'!B45)</f>
        <v/>
      </c>
      <c r="C51" s="5" t="str">
        <f>IF('FUENTE NO BORRAR'!C45="","",'FUENTE NO BORRAR'!C45)</f>
        <v/>
      </c>
      <c r="D51" s="5" t="str">
        <f>IF('FUENTE NO BORRAR'!D45="","",'FUENTE NO BORRAR'!D45)</f>
        <v/>
      </c>
      <c r="E51" s="5" t="str">
        <f>IF('FUENTE NO BORRAR'!E45="","",'FUENTE NO BORRAR'!E45)</f>
        <v/>
      </c>
      <c r="F51" s="6" t="str">
        <f>IF('FUENTE NO BORRAR'!F45="","",IF('FUENTE NO BORRAR'!$A45&lt;&gt;"Resultado total",('FUENTE NO BORRAR'!F45),""))</f>
        <v/>
      </c>
      <c r="G51" s="6">
        <f>IF('FUENTE NO BORRAR'!G45="","",IF('FUENTE NO BORRAR'!$A45&lt;&gt;"Resultado total",('FUENTE NO BORRAR'!G45),""))</f>
        <v>0</v>
      </c>
      <c r="H51" s="6">
        <f>IF('FUENTE NO BORRAR'!H45="","",IF('FUENTE NO BORRAR'!$A45&lt;&gt;"Resultado total",('FUENTE NO BORRAR'!H45),""))</f>
        <v>0</v>
      </c>
      <c r="I51" s="6">
        <f>IF('FUENTE NO BORRAR'!I45="","",IF('FUENTE NO BORRAR'!$A45&lt;&gt;"Resultado total",('FUENTE NO BORRAR'!I45),""))</f>
        <v>0</v>
      </c>
    </row>
    <row r="52" spans="1:9" x14ac:dyDescent="0.2">
      <c r="A52" s="5" t="str">
        <f>IF('FUENTE NO BORRAR'!A46="","",(IF('FUENTE NO BORRAR'!A46&lt;&gt;"Resultado total",'FUENTE NO BORRAR'!A46,"")))</f>
        <v/>
      </c>
      <c r="B52" s="5" t="str">
        <f>IF('FUENTE NO BORRAR'!B46="","",'FUENTE NO BORRAR'!B46)</f>
        <v/>
      </c>
      <c r="C52" s="5" t="str">
        <f>IF('FUENTE NO BORRAR'!C46="","",'FUENTE NO BORRAR'!C46)</f>
        <v>17015017I334</v>
      </c>
      <c r="D52" s="5" t="str">
        <f>IF('FUENTE NO BORRAR'!D46="","",'FUENTE NO BORRAR'!D46)</f>
        <v>33 RAMO 33 FONDO IV</v>
      </c>
      <c r="E52" s="5" t="str">
        <f>IF('FUENTE NO BORRAR'!E46="","",'FUENTE NO BORRAR'!E46)</f>
        <v/>
      </c>
      <c r="F52" s="6">
        <f>IF('FUENTE NO BORRAR'!F46="","",IF('FUENTE NO BORRAR'!$A46&lt;&gt;"Resultado total",('FUENTE NO BORRAR'!F46),""))</f>
        <v>67814723.980000004</v>
      </c>
      <c r="G52" s="6">
        <f>IF('FUENTE NO BORRAR'!G46="","",IF('FUENTE NO BORRAR'!$A46&lt;&gt;"Resultado total",('FUENTE NO BORRAR'!G46),""))</f>
        <v>67814723.980000004</v>
      </c>
      <c r="H52" s="6">
        <f>IF('FUENTE NO BORRAR'!H46="","",IF('FUENTE NO BORRAR'!$A46&lt;&gt;"Resultado total",('FUENTE NO BORRAR'!H46),""))</f>
        <v>67818556.150000006</v>
      </c>
      <c r="I52" s="6">
        <f>IF('FUENTE NO BORRAR'!I46="","",IF('FUENTE NO BORRAR'!$A46&lt;&gt;"Resultado total",('FUENTE NO BORRAR'!I46),""))</f>
        <v>0</v>
      </c>
    </row>
    <row r="53" spans="1:9" x14ac:dyDescent="0.2">
      <c r="A53" s="5" t="str">
        <f>IF('FUENTE NO BORRAR'!A47="","",(IF('FUENTE NO BORRAR'!A47&lt;&gt;"Resultado total",'FUENTE NO BORRAR'!A47,"")))</f>
        <v/>
      </c>
      <c r="B53" s="5" t="str">
        <f>IF('FUENTE NO BORRAR'!B47="","",'FUENTE NO BORRAR'!B47)</f>
        <v/>
      </c>
      <c r="C53" s="5" t="str">
        <f>IF('FUENTE NO BORRAR'!C47="","",'FUENTE NO BORRAR'!C47)</f>
        <v/>
      </c>
      <c r="D53" s="5" t="str">
        <f>IF('FUENTE NO BORRAR'!D47="","",'FUENTE NO BORRAR'!D47)</f>
        <v/>
      </c>
      <c r="E53" s="5" t="str">
        <f>IF('FUENTE NO BORRAR'!E47="","",'FUENTE NO BORRAR'!E47)</f>
        <v/>
      </c>
      <c r="F53" s="6">
        <f>IF('FUENTE NO BORRAR'!F47="","",IF('FUENTE NO BORRAR'!$A47&lt;&gt;"Resultado total",('FUENTE NO BORRAR'!F47),""))</f>
        <v>6102830.0800000001</v>
      </c>
      <c r="G53" s="6">
        <f>IF('FUENTE NO BORRAR'!G47="","",IF('FUENTE NO BORRAR'!$A47&lt;&gt;"Resultado total",('FUENTE NO BORRAR'!G47),""))</f>
        <v>6102830.0800000001</v>
      </c>
      <c r="H53" s="6">
        <f>IF('FUENTE NO BORRAR'!H47="","",IF('FUENTE NO BORRAR'!$A47&lt;&gt;"Resultado total",('FUENTE NO BORRAR'!H47),""))</f>
        <v>6103370.4199999999</v>
      </c>
      <c r="I53" s="6">
        <f>IF('FUENTE NO BORRAR'!I47="","",IF('FUENTE NO BORRAR'!$A47&lt;&gt;"Resultado total",('FUENTE NO BORRAR'!I47),""))</f>
        <v>-2.0000000000000001E-9</v>
      </c>
    </row>
    <row r="54" spans="1:9" x14ac:dyDescent="0.2">
      <c r="A54" s="5" t="str">
        <f>IF('FUENTE NO BORRAR'!A48="","",(IF('FUENTE NO BORRAR'!A48&lt;&gt;"Resultado total",'FUENTE NO BORRAR'!A48,"")))</f>
        <v/>
      </c>
      <c r="B54" s="5" t="str">
        <f>IF('FUENTE NO BORRAR'!B48="","",'FUENTE NO BORRAR'!B48)</f>
        <v/>
      </c>
      <c r="C54" s="5" t="str">
        <f>IF('FUENTE NO BORRAR'!C48="","",'FUENTE NO BORRAR'!C48)</f>
        <v/>
      </c>
      <c r="D54" s="5" t="str">
        <f>IF('FUENTE NO BORRAR'!D48="","",'FUENTE NO BORRAR'!D48)</f>
        <v/>
      </c>
      <c r="E54" s="5" t="str">
        <f>IF('FUENTE NO BORRAR'!E48="","",'FUENTE NO BORRAR'!E48)</f>
        <v/>
      </c>
      <c r="F54" s="6">
        <f>IF('FUENTE NO BORRAR'!F48="","",IF('FUENTE NO BORRAR'!$A48&lt;&gt;"Resultado total",('FUENTE NO BORRAR'!F48),""))</f>
        <v>1618525.4</v>
      </c>
      <c r="G54" s="6">
        <f>IF('FUENTE NO BORRAR'!G48="","",IF('FUENTE NO BORRAR'!$A48&lt;&gt;"Resultado total",('FUENTE NO BORRAR'!G48),""))</f>
        <v>1618525.4</v>
      </c>
      <c r="H54" s="6">
        <f>IF('FUENTE NO BORRAR'!H48="","",IF('FUENTE NO BORRAR'!$A48&lt;&gt;"Resultado total",('FUENTE NO BORRAR'!H48),""))</f>
        <v>1618525.4</v>
      </c>
      <c r="I54" s="6">
        <f>IF('FUENTE NO BORRAR'!I48="","",IF('FUENTE NO BORRAR'!$A48&lt;&gt;"Resultado total",('FUENTE NO BORRAR'!I48),""))</f>
        <v>0</v>
      </c>
    </row>
    <row r="55" spans="1:9" x14ac:dyDescent="0.2">
      <c r="A55" s="5" t="str">
        <f>IF('FUENTE NO BORRAR'!A49="","",(IF('FUENTE NO BORRAR'!A49&lt;&gt;"Resultado total",'FUENTE NO BORRAR'!A49,"")))</f>
        <v/>
      </c>
      <c r="B55" s="5" t="str">
        <f>IF('FUENTE NO BORRAR'!B49="","",'FUENTE NO BORRAR'!B49)</f>
        <v/>
      </c>
      <c r="C55" s="5" t="str">
        <f>IF('FUENTE NO BORRAR'!C49="","",'FUENTE NO BORRAR'!C49)</f>
        <v/>
      </c>
      <c r="D55" s="5" t="str">
        <f>IF('FUENTE NO BORRAR'!D49="","",'FUENTE NO BORRAR'!D49)</f>
        <v/>
      </c>
      <c r="E55" s="5" t="str">
        <f>IF('FUENTE NO BORRAR'!E49="","",'FUENTE NO BORRAR'!E49)</f>
        <v/>
      </c>
      <c r="F55" s="6">
        <f>IF('FUENTE NO BORRAR'!F49="","",IF('FUENTE NO BORRAR'!$A49&lt;&gt;"Resultado total",('FUENTE NO BORRAR'!F49),""))</f>
        <v>14241165.73</v>
      </c>
      <c r="G55" s="6">
        <f>IF('FUENTE NO BORRAR'!G49="","",IF('FUENTE NO BORRAR'!$A49&lt;&gt;"Resultado total",('FUENTE NO BORRAR'!G49),""))</f>
        <v>14241165.73</v>
      </c>
      <c r="H55" s="6">
        <f>IF('FUENTE NO BORRAR'!H49="","",IF('FUENTE NO BORRAR'!$A49&lt;&gt;"Resultado total",('FUENTE NO BORRAR'!H49),""))</f>
        <v>14241165.73</v>
      </c>
      <c r="I55" s="6">
        <f>IF('FUENTE NO BORRAR'!I49="","",IF('FUENTE NO BORRAR'!$A49&lt;&gt;"Resultado total",('FUENTE NO BORRAR'!I49),""))</f>
        <v>-2.0000000000000001E-9</v>
      </c>
    </row>
    <row r="56" spans="1:9" x14ac:dyDescent="0.2">
      <c r="A56" s="5" t="str">
        <f>IF('FUENTE NO BORRAR'!A50="","",(IF('FUENTE NO BORRAR'!A50&lt;&gt;"Resultado total",'FUENTE NO BORRAR'!A50,"")))</f>
        <v/>
      </c>
      <c r="B56" s="5" t="str">
        <f>IF('FUENTE NO BORRAR'!B50="","",'FUENTE NO BORRAR'!B50)</f>
        <v/>
      </c>
      <c r="C56" s="5" t="str">
        <f>IF('FUENTE NO BORRAR'!C50="","",'FUENTE NO BORRAR'!C50)</f>
        <v/>
      </c>
      <c r="D56" s="5" t="str">
        <f>IF('FUENTE NO BORRAR'!D50="","",'FUENTE NO BORRAR'!D50)</f>
        <v/>
      </c>
      <c r="E56" s="5" t="str">
        <f>IF('FUENTE NO BORRAR'!E50="","",'FUENTE NO BORRAR'!E50)</f>
        <v/>
      </c>
      <c r="F56" s="6">
        <f>IF('FUENTE NO BORRAR'!F50="","",IF('FUENTE NO BORRAR'!$A50&lt;&gt;"Resultado total",('FUENTE NO BORRAR'!F50),""))</f>
        <v>2575890.4</v>
      </c>
      <c r="G56" s="6">
        <f>IF('FUENTE NO BORRAR'!G50="","",IF('FUENTE NO BORRAR'!$A50&lt;&gt;"Resultado total",('FUENTE NO BORRAR'!G50),""))</f>
        <v>2575890.4</v>
      </c>
      <c r="H56" s="6">
        <f>IF('FUENTE NO BORRAR'!H50="","",IF('FUENTE NO BORRAR'!$A50&lt;&gt;"Resultado total",('FUENTE NO BORRAR'!H50),""))</f>
        <v>1928786.5</v>
      </c>
      <c r="I56" s="6">
        <f>IF('FUENTE NO BORRAR'!I50="","",IF('FUENTE NO BORRAR'!$A50&lt;&gt;"Resultado total",('FUENTE NO BORRAR'!I50),""))</f>
        <v>0</v>
      </c>
    </row>
    <row r="57" spans="1:9" x14ac:dyDescent="0.2">
      <c r="A57" s="5" t="str">
        <f>IF('FUENTE NO BORRAR'!A51="","",(IF('FUENTE NO BORRAR'!A51&lt;&gt;"Resultado total",'FUENTE NO BORRAR'!A51,"")))</f>
        <v/>
      </c>
      <c r="B57" s="5" t="str">
        <f>IF('FUENTE NO BORRAR'!B51="","",'FUENTE NO BORRAR'!B51)</f>
        <v/>
      </c>
      <c r="C57" s="5" t="str">
        <f>IF('FUENTE NO BORRAR'!C51="","",'FUENTE NO BORRAR'!C51)</f>
        <v/>
      </c>
      <c r="D57" s="5" t="str">
        <f>IF('FUENTE NO BORRAR'!D51="","",'FUENTE NO BORRAR'!D51)</f>
        <v/>
      </c>
      <c r="E57" s="5" t="str">
        <f>IF('FUENTE NO BORRAR'!E51="","",'FUENTE NO BORRAR'!E51)</f>
        <v/>
      </c>
      <c r="F57" s="6">
        <f>IF('FUENTE NO BORRAR'!F51="","",IF('FUENTE NO BORRAR'!$A51&lt;&gt;"Resultado total",('FUENTE NO BORRAR'!F51),""))</f>
        <v>14886915.51</v>
      </c>
      <c r="G57" s="6">
        <f>IF('FUENTE NO BORRAR'!G51="","",IF('FUENTE NO BORRAR'!$A51&lt;&gt;"Resultado total",('FUENTE NO BORRAR'!G51),""))</f>
        <v>14886915.51</v>
      </c>
      <c r="H57" s="6">
        <f>IF('FUENTE NO BORRAR'!H51="","",IF('FUENTE NO BORRAR'!$A51&lt;&gt;"Resultado total",('FUENTE NO BORRAR'!H51),""))</f>
        <v>14887592.859999999</v>
      </c>
      <c r="I57" s="6">
        <f>IF('FUENTE NO BORRAR'!I51="","",IF('FUENTE NO BORRAR'!$A51&lt;&gt;"Resultado total",('FUENTE NO BORRAR'!I51),""))</f>
        <v>0</v>
      </c>
    </row>
    <row r="58" spans="1:9" x14ac:dyDescent="0.2">
      <c r="A58" s="5" t="str">
        <f>IF('FUENTE NO BORRAR'!A52="","",(IF('FUENTE NO BORRAR'!A52&lt;&gt;"Resultado total",'FUENTE NO BORRAR'!A52,"")))</f>
        <v/>
      </c>
      <c r="B58" s="5" t="str">
        <f>IF('FUENTE NO BORRAR'!B52="","",'FUENTE NO BORRAR'!B52)</f>
        <v/>
      </c>
      <c r="C58" s="5" t="str">
        <f>IF('FUENTE NO BORRAR'!C52="","",'FUENTE NO BORRAR'!C52)</f>
        <v/>
      </c>
      <c r="D58" s="5" t="str">
        <f>IF('FUENTE NO BORRAR'!D52="","",'FUENTE NO BORRAR'!D52)</f>
        <v/>
      </c>
      <c r="E58" s="5" t="str">
        <f>IF('FUENTE NO BORRAR'!E52="","",'FUENTE NO BORRAR'!E52)</f>
        <v/>
      </c>
      <c r="F58" s="6">
        <f>IF('FUENTE NO BORRAR'!F52="","",IF('FUENTE NO BORRAR'!$A52&lt;&gt;"Resultado total",('FUENTE NO BORRAR'!F52),""))</f>
        <v>594363.48</v>
      </c>
      <c r="G58" s="6">
        <f>IF('FUENTE NO BORRAR'!G52="","",IF('FUENTE NO BORRAR'!$A52&lt;&gt;"Resultado total",('FUENTE NO BORRAR'!G52),""))</f>
        <v>594363.48</v>
      </c>
      <c r="H58" s="6">
        <f>IF('FUENTE NO BORRAR'!H52="","",IF('FUENTE NO BORRAR'!$A52&lt;&gt;"Resultado total",('FUENTE NO BORRAR'!H52),""))</f>
        <v>594363.48</v>
      </c>
      <c r="I58" s="6">
        <f>IF('FUENTE NO BORRAR'!I52="","",IF('FUENTE NO BORRAR'!$A52&lt;&gt;"Resultado total",('FUENTE NO BORRAR'!I52),""))</f>
        <v>0</v>
      </c>
    </row>
    <row r="59" spans="1:9" x14ac:dyDescent="0.2">
      <c r="A59" s="5" t="str">
        <f>IF('FUENTE NO BORRAR'!A53="","",(IF('FUENTE NO BORRAR'!A53&lt;&gt;"Resultado total",'FUENTE NO BORRAR'!A53,"")))</f>
        <v/>
      </c>
      <c r="B59" s="5" t="str">
        <f>IF('FUENTE NO BORRAR'!B53="","",'FUENTE NO BORRAR'!B53)</f>
        <v/>
      </c>
      <c r="C59" s="5" t="str">
        <f>IF('FUENTE NO BORRAR'!C53="","",'FUENTE NO BORRAR'!C53)</f>
        <v/>
      </c>
      <c r="D59" s="5" t="str">
        <f>IF('FUENTE NO BORRAR'!D53="","",'FUENTE NO BORRAR'!D53)</f>
        <v/>
      </c>
      <c r="E59" s="5" t="str">
        <f>IF('FUENTE NO BORRAR'!E53="","",'FUENTE NO BORRAR'!E53)</f>
        <v/>
      </c>
      <c r="F59" s="6">
        <f>IF('FUENTE NO BORRAR'!F53="","",IF('FUENTE NO BORRAR'!$A53&lt;&gt;"Resultado total",('FUENTE NO BORRAR'!F53),""))</f>
        <v>0</v>
      </c>
      <c r="G59" s="6">
        <f>IF('FUENTE NO BORRAR'!G53="","",IF('FUENTE NO BORRAR'!$A53&lt;&gt;"Resultado total",('FUENTE NO BORRAR'!G53),""))</f>
        <v>0</v>
      </c>
      <c r="H59" s="6">
        <f>IF('FUENTE NO BORRAR'!H53="","",IF('FUENTE NO BORRAR'!$A53&lt;&gt;"Resultado total",('FUENTE NO BORRAR'!H53),""))</f>
        <v>0</v>
      </c>
      <c r="I59" s="6">
        <f>IF('FUENTE NO BORRAR'!I53="","",IF('FUENTE NO BORRAR'!$A53&lt;&gt;"Resultado total",('FUENTE NO BORRAR'!I53),""))</f>
        <v>0</v>
      </c>
    </row>
    <row r="60" spans="1:9" x14ac:dyDescent="0.2">
      <c r="A60" s="5" t="str">
        <f>IF('FUENTE NO BORRAR'!A54="","",(IF('FUENTE NO BORRAR'!A54&lt;&gt;"Resultado total",'FUENTE NO BORRAR'!A54,"")))</f>
        <v/>
      </c>
      <c r="B60" s="5" t="str">
        <f>IF('FUENTE NO BORRAR'!B54="","",'FUENTE NO BORRAR'!B54)</f>
        <v/>
      </c>
      <c r="C60" s="5" t="str">
        <f>IF('FUENTE NO BORRAR'!C54="","",'FUENTE NO BORRAR'!C54)</f>
        <v/>
      </c>
      <c r="D60" s="5" t="str">
        <f>IF('FUENTE NO BORRAR'!D54="","",'FUENTE NO BORRAR'!D54)</f>
        <v/>
      </c>
      <c r="E60" s="5" t="str">
        <f>IF('FUENTE NO BORRAR'!E54="","",'FUENTE NO BORRAR'!E54)</f>
        <v/>
      </c>
      <c r="F60" s="6">
        <f>IF('FUENTE NO BORRAR'!F54="","",IF('FUENTE NO BORRAR'!$A54&lt;&gt;"Resultado total",('FUENTE NO BORRAR'!F54),""))</f>
        <v>11000249.75</v>
      </c>
      <c r="G60" s="6">
        <f>IF('FUENTE NO BORRAR'!G54="","",IF('FUENTE NO BORRAR'!$A54&lt;&gt;"Resultado total",('FUENTE NO BORRAR'!G54),""))</f>
        <v>11000249.75</v>
      </c>
      <c r="H60" s="6">
        <f>IF('FUENTE NO BORRAR'!H54="","",IF('FUENTE NO BORRAR'!$A54&lt;&gt;"Resultado total",('FUENTE NO BORRAR'!H54),""))</f>
        <v>11000714.640000001</v>
      </c>
      <c r="I60" s="6">
        <f>IF('FUENTE NO BORRAR'!I54="","",IF('FUENTE NO BORRAR'!$A54&lt;&gt;"Resultado total",('FUENTE NO BORRAR'!I54),""))</f>
        <v>2.0000000000000001E-9</v>
      </c>
    </row>
    <row r="61" spans="1:9" x14ac:dyDescent="0.2">
      <c r="A61" s="5" t="str">
        <f>IF('FUENTE NO BORRAR'!A55="","",(IF('FUENTE NO BORRAR'!A55&lt;&gt;"Resultado total",'FUENTE NO BORRAR'!A55,"")))</f>
        <v/>
      </c>
      <c r="B61" s="5" t="str">
        <f>IF('FUENTE NO BORRAR'!B55="","",'FUENTE NO BORRAR'!B55)</f>
        <v/>
      </c>
      <c r="C61" s="5" t="str">
        <f>IF('FUENTE NO BORRAR'!C55="","",'FUENTE NO BORRAR'!C55)</f>
        <v/>
      </c>
      <c r="D61" s="5" t="str">
        <f>IF('FUENTE NO BORRAR'!D55="","",'FUENTE NO BORRAR'!D55)</f>
        <v/>
      </c>
      <c r="E61" s="5" t="str">
        <f>IF('FUENTE NO BORRAR'!E55="","",'FUENTE NO BORRAR'!E55)</f>
        <v/>
      </c>
      <c r="F61" s="6">
        <f>IF('FUENTE NO BORRAR'!F55="","",IF('FUENTE NO BORRAR'!$A55&lt;&gt;"Resultado total",('FUENTE NO BORRAR'!F55),""))</f>
        <v>112219.7</v>
      </c>
      <c r="G61" s="6">
        <f>IF('FUENTE NO BORRAR'!G55="","",IF('FUENTE NO BORRAR'!$A55&lt;&gt;"Resultado total",('FUENTE NO BORRAR'!G55),""))</f>
        <v>112219.7</v>
      </c>
      <c r="H61" s="6">
        <f>IF('FUENTE NO BORRAR'!H55="","",IF('FUENTE NO BORRAR'!$A55&lt;&gt;"Resultado total",('FUENTE NO BORRAR'!H55),""))</f>
        <v>112219.7</v>
      </c>
      <c r="I61" s="6">
        <f>IF('FUENTE NO BORRAR'!I55="","",IF('FUENTE NO BORRAR'!$A55&lt;&gt;"Resultado total",('FUENTE NO BORRAR'!I55),""))</f>
        <v>0</v>
      </c>
    </row>
    <row r="62" spans="1:9" x14ac:dyDescent="0.2">
      <c r="A62" s="5" t="str">
        <f>IF('FUENTE NO BORRAR'!A56="","",(IF('FUENTE NO BORRAR'!A56&lt;&gt;"Resultado total",'FUENTE NO BORRAR'!A56,"")))</f>
        <v/>
      </c>
      <c r="B62" s="5" t="str">
        <f>IF('FUENTE NO BORRAR'!B56="","",'FUENTE NO BORRAR'!B56)</f>
        <v/>
      </c>
      <c r="C62" s="5" t="str">
        <f>IF('FUENTE NO BORRAR'!C56="","",'FUENTE NO BORRAR'!C56)</f>
        <v/>
      </c>
      <c r="D62" s="5" t="str">
        <f>IF('FUENTE NO BORRAR'!D56="","",'FUENTE NO BORRAR'!D56)</f>
        <v/>
      </c>
      <c r="E62" s="5" t="str">
        <f>IF('FUENTE NO BORRAR'!E56="","",'FUENTE NO BORRAR'!E56)</f>
        <v/>
      </c>
      <c r="F62" s="6">
        <f>IF('FUENTE NO BORRAR'!F56="","",IF('FUENTE NO BORRAR'!$A56&lt;&gt;"Resultado total",('FUENTE NO BORRAR'!F56),""))</f>
        <v>71641.600000000006</v>
      </c>
      <c r="G62" s="6">
        <f>IF('FUENTE NO BORRAR'!G56="","",IF('FUENTE NO BORRAR'!$A56&lt;&gt;"Resultado total",('FUENTE NO BORRAR'!G56),""))</f>
        <v>71641.600000000006</v>
      </c>
      <c r="H62" s="6">
        <f>IF('FUENTE NO BORRAR'!H56="","",IF('FUENTE NO BORRAR'!$A56&lt;&gt;"Resultado total",('FUENTE NO BORRAR'!H56),""))</f>
        <v>71641.600000000006</v>
      </c>
      <c r="I62" s="6">
        <f>IF('FUENTE NO BORRAR'!I56="","",IF('FUENTE NO BORRAR'!$A56&lt;&gt;"Resultado total",('FUENTE NO BORRAR'!I56),""))</f>
        <v>0</v>
      </c>
    </row>
    <row r="63" spans="1:9" x14ac:dyDescent="0.2">
      <c r="A63" s="5" t="str">
        <f>IF('FUENTE NO BORRAR'!A57="","",(IF('FUENTE NO BORRAR'!A57&lt;&gt;"Resultado total",'FUENTE NO BORRAR'!A57,"")))</f>
        <v/>
      </c>
      <c r="B63" s="5" t="str">
        <f>IF('FUENTE NO BORRAR'!B57="","",'FUENTE NO BORRAR'!B57)</f>
        <v/>
      </c>
      <c r="C63" s="5" t="str">
        <f>IF('FUENTE NO BORRAR'!C57="","",'FUENTE NO BORRAR'!C57)</f>
        <v/>
      </c>
      <c r="D63" s="5" t="str">
        <f>IF('FUENTE NO BORRAR'!D57="","",'FUENTE NO BORRAR'!D57)</f>
        <v/>
      </c>
      <c r="E63" s="5" t="str">
        <f>IF('FUENTE NO BORRAR'!E57="","",'FUENTE NO BORRAR'!E57)</f>
        <v/>
      </c>
      <c r="F63" s="6">
        <f>IF('FUENTE NO BORRAR'!F57="","",IF('FUENTE NO BORRAR'!$A57&lt;&gt;"Resultado total",('FUENTE NO BORRAR'!F57),""))</f>
        <v>1264505.3700000001</v>
      </c>
      <c r="G63" s="6">
        <f>IF('FUENTE NO BORRAR'!G57="","",IF('FUENTE NO BORRAR'!$A57&lt;&gt;"Resultado total",('FUENTE NO BORRAR'!G57),""))</f>
        <v>1264505.3700000001</v>
      </c>
      <c r="H63" s="6">
        <f>IF('FUENTE NO BORRAR'!H57="","",IF('FUENTE NO BORRAR'!$A57&lt;&gt;"Resultado total",('FUENTE NO BORRAR'!H57),""))</f>
        <v>1037621.06</v>
      </c>
      <c r="I63" s="6">
        <f>IF('FUENTE NO BORRAR'!I57="","",IF('FUENTE NO BORRAR'!$A57&lt;&gt;"Resultado total",('FUENTE NO BORRAR'!I57),""))</f>
        <v>0</v>
      </c>
    </row>
    <row r="64" spans="1:9" x14ac:dyDescent="0.2">
      <c r="A64" s="5" t="str">
        <f>IF('FUENTE NO BORRAR'!A58="","",(IF('FUENTE NO BORRAR'!A58&lt;&gt;"Resultado total",'FUENTE NO BORRAR'!A58,"")))</f>
        <v/>
      </c>
      <c r="B64" s="5" t="str">
        <f>IF('FUENTE NO BORRAR'!B58="","",'FUENTE NO BORRAR'!B58)</f>
        <v/>
      </c>
      <c r="C64" s="5" t="str">
        <f>IF('FUENTE NO BORRAR'!C58="","",'FUENTE NO BORRAR'!C58)</f>
        <v/>
      </c>
      <c r="D64" s="5" t="str">
        <f>IF('FUENTE NO BORRAR'!D58="","",'FUENTE NO BORRAR'!D58)</f>
        <v/>
      </c>
      <c r="E64" s="5" t="str">
        <f>IF('FUENTE NO BORRAR'!E58="","",'FUENTE NO BORRAR'!E58)</f>
        <v/>
      </c>
      <c r="F64" s="6">
        <f>IF('FUENTE NO BORRAR'!F58="","",IF('FUENTE NO BORRAR'!$A58&lt;&gt;"Resultado total",('FUENTE NO BORRAR'!F58),""))</f>
        <v>82065.98</v>
      </c>
      <c r="G64" s="6">
        <f>IF('FUENTE NO BORRAR'!G58="","",IF('FUENTE NO BORRAR'!$A58&lt;&gt;"Resultado total",('FUENTE NO BORRAR'!G58),""))</f>
        <v>82065.98</v>
      </c>
      <c r="H64" s="6">
        <f>IF('FUENTE NO BORRAR'!H58="","",IF('FUENTE NO BORRAR'!$A58&lt;&gt;"Resultado total",('FUENTE NO BORRAR'!H58),""))</f>
        <v>81855.56</v>
      </c>
      <c r="I64" s="6">
        <f>IF('FUENTE NO BORRAR'!I58="","",IF('FUENTE NO BORRAR'!$A58&lt;&gt;"Resultado total",('FUENTE NO BORRAR'!I58),""))</f>
        <v>0</v>
      </c>
    </row>
    <row r="65" spans="1:9" x14ac:dyDescent="0.2">
      <c r="A65" s="5" t="str">
        <f>IF('FUENTE NO BORRAR'!A59="","",(IF('FUENTE NO BORRAR'!A59&lt;&gt;"Resultado total",'FUENTE NO BORRAR'!A59,"")))</f>
        <v/>
      </c>
      <c r="B65" s="5" t="str">
        <f>IF('FUENTE NO BORRAR'!B59="","",'FUENTE NO BORRAR'!B59)</f>
        <v/>
      </c>
      <c r="C65" s="5" t="str">
        <f>IF('FUENTE NO BORRAR'!C59="","",'FUENTE NO BORRAR'!C59)</f>
        <v/>
      </c>
      <c r="D65" s="5" t="str">
        <f>IF('FUENTE NO BORRAR'!D59="","",'FUENTE NO BORRAR'!D59)</f>
        <v/>
      </c>
      <c r="E65" s="5" t="str">
        <f>IF('FUENTE NO BORRAR'!E59="","",'FUENTE NO BORRAR'!E59)</f>
        <v/>
      </c>
      <c r="F65" s="6">
        <f>IF('FUENTE NO BORRAR'!F59="","",IF('FUENTE NO BORRAR'!$A59&lt;&gt;"Resultado total",('FUENTE NO BORRAR'!F59),""))</f>
        <v>245190.18</v>
      </c>
      <c r="G65" s="6">
        <f>IF('FUENTE NO BORRAR'!G59="","",IF('FUENTE NO BORRAR'!$A59&lt;&gt;"Resultado total",('FUENTE NO BORRAR'!G59),""))</f>
        <v>245190.18</v>
      </c>
      <c r="H65" s="6">
        <f>IF('FUENTE NO BORRAR'!H59="","",IF('FUENTE NO BORRAR'!$A59&lt;&gt;"Resultado total",('FUENTE NO BORRAR'!H59),""))</f>
        <v>245190.18</v>
      </c>
      <c r="I65" s="6">
        <f>IF('FUENTE NO BORRAR'!I59="","",IF('FUENTE NO BORRAR'!$A59&lt;&gt;"Resultado total",('FUENTE NO BORRAR'!I59),""))</f>
        <v>0</v>
      </c>
    </row>
    <row r="66" spans="1:9" x14ac:dyDescent="0.2">
      <c r="A66" s="5" t="str">
        <f>IF('FUENTE NO BORRAR'!A60="","",(IF('FUENTE NO BORRAR'!A60&lt;&gt;"Resultado total",'FUENTE NO BORRAR'!A60,"")))</f>
        <v/>
      </c>
      <c r="B66" s="5" t="str">
        <f>IF('FUENTE NO BORRAR'!B60="","",'FUENTE NO BORRAR'!B60)</f>
        <v/>
      </c>
      <c r="C66" s="5" t="str">
        <f>IF('FUENTE NO BORRAR'!C60="","",'FUENTE NO BORRAR'!C60)</f>
        <v/>
      </c>
      <c r="D66" s="5" t="str">
        <f>IF('FUENTE NO BORRAR'!D60="","",'FUENTE NO BORRAR'!D60)</f>
        <v/>
      </c>
      <c r="E66" s="5" t="str">
        <f>IF('FUENTE NO BORRAR'!E60="","",'FUENTE NO BORRAR'!E60)</f>
        <v/>
      </c>
      <c r="F66" s="6">
        <f>IF('FUENTE NO BORRAR'!F60="","",IF('FUENTE NO BORRAR'!$A60&lt;&gt;"Resultado total",('FUENTE NO BORRAR'!F60),""))</f>
        <v>37568.67</v>
      </c>
      <c r="G66" s="6">
        <f>IF('FUENTE NO BORRAR'!G60="","",IF('FUENTE NO BORRAR'!$A60&lt;&gt;"Resultado total",('FUENTE NO BORRAR'!G60),""))</f>
        <v>37568.67</v>
      </c>
      <c r="H66" s="6">
        <f>IF('FUENTE NO BORRAR'!H60="","",IF('FUENTE NO BORRAR'!$A60&lt;&gt;"Resultado total",('FUENTE NO BORRAR'!H60),""))</f>
        <v>37568.67</v>
      </c>
      <c r="I66" s="6">
        <f>IF('FUENTE NO BORRAR'!I60="","",IF('FUENTE NO BORRAR'!$A60&lt;&gt;"Resultado total",('FUENTE NO BORRAR'!I60),""))</f>
        <v>0</v>
      </c>
    </row>
    <row r="67" spans="1:9" x14ac:dyDescent="0.2">
      <c r="A67" s="5" t="str">
        <f>IF('FUENTE NO BORRAR'!A61="","",(IF('FUENTE NO BORRAR'!A61&lt;&gt;"Resultado total",'FUENTE NO BORRAR'!A61,"")))</f>
        <v/>
      </c>
      <c r="B67" s="5" t="str">
        <f>IF('FUENTE NO BORRAR'!B61="","",'FUENTE NO BORRAR'!B61)</f>
        <v/>
      </c>
      <c r="C67" s="5" t="str">
        <f>IF('FUENTE NO BORRAR'!C61="","",'FUENTE NO BORRAR'!C61)</f>
        <v/>
      </c>
      <c r="D67" s="5" t="str">
        <f>IF('FUENTE NO BORRAR'!D61="","",'FUENTE NO BORRAR'!D61)</f>
        <v/>
      </c>
      <c r="E67" s="5" t="str">
        <f>IF('FUENTE NO BORRAR'!E61="","",'FUENTE NO BORRAR'!E61)</f>
        <v/>
      </c>
      <c r="F67" s="6">
        <f>IF('FUENTE NO BORRAR'!F61="","",IF('FUENTE NO BORRAR'!$A61&lt;&gt;"Resultado total",('FUENTE NO BORRAR'!F61),""))</f>
        <v>16476.47</v>
      </c>
      <c r="G67" s="6">
        <f>IF('FUENTE NO BORRAR'!G61="","",IF('FUENTE NO BORRAR'!$A61&lt;&gt;"Resultado total",('FUENTE NO BORRAR'!G61),""))</f>
        <v>16476.47</v>
      </c>
      <c r="H67" s="6">
        <f>IF('FUENTE NO BORRAR'!H61="","",IF('FUENTE NO BORRAR'!$A61&lt;&gt;"Resultado total",('FUENTE NO BORRAR'!H61),""))</f>
        <v>16476.47</v>
      </c>
      <c r="I67" s="6">
        <f>IF('FUENTE NO BORRAR'!I61="","",IF('FUENTE NO BORRAR'!$A61&lt;&gt;"Resultado total",('FUENTE NO BORRAR'!I61),""))</f>
        <v>0</v>
      </c>
    </row>
    <row r="68" spans="1:9" x14ac:dyDescent="0.2">
      <c r="A68" s="5" t="str">
        <f>IF('FUENTE NO BORRAR'!A62="","",(IF('FUENTE NO BORRAR'!A62&lt;&gt;"Resultado total",'FUENTE NO BORRAR'!A62,"")))</f>
        <v/>
      </c>
      <c r="B68" s="5" t="str">
        <f>IF('FUENTE NO BORRAR'!B62="","",'FUENTE NO BORRAR'!B62)</f>
        <v/>
      </c>
      <c r="C68" s="5" t="str">
        <f>IF('FUENTE NO BORRAR'!C62="","",'FUENTE NO BORRAR'!C62)</f>
        <v/>
      </c>
      <c r="D68" s="5" t="str">
        <f>IF('FUENTE NO BORRAR'!D62="","",'FUENTE NO BORRAR'!D62)</f>
        <v/>
      </c>
      <c r="E68" s="5" t="str">
        <f>IF('FUENTE NO BORRAR'!E62="","",'FUENTE NO BORRAR'!E62)</f>
        <v/>
      </c>
      <c r="F68" s="6">
        <f>IF('FUENTE NO BORRAR'!F62="","",IF('FUENTE NO BORRAR'!$A62&lt;&gt;"Resultado total",('FUENTE NO BORRAR'!F62),""))</f>
        <v>1980081.21</v>
      </c>
      <c r="G68" s="6">
        <f>IF('FUENTE NO BORRAR'!G62="","",IF('FUENTE NO BORRAR'!$A62&lt;&gt;"Resultado total",('FUENTE NO BORRAR'!G62),""))</f>
        <v>1980081.21</v>
      </c>
      <c r="H68" s="6">
        <f>IF('FUENTE NO BORRAR'!H62="","",IF('FUENTE NO BORRAR'!$A62&lt;&gt;"Resultado total",('FUENTE NO BORRAR'!H62),""))</f>
        <v>0</v>
      </c>
      <c r="I68" s="6">
        <f>IF('FUENTE NO BORRAR'!I62="","",IF('FUENTE NO BORRAR'!$A62&lt;&gt;"Resultado total",('FUENTE NO BORRAR'!I62),""))</f>
        <v>0</v>
      </c>
    </row>
    <row r="69" spans="1:9" x14ac:dyDescent="0.2">
      <c r="A69" s="5" t="str">
        <f>IF('FUENTE NO BORRAR'!A63="","",(IF('FUENTE NO BORRAR'!A63&lt;&gt;"Resultado total",'FUENTE NO BORRAR'!A63,"")))</f>
        <v/>
      </c>
      <c r="B69" s="5" t="str">
        <f>IF('FUENTE NO BORRAR'!B63="","",'FUENTE NO BORRAR'!B63)</f>
        <v/>
      </c>
      <c r="C69" s="5" t="str">
        <f>IF('FUENTE NO BORRAR'!C63="","",'FUENTE NO BORRAR'!C63)</f>
        <v/>
      </c>
      <c r="D69" s="5" t="str">
        <f>IF('FUENTE NO BORRAR'!D63="","",'FUENTE NO BORRAR'!D63)</f>
        <v/>
      </c>
      <c r="E69" s="5" t="str">
        <f>IF('FUENTE NO BORRAR'!E63="","",'FUENTE NO BORRAR'!E63)</f>
        <v/>
      </c>
      <c r="F69" s="6">
        <f>IF('FUENTE NO BORRAR'!F63="","",IF('FUENTE NO BORRAR'!$A63&lt;&gt;"Resultado total",('FUENTE NO BORRAR'!F63),""))</f>
        <v>326872.12</v>
      </c>
      <c r="G69" s="6">
        <f>IF('FUENTE NO BORRAR'!G63="","",IF('FUENTE NO BORRAR'!$A63&lt;&gt;"Resultado total",('FUENTE NO BORRAR'!G63),""))</f>
        <v>326872.12</v>
      </c>
      <c r="H69" s="6">
        <f>IF('FUENTE NO BORRAR'!H63="","",IF('FUENTE NO BORRAR'!$A63&lt;&gt;"Resultado total",('FUENTE NO BORRAR'!H63),""))</f>
        <v>326872.12</v>
      </c>
      <c r="I69" s="6">
        <f>IF('FUENTE NO BORRAR'!I63="","",IF('FUENTE NO BORRAR'!$A63&lt;&gt;"Resultado total",('FUENTE NO BORRAR'!I63),""))</f>
        <v>0</v>
      </c>
    </row>
    <row r="70" spans="1:9" x14ac:dyDescent="0.2">
      <c r="A70" s="5" t="str">
        <f>IF('FUENTE NO BORRAR'!A64="","",(IF('FUENTE NO BORRAR'!A64&lt;&gt;"Resultado total",'FUENTE NO BORRAR'!A64,"")))</f>
        <v/>
      </c>
      <c r="B70" s="5" t="str">
        <f>IF('FUENTE NO BORRAR'!B64="","",'FUENTE NO BORRAR'!B64)</f>
        <v/>
      </c>
      <c r="C70" s="5" t="str">
        <f>IF('FUENTE NO BORRAR'!C64="","",'FUENTE NO BORRAR'!C64)</f>
        <v/>
      </c>
      <c r="D70" s="5" t="str">
        <f>IF('FUENTE NO BORRAR'!D64="","",'FUENTE NO BORRAR'!D64)</f>
        <v/>
      </c>
      <c r="E70" s="5" t="str">
        <f>IF('FUENTE NO BORRAR'!E64="","",'FUENTE NO BORRAR'!E64)</f>
        <v/>
      </c>
      <c r="F70" s="6">
        <f>IF('FUENTE NO BORRAR'!F64="","",IF('FUENTE NO BORRAR'!$A64&lt;&gt;"Resultado total",('FUENTE NO BORRAR'!F64),""))</f>
        <v>20594.400000000001</v>
      </c>
      <c r="G70" s="6">
        <f>IF('FUENTE NO BORRAR'!G64="","",IF('FUENTE NO BORRAR'!$A64&lt;&gt;"Resultado total",('FUENTE NO BORRAR'!G64),""))</f>
        <v>20594.400000000001</v>
      </c>
      <c r="H70" s="6">
        <f>IF('FUENTE NO BORRAR'!H64="","",IF('FUENTE NO BORRAR'!$A64&lt;&gt;"Resultado total",('FUENTE NO BORRAR'!H64),""))</f>
        <v>6194.4</v>
      </c>
      <c r="I70" s="6">
        <f>IF('FUENTE NO BORRAR'!I64="","",IF('FUENTE NO BORRAR'!$A64&lt;&gt;"Resultado total",('FUENTE NO BORRAR'!I64),""))</f>
        <v>0</v>
      </c>
    </row>
    <row r="71" spans="1:9" x14ac:dyDescent="0.2">
      <c r="A71" s="5" t="str">
        <f>IF('FUENTE NO BORRAR'!A65="","",(IF('FUENTE NO BORRAR'!A65&lt;&gt;"Resultado total",'FUENTE NO BORRAR'!A65,"")))</f>
        <v/>
      </c>
      <c r="B71" s="5" t="str">
        <f>IF('FUENTE NO BORRAR'!B65="","",'FUENTE NO BORRAR'!B65)</f>
        <v/>
      </c>
      <c r="C71" s="5" t="str">
        <f>IF('FUENTE NO BORRAR'!C65="","",'FUENTE NO BORRAR'!C65)</f>
        <v/>
      </c>
      <c r="D71" s="5" t="str">
        <f>IF('FUENTE NO BORRAR'!D65="","",'FUENTE NO BORRAR'!D65)</f>
        <v/>
      </c>
      <c r="E71" s="5" t="str">
        <f>IF('FUENTE NO BORRAR'!E65="","",'FUENTE NO BORRAR'!E65)</f>
        <v/>
      </c>
      <c r="F71" s="6">
        <f>IF('FUENTE NO BORRAR'!F65="","",IF('FUENTE NO BORRAR'!$A65&lt;&gt;"Resultado total",('FUENTE NO BORRAR'!F65),""))</f>
        <v>18792</v>
      </c>
      <c r="G71" s="6">
        <f>IF('FUENTE NO BORRAR'!G65="","",IF('FUENTE NO BORRAR'!$A65&lt;&gt;"Resultado total",('FUENTE NO BORRAR'!G65),""))</f>
        <v>18792</v>
      </c>
      <c r="H71" s="6">
        <f>IF('FUENTE NO BORRAR'!H65="","",IF('FUENTE NO BORRAR'!$A65&lt;&gt;"Resultado total",('FUENTE NO BORRAR'!H65),""))</f>
        <v>18792</v>
      </c>
      <c r="I71" s="6">
        <f>IF('FUENTE NO BORRAR'!I65="","",IF('FUENTE NO BORRAR'!$A65&lt;&gt;"Resultado total",('FUENTE NO BORRAR'!I65),""))</f>
        <v>0</v>
      </c>
    </row>
    <row r="72" spans="1:9" x14ac:dyDescent="0.2">
      <c r="A72" s="5" t="str">
        <f>IF('FUENTE NO BORRAR'!A66="","",(IF('FUENTE NO BORRAR'!A66&lt;&gt;"Resultado total",'FUENTE NO BORRAR'!A66,"")))</f>
        <v/>
      </c>
      <c r="B72" s="5" t="str">
        <f>IF('FUENTE NO BORRAR'!B66="","",'FUENTE NO BORRAR'!B66)</f>
        <v/>
      </c>
      <c r="C72" s="5" t="str">
        <f>IF('FUENTE NO BORRAR'!C66="","",'FUENTE NO BORRAR'!C66)</f>
        <v/>
      </c>
      <c r="D72" s="5" t="str">
        <f>IF('FUENTE NO BORRAR'!D66="","",'FUENTE NO BORRAR'!D66)</f>
        <v/>
      </c>
      <c r="E72" s="5" t="str">
        <f>IF('FUENTE NO BORRAR'!E66="","",'FUENTE NO BORRAR'!E66)</f>
        <v/>
      </c>
      <c r="F72" s="6">
        <f>IF('FUENTE NO BORRAR'!F66="","",IF('FUENTE NO BORRAR'!$A66&lt;&gt;"Resultado total",('FUENTE NO BORRAR'!F66),""))</f>
        <v>390804</v>
      </c>
      <c r="G72" s="6">
        <f>IF('FUENTE NO BORRAR'!G66="","",IF('FUENTE NO BORRAR'!$A66&lt;&gt;"Resultado total",('FUENTE NO BORRAR'!G66),""))</f>
        <v>390804</v>
      </c>
      <c r="H72" s="6">
        <f>IF('FUENTE NO BORRAR'!H66="","",IF('FUENTE NO BORRAR'!$A66&lt;&gt;"Resultado total",('FUENTE NO BORRAR'!H66),""))</f>
        <v>249168</v>
      </c>
      <c r="I72" s="6">
        <f>IF('FUENTE NO BORRAR'!I66="","",IF('FUENTE NO BORRAR'!$A66&lt;&gt;"Resultado total",('FUENTE NO BORRAR'!I66),""))</f>
        <v>0</v>
      </c>
    </row>
    <row r="73" spans="1:9" x14ac:dyDescent="0.2">
      <c r="A73" s="5" t="str">
        <f>IF('FUENTE NO BORRAR'!A67="","",(IF('FUENTE NO BORRAR'!A67&lt;&gt;"Resultado total",'FUENTE NO BORRAR'!A67,"")))</f>
        <v/>
      </c>
      <c r="B73" s="5" t="str">
        <f>IF('FUENTE NO BORRAR'!B67="","",'FUENTE NO BORRAR'!B67)</f>
        <v/>
      </c>
      <c r="C73" s="5" t="str">
        <f>IF('FUENTE NO BORRAR'!C67="","",'FUENTE NO BORRAR'!C67)</f>
        <v/>
      </c>
      <c r="D73" s="5" t="str">
        <f>IF('FUENTE NO BORRAR'!D67="","",'FUENTE NO BORRAR'!D67)</f>
        <v/>
      </c>
      <c r="E73" s="5" t="str">
        <f>IF('FUENTE NO BORRAR'!E67="","",'FUENTE NO BORRAR'!E67)</f>
        <v/>
      </c>
      <c r="F73" s="6">
        <f>IF('FUENTE NO BORRAR'!F67="","",IF('FUENTE NO BORRAR'!$A67&lt;&gt;"Resultado total",('FUENTE NO BORRAR'!F67),""))</f>
        <v>113294.41</v>
      </c>
      <c r="G73" s="6">
        <f>IF('FUENTE NO BORRAR'!G67="","",IF('FUENTE NO BORRAR'!$A67&lt;&gt;"Resultado total",('FUENTE NO BORRAR'!G67),""))</f>
        <v>113294.41</v>
      </c>
      <c r="H73" s="6">
        <f>IF('FUENTE NO BORRAR'!H67="","",IF('FUENTE NO BORRAR'!$A67&lt;&gt;"Resultado total",('FUENTE NO BORRAR'!H67),""))</f>
        <v>113294.41</v>
      </c>
      <c r="I73" s="6">
        <f>IF('FUENTE NO BORRAR'!I67="","",IF('FUENTE NO BORRAR'!$A67&lt;&gt;"Resultado total",('FUENTE NO BORRAR'!I67),""))</f>
        <v>0</v>
      </c>
    </row>
    <row r="74" spans="1:9" x14ac:dyDescent="0.2">
      <c r="A74" s="5" t="str">
        <f>IF('FUENTE NO BORRAR'!A68="","",(IF('FUENTE NO BORRAR'!A68&lt;&gt;"Resultado total",'FUENTE NO BORRAR'!A68,"")))</f>
        <v/>
      </c>
      <c r="B74" s="5" t="str">
        <f>IF('FUENTE NO BORRAR'!B68="","",'FUENTE NO BORRAR'!B68)</f>
        <v/>
      </c>
      <c r="C74" s="5" t="str">
        <f>IF('FUENTE NO BORRAR'!C68="","",'FUENTE NO BORRAR'!C68)</f>
        <v/>
      </c>
      <c r="D74" s="5" t="str">
        <f>IF('FUENTE NO BORRAR'!D68="","",'FUENTE NO BORRAR'!D68)</f>
        <v/>
      </c>
      <c r="E74" s="5" t="str">
        <f>IF('FUENTE NO BORRAR'!E68="","",'FUENTE NO BORRAR'!E68)</f>
        <v/>
      </c>
      <c r="F74" s="6">
        <f>IF('FUENTE NO BORRAR'!F68="","",IF('FUENTE NO BORRAR'!$A68&lt;&gt;"Resultado total",('FUENTE NO BORRAR'!F68),""))</f>
        <v>3391204.45</v>
      </c>
      <c r="G74" s="6">
        <f>IF('FUENTE NO BORRAR'!G68="","",IF('FUENTE NO BORRAR'!$A68&lt;&gt;"Resultado total",('FUENTE NO BORRAR'!G68),""))</f>
        <v>3391204.45</v>
      </c>
      <c r="H74" s="6">
        <f>IF('FUENTE NO BORRAR'!H68="","",IF('FUENTE NO BORRAR'!$A68&lt;&gt;"Resultado total",('FUENTE NO BORRAR'!H68),""))</f>
        <v>3359452.32</v>
      </c>
      <c r="I74" s="6">
        <f>IF('FUENTE NO BORRAR'!I68="","",IF('FUENTE NO BORRAR'!$A68&lt;&gt;"Resultado total",('FUENTE NO BORRAR'!I68),""))</f>
        <v>0</v>
      </c>
    </row>
    <row r="75" spans="1:9" x14ac:dyDescent="0.2">
      <c r="A75" s="5" t="str">
        <f>IF('FUENTE NO BORRAR'!A69="","",(IF('FUENTE NO BORRAR'!A69&lt;&gt;"Resultado total",'FUENTE NO BORRAR'!A69,"")))</f>
        <v/>
      </c>
      <c r="B75" s="5" t="str">
        <f>IF('FUENTE NO BORRAR'!B69="","",'FUENTE NO BORRAR'!B69)</f>
        <v/>
      </c>
      <c r="C75" s="5" t="str">
        <f>IF('FUENTE NO BORRAR'!C69="","",'FUENTE NO BORRAR'!C69)</f>
        <v/>
      </c>
      <c r="D75" s="5" t="str">
        <f>IF('FUENTE NO BORRAR'!D69="","",'FUENTE NO BORRAR'!D69)</f>
        <v/>
      </c>
      <c r="E75" s="5" t="str">
        <f>IF('FUENTE NO BORRAR'!E69="","",'FUENTE NO BORRAR'!E69)</f>
        <v/>
      </c>
      <c r="F75" s="6">
        <f>IF('FUENTE NO BORRAR'!F69="","",IF('FUENTE NO BORRAR'!$A69&lt;&gt;"Resultado total",('FUENTE NO BORRAR'!F69),""))</f>
        <v>0</v>
      </c>
      <c r="G75" s="6">
        <f>IF('FUENTE NO BORRAR'!G69="","",IF('FUENTE NO BORRAR'!$A69&lt;&gt;"Resultado total",('FUENTE NO BORRAR'!G69),""))</f>
        <v>0</v>
      </c>
      <c r="H75" s="6">
        <f>IF('FUENTE NO BORRAR'!H69="","",IF('FUENTE NO BORRAR'!$A69&lt;&gt;"Resultado total",('FUENTE NO BORRAR'!H69),""))</f>
        <v>0</v>
      </c>
      <c r="I75" s="6">
        <f>IF('FUENTE NO BORRAR'!I69="","",IF('FUENTE NO BORRAR'!$A69&lt;&gt;"Resultado total",('FUENTE NO BORRAR'!I69),""))</f>
        <v>0</v>
      </c>
    </row>
    <row r="76" spans="1:9" x14ac:dyDescent="0.2">
      <c r="A76" s="5" t="str">
        <f>IF('FUENTE NO BORRAR'!A70="","",(IF('FUENTE NO BORRAR'!A70&lt;&gt;"Resultado total",'FUENTE NO BORRAR'!A70,"")))</f>
        <v/>
      </c>
      <c r="B76" s="5" t="str">
        <f>IF('FUENTE NO BORRAR'!B70="","",'FUENTE NO BORRAR'!B70)</f>
        <v/>
      </c>
      <c r="C76" s="5" t="str">
        <f>IF('FUENTE NO BORRAR'!C70="","",'FUENTE NO BORRAR'!C70)</f>
        <v/>
      </c>
      <c r="D76" s="5" t="str">
        <f>IF('FUENTE NO BORRAR'!D70="","",'FUENTE NO BORRAR'!D70)</f>
        <v/>
      </c>
      <c r="E76" s="5" t="str">
        <f>IF('FUENTE NO BORRAR'!E70="","",'FUENTE NO BORRAR'!E70)</f>
        <v/>
      </c>
      <c r="F76" s="6">
        <f>IF('FUENTE NO BORRAR'!F70="","",IF('FUENTE NO BORRAR'!$A70&lt;&gt;"Resultado total",('FUENTE NO BORRAR'!F70),""))</f>
        <v>22050.97</v>
      </c>
      <c r="G76" s="6">
        <f>IF('FUENTE NO BORRAR'!G70="","",IF('FUENTE NO BORRAR'!$A70&lt;&gt;"Resultado total",('FUENTE NO BORRAR'!G70),""))</f>
        <v>22050.97</v>
      </c>
      <c r="H76" s="6">
        <f>IF('FUENTE NO BORRAR'!H70="","",IF('FUENTE NO BORRAR'!$A70&lt;&gt;"Resultado total",('FUENTE NO BORRAR'!H70),""))</f>
        <v>22050.97</v>
      </c>
      <c r="I76" s="6">
        <f>IF('FUENTE NO BORRAR'!I70="","",IF('FUENTE NO BORRAR'!$A70&lt;&gt;"Resultado total",('FUENTE NO BORRAR'!I70),""))</f>
        <v>0</v>
      </c>
    </row>
    <row r="77" spans="1:9" x14ac:dyDescent="0.2">
      <c r="A77" s="5" t="str">
        <f>IF('FUENTE NO BORRAR'!A71="","",(IF('FUENTE NO BORRAR'!A71&lt;&gt;"Resultado total",'FUENTE NO BORRAR'!A71,"")))</f>
        <v/>
      </c>
      <c r="B77" s="5" t="str">
        <f>IF('FUENTE NO BORRAR'!B71="","",'FUENTE NO BORRAR'!B71)</f>
        <v/>
      </c>
      <c r="C77" s="5" t="str">
        <f>IF('FUENTE NO BORRAR'!C71="","",'FUENTE NO BORRAR'!C71)</f>
        <v/>
      </c>
      <c r="D77" s="5" t="str">
        <f>IF('FUENTE NO BORRAR'!D71="","",'FUENTE NO BORRAR'!D71)</f>
        <v/>
      </c>
      <c r="E77" s="5" t="str">
        <f>IF('FUENTE NO BORRAR'!E71="","",'FUENTE NO BORRAR'!E71)</f>
        <v/>
      </c>
      <c r="F77" s="6">
        <f>IF('FUENTE NO BORRAR'!F71="","",IF('FUENTE NO BORRAR'!$A71&lt;&gt;"Resultado total",('FUENTE NO BORRAR'!F71),""))</f>
        <v>86194.96</v>
      </c>
      <c r="G77" s="6">
        <f>IF('FUENTE NO BORRAR'!G71="","",IF('FUENTE NO BORRAR'!$A71&lt;&gt;"Resultado total",('FUENTE NO BORRAR'!G71),""))</f>
        <v>86194.96</v>
      </c>
      <c r="H77" s="6">
        <f>IF('FUENTE NO BORRAR'!H71="","",IF('FUENTE NO BORRAR'!$A71&lt;&gt;"Resultado total",('FUENTE NO BORRAR'!H71),""))</f>
        <v>86194.96</v>
      </c>
      <c r="I77" s="6">
        <f>IF('FUENTE NO BORRAR'!I71="","",IF('FUENTE NO BORRAR'!$A71&lt;&gt;"Resultado total",('FUENTE NO BORRAR'!I71),""))</f>
        <v>0</v>
      </c>
    </row>
    <row r="78" spans="1:9" x14ac:dyDescent="0.2">
      <c r="A78" s="5" t="str">
        <f>IF('FUENTE NO BORRAR'!A72="","",(IF('FUENTE NO BORRAR'!A72&lt;&gt;"Resultado total",'FUENTE NO BORRAR'!A72,"")))</f>
        <v/>
      </c>
      <c r="B78" s="5" t="str">
        <f>IF('FUENTE NO BORRAR'!B72="","",'FUENTE NO BORRAR'!B72)</f>
        <v/>
      </c>
      <c r="C78" s="5" t="str">
        <f>IF('FUENTE NO BORRAR'!C72="","",'FUENTE NO BORRAR'!C72)</f>
        <v/>
      </c>
      <c r="D78" s="5" t="str">
        <f>IF('FUENTE NO BORRAR'!D72="","",'FUENTE NO BORRAR'!D72)</f>
        <v/>
      </c>
      <c r="E78" s="5" t="str">
        <f>IF('FUENTE NO BORRAR'!E72="","",'FUENTE NO BORRAR'!E72)</f>
        <v/>
      </c>
      <c r="F78" s="6">
        <f>IF('FUENTE NO BORRAR'!F72="","",IF('FUENTE NO BORRAR'!$A72&lt;&gt;"Resultado total",('FUENTE NO BORRAR'!F72),""))</f>
        <v>829264.61</v>
      </c>
      <c r="G78" s="6">
        <f>IF('FUENTE NO BORRAR'!G72="","",IF('FUENTE NO BORRAR'!$A72&lt;&gt;"Resultado total",('FUENTE NO BORRAR'!G72),""))</f>
        <v>829264.61</v>
      </c>
      <c r="H78" s="6">
        <f>IF('FUENTE NO BORRAR'!H72="","",IF('FUENTE NO BORRAR'!$A72&lt;&gt;"Resultado total",('FUENTE NO BORRAR'!H72),""))</f>
        <v>808476.61</v>
      </c>
      <c r="I78" s="6">
        <f>IF('FUENTE NO BORRAR'!I72="","",IF('FUENTE NO BORRAR'!$A72&lt;&gt;"Resultado total",('FUENTE NO BORRAR'!I72),""))</f>
        <v>0</v>
      </c>
    </row>
    <row r="79" spans="1:9" x14ac:dyDescent="0.2">
      <c r="A79" s="5" t="str">
        <f>IF('FUENTE NO BORRAR'!A73="","",(IF('FUENTE NO BORRAR'!A73&lt;&gt;"Resultado total",'FUENTE NO BORRAR'!A73,"")))</f>
        <v/>
      </c>
      <c r="B79" s="5" t="str">
        <f>IF('FUENTE NO BORRAR'!B73="","",'FUENTE NO BORRAR'!B73)</f>
        <v/>
      </c>
      <c r="C79" s="5" t="str">
        <f>IF('FUENTE NO BORRAR'!C73="","",'FUENTE NO BORRAR'!C73)</f>
        <v/>
      </c>
      <c r="D79" s="5" t="str">
        <f>IF('FUENTE NO BORRAR'!D73="","",'FUENTE NO BORRAR'!D73)</f>
        <v/>
      </c>
      <c r="E79" s="5" t="str">
        <f>IF('FUENTE NO BORRAR'!E73="","",'FUENTE NO BORRAR'!E73)</f>
        <v/>
      </c>
      <c r="F79" s="6">
        <f>IF('FUENTE NO BORRAR'!F73="","",IF('FUENTE NO BORRAR'!$A73&lt;&gt;"Resultado total",('FUENTE NO BORRAR'!F73),""))</f>
        <v>110200</v>
      </c>
      <c r="G79" s="6">
        <f>IF('FUENTE NO BORRAR'!G73="","",IF('FUENTE NO BORRAR'!$A73&lt;&gt;"Resultado total",('FUENTE NO BORRAR'!G73),""))</f>
        <v>110200</v>
      </c>
      <c r="H79" s="6">
        <f>IF('FUENTE NO BORRAR'!H73="","",IF('FUENTE NO BORRAR'!$A73&lt;&gt;"Resultado total",('FUENTE NO BORRAR'!H73),""))</f>
        <v>110200</v>
      </c>
      <c r="I79" s="6">
        <f>IF('FUENTE NO BORRAR'!I73="","",IF('FUENTE NO BORRAR'!$A73&lt;&gt;"Resultado total",('FUENTE NO BORRAR'!I73),""))</f>
        <v>0</v>
      </c>
    </row>
    <row r="80" spans="1:9" x14ac:dyDescent="0.2">
      <c r="A80" s="5" t="str">
        <f>IF('FUENTE NO BORRAR'!A74="","",(IF('FUENTE NO BORRAR'!A74&lt;&gt;"Resultado total",'FUENTE NO BORRAR'!A74,"")))</f>
        <v/>
      </c>
      <c r="B80" s="5" t="str">
        <f>IF('FUENTE NO BORRAR'!B74="","",'FUENTE NO BORRAR'!B74)</f>
        <v/>
      </c>
      <c r="C80" s="5" t="str">
        <f>IF('FUENTE NO BORRAR'!C74="","",'FUENTE NO BORRAR'!C74)</f>
        <v/>
      </c>
      <c r="D80" s="5" t="str">
        <f>IF('FUENTE NO BORRAR'!D74="","",'FUENTE NO BORRAR'!D74)</f>
        <v/>
      </c>
      <c r="E80" s="5" t="str">
        <f>IF('FUENTE NO BORRAR'!E74="","",'FUENTE NO BORRAR'!E74)</f>
        <v/>
      </c>
      <c r="F80" s="6">
        <f>IF('FUENTE NO BORRAR'!F74="","",IF('FUENTE NO BORRAR'!$A74&lt;&gt;"Resultado total",('FUENTE NO BORRAR'!F74),""))</f>
        <v>4181.32</v>
      </c>
      <c r="G80" s="6">
        <f>IF('FUENTE NO BORRAR'!G74="","",IF('FUENTE NO BORRAR'!$A74&lt;&gt;"Resultado total",('FUENTE NO BORRAR'!G74),""))</f>
        <v>4181.32</v>
      </c>
      <c r="H80" s="6">
        <f>IF('FUENTE NO BORRAR'!H74="","",IF('FUENTE NO BORRAR'!$A74&lt;&gt;"Resultado total",('FUENTE NO BORRAR'!H74),""))</f>
        <v>4181.32</v>
      </c>
      <c r="I80" s="6">
        <f>IF('FUENTE NO BORRAR'!I74="","",IF('FUENTE NO BORRAR'!$A74&lt;&gt;"Resultado total",('FUENTE NO BORRAR'!I74),""))</f>
        <v>0</v>
      </c>
    </row>
    <row r="81" spans="1:9" x14ac:dyDescent="0.2">
      <c r="A81" s="5" t="str">
        <f>IF('FUENTE NO BORRAR'!A75="","",(IF('FUENTE NO BORRAR'!A75&lt;&gt;"Resultado total",'FUENTE NO BORRAR'!A75,"")))</f>
        <v/>
      </c>
      <c r="B81" s="5" t="str">
        <f>IF('FUENTE NO BORRAR'!B75="","",'FUENTE NO BORRAR'!B75)</f>
        <v/>
      </c>
      <c r="C81" s="5" t="str">
        <f>IF('FUENTE NO BORRAR'!C75="","",'FUENTE NO BORRAR'!C75)</f>
        <v/>
      </c>
      <c r="D81" s="5" t="str">
        <f>IF('FUENTE NO BORRAR'!D75="","",'FUENTE NO BORRAR'!D75)</f>
        <v/>
      </c>
      <c r="E81" s="5" t="str">
        <f>IF('FUENTE NO BORRAR'!E75="","",'FUENTE NO BORRAR'!E75)</f>
        <v/>
      </c>
      <c r="F81" s="6">
        <f>IF('FUENTE NO BORRAR'!F75="","",IF('FUENTE NO BORRAR'!$A75&lt;&gt;"Resultado total",('FUENTE NO BORRAR'!F75),""))</f>
        <v>0</v>
      </c>
      <c r="G81" s="6">
        <f>IF('FUENTE NO BORRAR'!G75="","",IF('FUENTE NO BORRAR'!$A75&lt;&gt;"Resultado total",('FUENTE NO BORRAR'!G75),""))</f>
        <v>0</v>
      </c>
      <c r="H81" s="6">
        <f>IF('FUENTE NO BORRAR'!H75="","",IF('FUENTE NO BORRAR'!$A75&lt;&gt;"Resultado total",('FUENTE NO BORRAR'!H75),""))</f>
        <v>0</v>
      </c>
      <c r="I81" s="6">
        <f>IF('FUENTE NO BORRAR'!I75="","",IF('FUENTE NO BORRAR'!$A75&lt;&gt;"Resultado total",('FUENTE NO BORRAR'!I75),""))</f>
        <v>0</v>
      </c>
    </row>
    <row r="82" spans="1:9" x14ac:dyDescent="0.2">
      <c r="A82" s="5" t="str">
        <f>IF('FUENTE NO BORRAR'!A76="","",(IF('FUENTE NO BORRAR'!A76&lt;&gt;"Resultado total",'FUENTE NO BORRAR'!A76,"")))</f>
        <v/>
      </c>
      <c r="B82" s="5" t="str">
        <f>IF('FUENTE NO BORRAR'!B76="","",'FUENTE NO BORRAR'!B76)</f>
        <v/>
      </c>
      <c r="C82" s="5" t="str">
        <f>IF('FUENTE NO BORRAR'!C76="","",'FUENTE NO BORRAR'!C76)</f>
        <v/>
      </c>
      <c r="D82" s="5" t="str">
        <f>IF('FUENTE NO BORRAR'!D76="","",'FUENTE NO BORRAR'!D76)</f>
        <v/>
      </c>
      <c r="E82" s="5" t="str">
        <f>IF('FUENTE NO BORRAR'!E76="","",'FUENTE NO BORRAR'!E76)</f>
        <v/>
      </c>
      <c r="F82" s="6">
        <f>IF('FUENTE NO BORRAR'!F76="","",IF('FUENTE NO BORRAR'!$A76&lt;&gt;"Resultado total",('FUENTE NO BORRAR'!F76),""))</f>
        <v>6000</v>
      </c>
      <c r="G82" s="6">
        <f>IF('FUENTE NO BORRAR'!G76="","",IF('FUENTE NO BORRAR'!$A76&lt;&gt;"Resultado total",('FUENTE NO BORRAR'!G76),""))</f>
        <v>6000</v>
      </c>
      <c r="H82" s="6">
        <f>IF('FUENTE NO BORRAR'!H76="","",IF('FUENTE NO BORRAR'!$A76&lt;&gt;"Resultado total",('FUENTE NO BORRAR'!H76),""))</f>
        <v>6000</v>
      </c>
      <c r="I82" s="6">
        <f>IF('FUENTE NO BORRAR'!I76="","",IF('FUENTE NO BORRAR'!$A76&lt;&gt;"Resultado total",('FUENTE NO BORRAR'!I76),""))</f>
        <v>0</v>
      </c>
    </row>
    <row r="83" spans="1:9" x14ac:dyDescent="0.2">
      <c r="A83" s="5" t="str">
        <f>IF('FUENTE NO BORRAR'!A77="","",(IF('FUENTE NO BORRAR'!A77&lt;&gt;"Resultado total",'FUENTE NO BORRAR'!A77,"")))</f>
        <v/>
      </c>
      <c r="B83" s="5" t="str">
        <f>IF('FUENTE NO BORRAR'!B77="","",'FUENTE NO BORRAR'!B77)</f>
        <v/>
      </c>
      <c r="C83" s="5" t="str">
        <f>IF('FUENTE NO BORRAR'!C77="","",'FUENTE NO BORRAR'!C77)</f>
        <v/>
      </c>
      <c r="D83" s="5" t="str">
        <f>IF('FUENTE NO BORRAR'!D77="","",'FUENTE NO BORRAR'!D77)</f>
        <v/>
      </c>
      <c r="E83" s="5" t="str">
        <f>IF('FUENTE NO BORRAR'!E77="","",'FUENTE NO BORRAR'!E77)</f>
        <v/>
      </c>
      <c r="F83" s="6">
        <f>IF('FUENTE NO BORRAR'!F77="","",IF('FUENTE NO BORRAR'!$A77&lt;&gt;"Resultado total",('FUENTE NO BORRAR'!F77),""))</f>
        <v>0</v>
      </c>
      <c r="G83" s="6">
        <f>IF('FUENTE NO BORRAR'!G77="","",IF('FUENTE NO BORRAR'!$A77&lt;&gt;"Resultado total",('FUENTE NO BORRAR'!G77),""))</f>
        <v>0</v>
      </c>
      <c r="H83" s="6">
        <f>IF('FUENTE NO BORRAR'!H77="","",IF('FUENTE NO BORRAR'!$A77&lt;&gt;"Resultado total",('FUENTE NO BORRAR'!H77),""))</f>
        <v>0</v>
      </c>
      <c r="I83" s="6">
        <f>IF('FUENTE NO BORRAR'!I77="","",IF('FUENTE NO BORRAR'!$A77&lt;&gt;"Resultado total",('FUENTE NO BORRAR'!I77),""))</f>
        <v>0</v>
      </c>
    </row>
    <row r="84" spans="1:9" x14ac:dyDescent="0.2">
      <c r="A84" s="5" t="str">
        <f>IF('FUENTE NO BORRAR'!A78="","",(IF('FUENTE NO BORRAR'!A78&lt;&gt;"Resultado total",'FUENTE NO BORRAR'!A78,"")))</f>
        <v/>
      </c>
      <c r="B84" s="5" t="str">
        <f>IF('FUENTE NO BORRAR'!B78="","",'FUENTE NO BORRAR'!B78)</f>
        <v/>
      </c>
      <c r="C84" s="5" t="str">
        <f>IF('FUENTE NO BORRAR'!C78="","",'FUENTE NO BORRAR'!C78)</f>
        <v/>
      </c>
      <c r="D84" s="5" t="str">
        <f>IF('FUENTE NO BORRAR'!D78="","",'FUENTE NO BORRAR'!D78)</f>
        <v/>
      </c>
      <c r="E84" s="5" t="str">
        <f>IF('FUENTE NO BORRAR'!E78="","",'FUENTE NO BORRAR'!E78)</f>
        <v/>
      </c>
      <c r="F84" s="6">
        <f>IF('FUENTE NO BORRAR'!F78="","",IF('FUENTE NO BORRAR'!$A78&lt;&gt;"Resultado total",('FUENTE NO BORRAR'!F78),""))</f>
        <v>4060</v>
      </c>
      <c r="G84" s="6">
        <f>IF('FUENTE NO BORRAR'!G78="","",IF('FUENTE NO BORRAR'!$A78&lt;&gt;"Resultado total",('FUENTE NO BORRAR'!G78),""))</f>
        <v>4060</v>
      </c>
      <c r="H84" s="6">
        <f>IF('FUENTE NO BORRAR'!H78="","",IF('FUENTE NO BORRAR'!$A78&lt;&gt;"Resultado total",('FUENTE NO BORRAR'!H78),""))</f>
        <v>0</v>
      </c>
      <c r="I84" s="6">
        <f>IF('FUENTE NO BORRAR'!I78="","",IF('FUENTE NO BORRAR'!$A78&lt;&gt;"Resultado total",('FUENTE NO BORRAR'!I78),""))</f>
        <v>0</v>
      </c>
    </row>
    <row r="85" spans="1:9" x14ac:dyDescent="0.2">
      <c r="A85" s="5" t="str">
        <f>IF('FUENTE NO BORRAR'!A79="","",(IF('FUENTE NO BORRAR'!A79&lt;&gt;"Resultado total",'FUENTE NO BORRAR'!A79,"")))</f>
        <v/>
      </c>
      <c r="B85" s="5" t="str">
        <f>IF('FUENTE NO BORRAR'!B79="","",'FUENTE NO BORRAR'!B79)</f>
        <v/>
      </c>
      <c r="C85" s="5" t="str">
        <f>IF('FUENTE NO BORRAR'!C79="","",'FUENTE NO BORRAR'!C79)</f>
        <v/>
      </c>
      <c r="D85" s="5" t="str">
        <f>IF('FUENTE NO BORRAR'!D79="","",'FUENTE NO BORRAR'!D79)</f>
        <v/>
      </c>
      <c r="E85" s="5" t="str">
        <f>IF('FUENTE NO BORRAR'!E79="","",'FUENTE NO BORRAR'!E79)</f>
        <v/>
      </c>
      <c r="F85" s="6">
        <f>IF('FUENTE NO BORRAR'!F79="","",IF('FUENTE NO BORRAR'!$A79&lt;&gt;"Resultado total",('FUENTE NO BORRAR'!F79),""))</f>
        <v>45249.99</v>
      </c>
      <c r="G85" s="6">
        <f>IF('FUENTE NO BORRAR'!G79="","",IF('FUENTE NO BORRAR'!$A79&lt;&gt;"Resultado total",('FUENTE NO BORRAR'!G79),""))</f>
        <v>45249.99</v>
      </c>
      <c r="H85" s="6">
        <f>IF('FUENTE NO BORRAR'!H79="","",IF('FUENTE NO BORRAR'!$A79&lt;&gt;"Resultado total",('FUENTE NO BORRAR'!H79),""))</f>
        <v>45249.99</v>
      </c>
      <c r="I85" s="6">
        <f>IF('FUENTE NO BORRAR'!I79="","",IF('FUENTE NO BORRAR'!$A79&lt;&gt;"Resultado total",('FUENTE NO BORRAR'!I79),""))</f>
        <v>0</v>
      </c>
    </row>
    <row r="86" spans="1:9" x14ac:dyDescent="0.2">
      <c r="A86" s="5" t="str">
        <f>IF('FUENTE NO BORRAR'!A80="","",(IF('FUENTE NO BORRAR'!A80&lt;&gt;"Resultado total",'FUENTE NO BORRAR'!A80,"")))</f>
        <v/>
      </c>
      <c r="B86" s="5" t="str">
        <f>IF('FUENTE NO BORRAR'!B80="","",'FUENTE NO BORRAR'!B80)</f>
        <v/>
      </c>
      <c r="C86" s="5" t="str">
        <f>IF('FUENTE NO BORRAR'!C80="","",'FUENTE NO BORRAR'!C80)</f>
        <v>22015017I334</v>
      </c>
      <c r="D86" s="5" t="str">
        <f>IF('FUENTE NO BORRAR'!D80="","",'FUENTE NO BORRAR'!D80)</f>
        <v>22015017I334</v>
      </c>
      <c r="E86" s="5" t="str">
        <f>IF('FUENTE NO BORRAR'!E80="","",'FUENTE NO BORRAR'!E80)</f>
        <v/>
      </c>
      <c r="F86" s="6">
        <f>IF('FUENTE NO BORRAR'!F80="","",IF('FUENTE NO BORRAR'!$A80&lt;&gt;"Resultado total",('FUENTE NO BORRAR'!F80),""))</f>
        <v>115000.08</v>
      </c>
      <c r="G86" s="6">
        <f>IF('FUENTE NO BORRAR'!G80="","",IF('FUENTE NO BORRAR'!$A80&lt;&gt;"Resultado total",('FUENTE NO BORRAR'!G80),""))</f>
        <v>115000.08</v>
      </c>
      <c r="H86" s="6">
        <f>IF('FUENTE NO BORRAR'!H80="","",IF('FUENTE NO BORRAR'!$A80&lt;&gt;"Resultado total",('FUENTE NO BORRAR'!H80),""))</f>
        <v>0</v>
      </c>
      <c r="I86" s="6">
        <f>IF('FUENTE NO BORRAR'!I80="","",IF('FUENTE NO BORRAR'!$A80&lt;&gt;"Resultado total",('FUENTE NO BORRAR'!I80),""))</f>
        <v>0</v>
      </c>
    </row>
    <row r="87" spans="1:9" x14ac:dyDescent="0.2">
      <c r="A87" s="5" t="str">
        <f>IF('FUENTE NO BORRAR'!A81="","",(IF('FUENTE NO BORRAR'!A81&lt;&gt;"Resultado total",'FUENTE NO BORRAR'!A81,"")))</f>
        <v/>
      </c>
      <c r="B87" s="5" t="str">
        <f>IF('FUENTE NO BORRAR'!B81="","",'FUENTE NO BORRAR'!B81)</f>
        <v/>
      </c>
      <c r="C87" s="5" t="str">
        <f>IF('FUENTE NO BORRAR'!C81="","",'FUENTE NO BORRAR'!C81)</f>
        <v/>
      </c>
      <c r="D87" s="5" t="str">
        <f>IF('FUENTE NO BORRAR'!D81="","",'FUENTE NO BORRAR'!D81)</f>
        <v/>
      </c>
      <c r="E87" s="5" t="str">
        <f>IF('FUENTE NO BORRAR'!E81="","",'FUENTE NO BORRAR'!E81)</f>
        <v/>
      </c>
      <c r="F87" s="6">
        <f>IF('FUENTE NO BORRAR'!F81="","",IF('FUENTE NO BORRAR'!$A81&lt;&gt;"Resultado total",('FUENTE NO BORRAR'!F81),""))</f>
        <v>100011.5</v>
      </c>
      <c r="G87" s="6">
        <f>IF('FUENTE NO BORRAR'!G81="","",IF('FUENTE NO BORRAR'!$A81&lt;&gt;"Resultado total",('FUENTE NO BORRAR'!G81),""))</f>
        <v>100011.5</v>
      </c>
      <c r="H87" s="6">
        <f>IF('FUENTE NO BORRAR'!H81="","",IF('FUENTE NO BORRAR'!$A81&lt;&gt;"Resultado total",('FUENTE NO BORRAR'!H81),""))</f>
        <v>100011.5</v>
      </c>
      <c r="I87" s="6">
        <f>IF('FUENTE NO BORRAR'!I81="","",IF('FUENTE NO BORRAR'!$A81&lt;&gt;"Resultado total",('FUENTE NO BORRAR'!I81),""))</f>
        <v>0</v>
      </c>
    </row>
    <row r="88" spans="1:9" x14ac:dyDescent="0.2">
      <c r="A88" s="5" t="str">
        <f>IF('FUENTE NO BORRAR'!A82="","",(IF('FUENTE NO BORRAR'!A82&lt;&gt;"Resultado total",'FUENTE NO BORRAR'!A82,"")))</f>
        <v/>
      </c>
      <c r="B88" s="5" t="str">
        <f>IF('FUENTE NO BORRAR'!B82="","",'FUENTE NO BORRAR'!B82)</f>
        <v/>
      </c>
      <c r="C88" s="5" t="str">
        <f>IF('FUENTE NO BORRAR'!C82="","",'FUENTE NO BORRAR'!C82)</f>
        <v>22075017I333</v>
      </c>
      <c r="D88" s="5" t="str">
        <f>IF('FUENTE NO BORRAR'!D82="","",'FUENTE NO BORRAR'!D82)</f>
        <v>33 RAMO 33 FONDO 111</v>
      </c>
      <c r="E88" s="5" t="str">
        <f>IF('FUENTE NO BORRAR'!E82="","",'FUENTE NO BORRAR'!E82)</f>
        <v/>
      </c>
      <c r="F88" s="6">
        <f>IF('FUENTE NO BORRAR'!F82="","",IF('FUENTE NO BORRAR'!$A82&lt;&gt;"Resultado total",('FUENTE NO BORRAR'!F82),""))</f>
        <v>132413.42000000001</v>
      </c>
      <c r="G88" s="6">
        <f>IF('FUENTE NO BORRAR'!G82="","",IF('FUENTE NO BORRAR'!$A82&lt;&gt;"Resultado total",('FUENTE NO BORRAR'!G82),""))</f>
        <v>132413.42000000001</v>
      </c>
      <c r="H88" s="6">
        <f>IF('FUENTE NO BORRAR'!H82="","",IF('FUENTE NO BORRAR'!$A82&lt;&gt;"Resultado total",('FUENTE NO BORRAR'!H82),""))</f>
        <v>132413.42000000001</v>
      </c>
      <c r="I88" s="6">
        <f>IF('FUENTE NO BORRAR'!I82="","",IF('FUENTE NO BORRAR'!$A82&lt;&gt;"Resultado total",('FUENTE NO BORRAR'!I82),""))</f>
        <v>0</v>
      </c>
    </row>
    <row r="89" spans="1:9" x14ac:dyDescent="0.2">
      <c r="A89" s="5" t="str">
        <f>IF('FUENTE NO BORRAR'!A83="","",(IF('FUENTE NO BORRAR'!A83&lt;&gt;"Resultado total",'FUENTE NO BORRAR'!A83,"")))</f>
        <v/>
      </c>
      <c r="B89" s="5" t="str">
        <f>IF('FUENTE NO BORRAR'!B83="","",'FUENTE NO BORRAR'!B83)</f>
        <v/>
      </c>
      <c r="C89" s="5" t="str">
        <f>IF('FUENTE NO BORRAR'!C83="","",'FUENTE NO BORRAR'!C83)</f>
        <v/>
      </c>
      <c r="D89" s="5" t="str">
        <f>IF('FUENTE NO BORRAR'!D83="","",'FUENTE NO BORRAR'!D83)</f>
        <v/>
      </c>
      <c r="E89" s="5" t="str">
        <f>IF('FUENTE NO BORRAR'!E83="","",'FUENTE NO BORRAR'!E83)</f>
        <v/>
      </c>
      <c r="F89" s="6">
        <f>IF('FUENTE NO BORRAR'!F83="","",IF('FUENTE NO BORRAR'!$A83&lt;&gt;"Resultado total",('FUENTE NO BORRAR'!F83),""))</f>
        <v>0</v>
      </c>
      <c r="G89" s="6">
        <f>IF('FUENTE NO BORRAR'!G83="","",IF('FUENTE NO BORRAR'!$A83&lt;&gt;"Resultado total",('FUENTE NO BORRAR'!G83),""))</f>
        <v>0</v>
      </c>
      <c r="H89" s="6">
        <f>IF('FUENTE NO BORRAR'!H83="","",IF('FUENTE NO BORRAR'!$A83&lt;&gt;"Resultado total",('FUENTE NO BORRAR'!H83),""))</f>
        <v>0</v>
      </c>
      <c r="I89" s="6">
        <f>IF('FUENTE NO BORRAR'!I83="","",IF('FUENTE NO BORRAR'!$A83&lt;&gt;"Resultado total",('FUENTE NO BORRAR'!I83),""))</f>
        <v>0</v>
      </c>
    </row>
    <row r="90" spans="1:9" x14ac:dyDescent="0.2">
      <c r="A90" s="5" t="str">
        <f>IF('FUENTE NO BORRAR'!A84="","",(IF('FUENTE NO BORRAR'!A84&lt;&gt;"Resultado total",'FUENTE NO BORRAR'!A84,"")))</f>
        <v/>
      </c>
      <c r="B90" s="5" t="str">
        <f>IF('FUENTE NO BORRAR'!B84="","",'FUENTE NO BORRAR'!B84)</f>
        <v/>
      </c>
      <c r="C90" s="5" t="str">
        <f>IF('FUENTE NO BORRAR'!C84="","",'FUENTE NO BORRAR'!C84)</f>
        <v/>
      </c>
      <c r="D90" s="5" t="str">
        <f>IF('FUENTE NO BORRAR'!D84="","",'FUENTE NO BORRAR'!D84)</f>
        <v/>
      </c>
      <c r="E90" s="5" t="str">
        <f>IF('FUENTE NO BORRAR'!E84="","",'FUENTE NO BORRAR'!E84)</f>
        <v/>
      </c>
      <c r="F90" s="6">
        <f>IF('FUENTE NO BORRAR'!F84="","",IF('FUENTE NO BORRAR'!$A84&lt;&gt;"Resultado total",('FUENTE NO BORRAR'!F84),""))</f>
        <v>150000</v>
      </c>
      <c r="G90" s="6">
        <f>IF('FUENTE NO BORRAR'!G84="","",IF('FUENTE NO BORRAR'!$A84&lt;&gt;"Resultado total",('FUENTE NO BORRAR'!G84),""))</f>
        <v>150000</v>
      </c>
      <c r="H90" s="6">
        <f>IF('FUENTE NO BORRAR'!H84="","",IF('FUENTE NO BORRAR'!$A84&lt;&gt;"Resultado total",('FUENTE NO BORRAR'!H84),""))</f>
        <v>150000</v>
      </c>
      <c r="I90" s="6">
        <f>IF('FUENTE NO BORRAR'!I84="","",IF('FUENTE NO BORRAR'!$A84&lt;&gt;"Resultado total",('FUENTE NO BORRAR'!I84),""))</f>
        <v>0</v>
      </c>
    </row>
    <row r="91" spans="1:9" x14ac:dyDescent="0.2">
      <c r="A91" s="5" t="str">
        <f>IF('FUENTE NO BORRAR'!A85="","",(IF('FUENTE NO BORRAR'!A85&lt;&gt;"Resultado total",'FUENTE NO BORRAR'!A85,"")))</f>
        <v/>
      </c>
      <c r="B91" s="5" t="str">
        <f>IF('FUENTE NO BORRAR'!B85="","",'FUENTE NO BORRAR'!B85)</f>
        <v/>
      </c>
      <c r="C91" s="5" t="str">
        <f>IF('FUENTE NO BORRAR'!C85="","",'FUENTE NO BORRAR'!C85)</f>
        <v/>
      </c>
      <c r="D91" s="5" t="str">
        <f>IF('FUENTE NO BORRAR'!D85="","",'FUENTE NO BORRAR'!D85)</f>
        <v/>
      </c>
      <c r="E91" s="5" t="str">
        <f>IF('FUENTE NO BORRAR'!E85="","",'FUENTE NO BORRAR'!E85)</f>
        <v/>
      </c>
      <c r="F91" s="6">
        <f>IF('FUENTE NO BORRAR'!F85="","",IF('FUENTE NO BORRAR'!$A85&lt;&gt;"Resultado total",('FUENTE NO BORRAR'!F85),""))</f>
        <v>123457.95</v>
      </c>
      <c r="G91" s="6">
        <f>IF('FUENTE NO BORRAR'!G85="","",IF('FUENTE NO BORRAR'!$A85&lt;&gt;"Resultado total",('FUENTE NO BORRAR'!G85),""))</f>
        <v>123457.95</v>
      </c>
      <c r="H91" s="6">
        <f>IF('FUENTE NO BORRAR'!H85="","",IF('FUENTE NO BORRAR'!$A85&lt;&gt;"Resultado total",('FUENTE NO BORRAR'!H85),""))</f>
        <v>123457.95</v>
      </c>
      <c r="I91" s="6">
        <f>IF('FUENTE NO BORRAR'!I85="","",IF('FUENTE NO BORRAR'!$A85&lt;&gt;"Resultado total",('FUENTE NO BORRAR'!I85),""))</f>
        <v>0</v>
      </c>
    </row>
    <row r="92" spans="1:9" x14ac:dyDescent="0.2">
      <c r="A92" s="5" t="str">
        <f>IF('FUENTE NO BORRAR'!A86="","",(IF('FUENTE NO BORRAR'!A86&lt;&gt;"Resultado total",'FUENTE NO BORRAR'!A86,"")))</f>
        <v/>
      </c>
      <c r="B92" s="5" t="str">
        <f>IF('FUENTE NO BORRAR'!B86="","",'FUENTE NO BORRAR'!B86)</f>
        <v/>
      </c>
      <c r="C92" s="5" t="str">
        <f>IF('FUENTE NO BORRAR'!C86="","",'FUENTE NO BORRAR'!C86)</f>
        <v/>
      </c>
      <c r="D92" s="5" t="str">
        <f>IF('FUENTE NO BORRAR'!D86="","",'FUENTE NO BORRAR'!D86)</f>
        <v/>
      </c>
      <c r="E92" s="5" t="str">
        <f>IF('FUENTE NO BORRAR'!E86="","",'FUENTE NO BORRAR'!E86)</f>
        <v/>
      </c>
      <c r="F92" s="6">
        <f>IF('FUENTE NO BORRAR'!F86="","",IF('FUENTE NO BORRAR'!$A86&lt;&gt;"Resultado total",('FUENTE NO BORRAR'!F86),""))</f>
        <v>140000.01</v>
      </c>
      <c r="G92" s="6">
        <f>IF('FUENTE NO BORRAR'!G86="","",IF('FUENTE NO BORRAR'!$A86&lt;&gt;"Resultado total",('FUENTE NO BORRAR'!G86),""))</f>
        <v>140000.01</v>
      </c>
      <c r="H92" s="6">
        <f>IF('FUENTE NO BORRAR'!H86="","",IF('FUENTE NO BORRAR'!$A86&lt;&gt;"Resultado total",('FUENTE NO BORRAR'!H86),""))</f>
        <v>140000.01</v>
      </c>
      <c r="I92" s="6">
        <f>IF('FUENTE NO BORRAR'!I86="","",IF('FUENTE NO BORRAR'!$A86&lt;&gt;"Resultado total",('FUENTE NO BORRAR'!I86),""))</f>
        <v>0</v>
      </c>
    </row>
    <row r="93" spans="1:9" x14ac:dyDescent="0.2">
      <c r="A93" s="5" t="str">
        <f>IF('FUENTE NO BORRAR'!A87="","",(IF('FUENTE NO BORRAR'!A87&lt;&gt;"Resultado total",'FUENTE NO BORRAR'!A87,"")))</f>
        <v/>
      </c>
      <c r="B93" s="5" t="str">
        <f>IF('FUENTE NO BORRAR'!B87="","",'FUENTE NO BORRAR'!B87)</f>
        <v/>
      </c>
      <c r="C93" s="5" t="str">
        <f>IF('FUENTE NO BORRAR'!C87="","",'FUENTE NO BORRAR'!C87)</f>
        <v/>
      </c>
      <c r="D93" s="5" t="str">
        <f>IF('FUENTE NO BORRAR'!D87="","",'FUENTE NO BORRAR'!D87)</f>
        <v/>
      </c>
      <c r="E93" s="5" t="str">
        <f>IF('FUENTE NO BORRAR'!E87="","",'FUENTE NO BORRAR'!E87)</f>
        <v/>
      </c>
      <c r="F93" s="6">
        <f>IF('FUENTE NO BORRAR'!F87="","",IF('FUENTE NO BORRAR'!$A87&lt;&gt;"Resultado total",('FUENTE NO BORRAR'!F87),""))</f>
        <v>388453.79</v>
      </c>
      <c r="G93" s="6">
        <f>IF('FUENTE NO BORRAR'!G87="","",IF('FUENTE NO BORRAR'!$A87&lt;&gt;"Resultado total",('FUENTE NO BORRAR'!G87),""))</f>
        <v>387808.75</v>
      </c>
      <c r="H93" s="6">
        <f>IF('FUENTE NO BORRAR'!H87="","",IF('FUENTE NO BORRAR'!$A87&lt;&gt;"Resultado total",('FUENTE NO BORRAR'!H87),""))</f>
        <v>387808.75</v>
      </c>
      <c r="I93" s="6">
        <f>IF('FUENTE NO BORRAR'!I87="","",IF('FUENTE NO BORRAR'!$A87&lt;&gt;"Resultado total",('FUENTE NO BORRAR'!I87),""))</f>
        <v>645.04</v>
      </c>
    </row>
    <row r="94" spans="1:9" x14ac:dyDescent="0.2">
      <c r="A94" s="5" t="str">
        <f>IF('FUENTE NO BORRAR'!A88="","",(IF('FUENTE NO BORRAR'!A88&lt;&gt;"Resultado total",'FUENTE NO BORRAR'!A88,"")))</f>
        <v/>
      </c>
      <c r="B94" s="5" t="str">
        <f>IF('FUENTE NO BORRAR'!B88="","",'FUENTE NO BORRAR'!B88)</f>
        <v/>
      </c>
      <c r="C94" s="5" t="str">
        <f>IF('FUENTE NO BORRAR'!C88="","",'FUENTE NO BORRAR'!C88)</f>
        <v/>
      </c>
      <c r="D94" s="5" t="str">
        <f>IF('FUENTE NO BORRAR'!D88="","",'FUENTE NO BORRAR'!D88)</f>
        <v/>
      </c>
      <c r="E94" s="5" t="str">
        <f>IF('FUENTE NO BORRAR'!E88="","",'FUENTE NO BORRAR'!E88)</f>
        <v/>
      </c>
      <c r="F94" s="6">
        <f>IF('FUENTE NO BORRAR'!F88="","",IF('FUENTE NO BORRAR'!$A88&lt;&gt;"Resultado total",('FUENTE NO BORRAR'!F88),""))</f>
        <v>0</v>
      </c>
      <c r="G94" s="6">
        <f>IF('FUENTE NO BORRAR'!G88="","",IF('FUENTE NO BORRAR'!$A88&lt;&gt;"Resultado total",('FUENTE NO BORRAR'!G88),""))</f>
        <v>0</v>
      </c>
      <c r="H94" s="6">
        <f>IF('FUENTE NO BORRAR'!H88="","",IF('FUENTE NO BORRAR'!$A88&lt;&gt;"Resultado total",('FUENTE NO BORRAR'!H88),""))</f>
        <v>0</v>
      </c>
      <c r="I94" s="6">
        <f>IF('FUENTE NO BORRAR'!I88="","",IF('FUENTE NO BORRAR'!$A88&lt;&gt;"Resultado total",('FUENTE NO BORRAR'!I88),""))</f>
        <v>0</v>
      </c>
    </row>
    <row r="95" spans="1:9" x14ac:dyDescent="0.2">
      <c r="A95" s="5" t="str">
        <f>IF('FUENTE NO BORRAR'!A89="","",(IF('FUENTE NO BORRAR'!A89&lt;&gt;"Resultado total",'FUENTE NO BORRAR'!A89,"")))</f>
        <v/>
      </c>
      <c r="B95" s="5" t="str">
        <f>IF('FUENTE NO BORRAR'!B89="","",'FUENTE NO BORRAR'!B89)</f>
        <v/>
      </c>
      <c r="C95" s="5" t="str">
        <f>IF('FUENTE NO BORRAR'!C89="","",'FUENTE NO BORRAR'!C89)</f>
        <v/>
      </c>
      <c r="D95" s="5" t="str">
        <f>IF('FUENTE NO BORRAR'!D89="","",'FUENTE NO BORRAR'!D89)</f>
        <v/>
      </c>
      <c r="E95" s="5" t="str">
        <f>IF('FUENTE NO BORRAR'!E89="","",'FUENTE NO BORRAR'!E89)</f>
        <v/>
      </c>
      <c r="F95" s="6">
        <f>IF('FUENTE NO BORRAR'!F89="","",IF('FUENTE NO BORRAR'!$A89&lt;&gt;"Resultado total",('FUENTE NO BORRAR'!F89),""))</f>
        <v>74555</v>
      </c>
      <c r="G95" s="6">
        <f>IF('FUENTE NO BORRAR'!G89="","",IF('FUENTE NO BORRAR'!$A89&lt;&gt;"Resultado total",('FUENTE NO BORRAR'!G89),""))</f>
        <v>74555</v>
      </c>
      <c r="H95" s="6">
        <f>IF('FUENTE NO BORRAR'!H89="","",IF('FUENTE NO BORRAR'!$A89&lt;&gt;"Resultado total",('FUENTE NO BORRAR'!H89),""))</f>
        <v>0</v>
      </c>
      <c r="I95" s="6">
        <f>IF('FUENTE NO BORRAR'!I89="","",IF('FUENTE NO BORRAR'!$A89&lt;&gt;"Resultado total",('FUENTE NO BORRAR'!I89),""))</f>
        <v>0</v>
      </c>
    </row>
    <row r="96" spans="1:9" x14ac:dyDescent="0.2">
      <c r="A96" s="5" t="str">
        <f>IF('FUENTE NO BORRAR'!A90="","",(IF('FUENTE NO BORRAR'!A90&lt;&gt;"Resultado total",'FUENTE NO BORRAR'!A90,"")))</f>
        <v/>
      </c>
      <c r="B96" s="5" t="str">
        <f>IF('FUENTE NO BORRAR'!B90="","",'FUENTE NO BORRAR'!B90)</f>
        <v/>
      </c>
      <c r="C96" s="5" t="str">
        <f>IF('FUENTE NO BORRAR'!C90="","",'FUENTE NO BORRAR'!C90)</f>
        <v/>
      </c>
      <c r="D96" s="5" t="str">
        <f>IF('FUENTE NO BORRAR'!D90="","",'FUENTE NO BORRAR'!D90)</f>
        <v/>
      </c>
      <c r="E96" s="5" t="str">
        <f>IF('FUENTE NO BORRAR'!E90="","",'FUENTE NO BORRAR'!E90)</f>
        <v/>
      </c>
      <c r="F96" s="6">
        <f>IF('FUENTE NO BORRAR'!F90="","",IF('FUENTE NO BORRAR'!$A90&lt;&gt;"Resultado total",('FUENTE NO BORRAR'!F90),""))</f>
        <v>1715207.01</v>
      </c>
      <c r="G96" s="6">
        <f>IF('FUENTE NO BORRAR'!G90="","",IF('FUENTE NO BORRAR'!$A90&lt;&gt;"Resultado total",('FUENTE NO BORRAR'!G90),""))</f>
        <v>1707216.35</v>
      </c>
      <c r="H96" s="6">
        <f>IF('FUENTE NO BORRAR'!H90="","",IF('FUENTE NO BORRAR'!$A90&lt;&gt;"Resultado total",('FUENTE NO BORRAR'!H90),""))</f>
        <v>1707216.35</v>
      </c>
      <c r="I96" s="6">
        <f>IF('FUENTE NO BORRAR'!I90="","",IF('FUENTE NO BORRAR'!$A90&lt;&gt;"Resultado total",('FUENTE NO BORRAR'!I90),""))</f>
        <v>7990.66</v>
      </c>
    </row>
    <row r="97" spans="1:9" x14ac:dyDescent="0.2">
      <c r="A97" s="5" t="str">
        <f>IF('FUENTE NO BORRAR'!A91="","",(IF('FUENTE NO BORRAR'!A91&lt;&gt;"Resultado total",'FUENTE NO BORRAR'!A91,"")))</f>
        <v/>
      </c>
      <c r="B97" s="5" t="str">
        <f>IF('FUENTE NO BORRAR'!B91="","",'FUENTE NO BORRAR'!B91)</f>
        <v/>
      </c>
      <c r="C97" s="5" t="str">
        <f>IF('FUENTE NO BORRAR'!C91="","",'FUENTE NO BORRAR'!C91)</f>
        <v/>
      </c>
      <c r="D97" s="5" t="str">
        <f>IF('FUENTE NO BORRAR'!D91="","",'FUENTE NO BORRAR'!D91)</f>
        <v/>
      </c>
      <c r="E97" s="5" t="str">
        <f>IF('FUENTE NO BORRAR'!E91="","",'FUENTE NO BORRAR'!E91)</f>
        <v/>
      </c>
      <c r="F97" s="6">
        <f>IF('FUENTE NO BORRAR'!F91="","",IF('FUENTE NO BORRAR'!$A91&lt;&gt;"Resultado total",('FUENTE NO BORRAR'!F91),""))</f>
        <v>2954345.24</v>
      </c>
      <c r="G97" s="6">
        <f>IF('FUENTE NO BORRAR'!G91="","",IF('FUENTE NO BORRAR'!$A91&lt;&gt;"Resultado total",('FUENTE NO BORRAR'!G91),""))</f>
        <v>747299.8</v>
      </c>
      <c r="H97" s="6">
        <f>IF('FUENTE NO BORRAR'!H91="","",IF('FUENTE NO BORRAR'!$A91&lt;&gt;"Resultado total",('FUENTE NO BORRAR'!H91),""))</f>
        <v>744078.68</v>
      </c>
      <c r="I97" s="6">
        <f>IF('FUENTE NO BORRAR'!I91="","",IF('FUENTE NO BORRAR'!$A91&lt;&gt;"Resultado total",('FUENTE NO BORRAR'!I91),""))</f>
        <v>2207045.4399999902</v>
      </c>
    </row>
    <row r="98" spans="1:9" x14ac:dyDescent="0.2">
      <c r="A98" s="5" t="str">
        <f>IF('FUENTE NO BORRAR'!A92="","",(IF('FUENTE NO BORRAR'!A92&lt;&gt;"Resultado total",'FUENTE NO BORRAR'!A92,"")))</f>
        <v/>
      </c>
      <c r="B98" s="5" t="str">
        <f>IF('FUENTE NO BORRAR'!B92="","",'FUENTE NO BORRAR'!B92)</f>
        <v/>
      </c>
      <c r="C98" s="5" t="str">
        <f>IF('FUENTE NO BORRAR'!C92="","",'FUENTE NO BORRAR'!C92)</f>
        <v/>
      </c>
      <c r="D98" s="5" t="str">
        <f>IF('FUENTE NO BORRAR'!D92="","",'FUENTE NO BORRAR'!D92)</f>
        <v/>
      </c>
      <c r="E98" s="5" t="str">
        <f>IF('FUENTE NO BORRAR'!E92="","",'FUENTE NO BORRAR'!E92)</f>
        <v/>
      </c>
      <c r="F98" s="6">
        <f>IF('FUENTE NO BORRAR'!F92="","",IF('FUENTE NO BORRAR'!$A92&lt;&gt;"Resultado total",('FUENTE NO BORRAR'!F92),""))</f>
        <v>23655072</v>
      </c>
      <c r="G98" s="6">
        <f>IF('FUENTE NO BORRAR'!G92="","",IF('FUENTE NO BORRAR'!$A92&lt;&gt;"Resultado total",('FUENTE NO BORRAR'!G92),""))</f>
        <v>4862660.09</v>
      </c>
      <c r="H98" s="6">
        <f>IF('FUENTE NO BORRAR'!H92="","",IF('FUENTE NO BORRAR'!$A92&lt;&gt;"Resultado total",('FUENTE NO BORRAR'!H92),""))</f>
        <v>4776580.45</v>
      </c>
      <c r="I98" s="6">
        <f>IF('FUENTE NO BORRAR'!I92="","",IF('FUENTE NO BORRAR'!$A92&lt;&gt;"Resultado total",('FUENTE NO BORRAR'!I92),""))</f>
        <v>18792411.91</v>
      </c>
    </row>
    <row r="99" spans="1:9" x14ac:dyDescent="0.2">
      <c r="A99" s="5" t="str">
        <f>IF('FUENTE NO BORRAR'!A93="","",(IF('FUENTE NO BORRAR'!A93&lt;&gt;"Resultado total",'FUENTE NO BORRAR'!A93,"")))</f>
        <v/>
      </c>
      <c r="B99" s="5" t="str">
        <f>IF('FUENTE NO BORRAR'!B93="","",'FUENTE NO BORRAR'!B93)</f>
        <v/>
      </c>
      <c r="C99" s="5" t="str">
        <f>IF('FUENTE NO BORRAR'!C93="","",'FUENTE NO BORRAR'!C93)</f>
        <v/>
      </c>
      <c r="D99" s="5" t="str">
        <f>IF('FUENTE NO BORRAR'!D93="","",'FUENTE NO BORRAR'!D93)</f>
        <v/>
      </c>
      <c r="E99" s="5" t="str">
        <f>IF('FUENTE NO BORRAR'!E93="","",'FUENTE NO BORRAR'!E93)</f>
        <v/>
      </c>
      <c r="F99" s="6">
        <f>IF('FUENTE NO BORRAR'!F93="","",IF('FUENTE NO BORRAR'!$A93&lt;&gt;"Resultado total",('FUENTE NO BORRAR'!F93),""))</f>
        <v>10718184.6</v>
      </c>
      <c r="G99" s="6">
        <f>IF('FUENTE NO BORRAR'!G93="","",IF('FUENTE NO BORRAR'!$A93&lt;&gt;"Resultado total",('FUENTE NO BORRAR'!G93),""))</f>
        <v>0</v>
      </c>
      <c r="H99" s="6">
        <f>IF('FUENTE NO BORRAR'!H93="","",IF('FUENTE NO BORRAR'!$A93&lt;&gt;"Resultado total",('FUENTE NO BORRAR'!H93),""))</f>
        <v>0</v>
      </c>
      <c r="I99" s="6">
        <f>IF('FUENTE NO BORRAR'!I93="","",IF('FUENTE NO BORRAR'!$A93&lt;&gt;"Resultado total",('FUENTE NO BORRAR'!I93),""))</f>
        <v>10718184.6</v>
      </c>
    </row>
    <row r="100" spans="1:9" x14ac:dyDescent="0.2">
      <c r="A100" s="5" t="str">
        <f>IF('FUENTE NO BORRAR'!A94="","",(IF('FUENTE NO BORRAR'!A94&lt;&gt;"Resultado total",'FUENTE NO BORRAR'!A94,"")))</f>
        <v/>
      </c>
      <c r="B100" s="5" t="str">
        <f>IF('FUENTE NO BORRAR'!B94="","",'FUENTE NO BORRAR'!B94)</f>
        <v/>
      </c>
      <c r="C100" s="5" t="str">
        <f>IF('FUENTE NO BORRAR'!C94="","",'FUENTE NO BORRAR'!C94)</f>
        <v/>
      </c>
      <c r="D100" s="5" t="str">
        <f>IF('FUENTE NO BORRAR'!D94="","",'FUENTE NO BORRAR'!D94)</f>
        <v/>
      </c>
      <c r="E100" s="5" t="str">
        <f>IF('FUENTE NO BORRAR'!E94="","",'FUENTE NO BORRAR'!E94)</f>
        <v/>
      </c>
      <c r="F100" s="6">
        <f>IF('FUENTE NO BORRAR'!F94="","",IF('FUENTE NO BORRAR'!$A94&lt;&gt;"Resultado total",('FUENTE NO BORRAR'!F94),""))</f>
        <v>39551661.869999997</v>
      </c>
      <c r="G100" s="6">
        <f>IF('FUENTE NO BORRAR'!G94="","",IF('FUENTE NO BORRAR'!$A94&lt;&gt;"Resultado total",('FUENTE NO BORRAR'!G94),""))</f>
        <v>8165577.8099999996</v>
      </c>
      <c r="H100" s="6">
        <f>IF('FUENTE NO BORRAR'!H94="","",IF('FUENTE NO BORRAR'!$A94&lt;&gt;"Resultado total",('FUENTE NO BORRAR'!H94),""))</f>
        <v>6551522.7400000002</v>
      </c>
      <c r="I100" s="6">
        <f>IF('FUENTE NO BORRAR'!I94="","",IF('FUENTE NO BORRAR'!$A94&lt;&gt;"Resultado total",('FUENTE NO BORRAR'!I94),""))</f>
        <v>31386084.059999999</v>
      </c>
    </row>
    <row r="101" spans="1:9" x14ac:dyDescent="0.2">
      <c r="A101" s="5" t="str">
        <f>IF('FUENTE NO BORRAR'!A95="","",(IF('FUENTE NO BORRAR'!A95&lt;&gt;"Resultado total",'FUENTE NO BORRAR'!A95,"")))</f>
        <v/>
      </c>
      <c r="B101" s="5" t="str">
        <f>IF('FUENTE NO BORRAR'!B95="","",'FUENTE NO BORRAR'!B95)</f>
        <v/>
      </c>
      <c r="C101" s="5" t="str">
        <f>IF('FUENTE NO BORRAR'!C95="","",'FUENTE NO BORRAR'!C95)</f>
        <v/>
      </c>
      <c r="D101" s="5" t="str">
        <f>IF('FUENTE NO BORRAR'!D95="","",'FUENTE NO BORRAR'!D95)</f>
        <v/>
      </c>
      <c r="E101" s="5" t="str">
        <f>IF('FUENTE NO BORRAR'!E95="","",'FUENTE NO BORRAR'!E95)</f>
        <v/>
      </c>
      <c r="F101" s="6">
        <f>IF('FUENTE NO BORRAR'!F95="","",IF('FUENTE NO BORRAR'!$A95&lt;&gt;"Resultado total",('FUENTE NO BORRAR'!F95),""))</f>
        <v>34665764.469999999</v>
      </c>
      <c r="G101" s="6">
        <f>IF('FUENTE NO BORRAR'!G95="","",IF('FUENTE NO BORRAR'!$A95&lt;&gt;"Resultado total",('FUENTE NO BORRAR'!G95),""))</f>
        <v>4572092.88</v>
      </c>
      <c r="H101" s="6">
        <f>IF('FUENTE NO BORRAR'!H95="","",IF('FUENTE NO BORRAR'!$A95&lt;&gt;"Resultado total",('FUENTE NO BORRAR'!H95),""))</f>
        <v>4552385.57</v>
      </c>
      <c r="I101" s="6">
        <f>IF('FUENTE NO BORRAR'!I95="","",IF('FUENTE NO BORRAR'!$A95&lt;&gt;"Resultado total",('FUENTE NO BORRAR'!I95),""))</f>
        <v>30093671.59</v>
      </c>
    </row>
    <row r="102" spans="1:9" x14ac:dyDescent="0.2">
      <c r="A102" s="5" t="str">
        <f>IF('FUENTE NO BORRAR'!A96="","",(IF('FUENTE NO BORRAR'!A96&lt;&gt;"Resultado total",'FUENTE NO BORRAR'!A96,"")))</f>
        <v/>
      </c>
      <c r="B102" s="5" t="str">
        <f>IF('FUENTE NO BORRAR'!B96="","",'FUENTE NO BORRAR'!B96)</f>
        <v/>
      </c>
      <c r="C102" s="5" t="str">
        <f>IF('FUENTE NO BORRAR'!C96="","",'FUENTE NO BORRAR'!C96)</f>
        <v/>
      </c>
      <c r="D102" s="5" t="str">
        <f>IF('FUENTE NO BORRAR'!D96="","",'FUENTE NO BORRAR'!D96)</f>
        <v/>
      </c>
      <c r="E102" s="5" t="str">
        <f>IF('FUENTE NO BORRAR'!E96="","",'FUENTE NO BORRAR'!E96)</f>
        <v/>
      </c>
      <c r="F102" s="6">
        <f>IF('FUENTE NO BORRAR'!F96="","",IF('FUENTE NO BORRAR'!$A96&lt;&gt;"Resultado total",('FUENTE NO BORRAR'!F96),""))</f>
        <v>2153850.54</v>
      </c>
      <c r="G102" s="6">
        <f>IF('FUENTE NO BORRAR'!G96="","",IF('FUENTE NO BORRAR'!$A96&lt;&gt;"Resultado total",('FUENTE NO BORRAR'!G96),""))</f>
        <v>0</v>
      </c>
      <c r="H102" s="6">
        <f>IF('FUENTE NO BORRAR'!H96="","",IF('FUENTE NO BORRAR'!$A96&lt;&gt;"Resultado total",('FUENTE NO BORRAR'!H96),""))</f>
        <v>0</v>
      </c>
      <c r="I102" s="6">
        <f>IF('FUENTE NO BORRAR'!I96="","",IF('FUENTE NO BORRAR'!$A96&lt;&gt;"Resultado total",('FUENTE NO BORRAR'!I96),""))</f>
        <v>2153850.54</v>
      </c>
    </row>
    <row r="103" spans="1:9" x14ac:dyDescent="0.2">
      <c r="A103" s="5" t="str">
        <f>IF('FUENTE NO BORRAR'!A97="","",(IF('FUENTE NO BORRAR'!A97&lt;&gt;"Resultado total",'FUENTE NO BORRAR'!A97,"")))</f>
        <v/>
      </c>
      <c r="B103" s="5" t="str">
        <f>IF('FUENTE NO BORRAR'!B97="","",'FUENTE NO BORRAR'!B97)</f>
        <v/>
      </c>
      <c r="C103" s="5" t="str">
        <f>IF('FUENTE NO BORRAR'!C97="","",'FUENTE NO BORRAR'!C97)</f>
        <v/>
      </c>
      <c r="D103" s="5" t="str">
        <f>IF('FUENTE NO BORRAR'!D97="","",'FUENTE NO BORRAR'!D97)</f>
        <v/>
      </c>
      <c r="E103" s="5" t="str">
        <f>IF('FUENTE NO BORRAR'!E97="","",'FUENTE NO BORRAR'!E97)</f>
        <v/>
      </c>
      <c r="F103" s="6">
        <f>IF('FUENTE NO BORRAR'!F97="","",IF('FUENTE NO BORRAR'!$A97&lt;&gt;"Resultado total",('FUENTE NO BORRAR'!F97),""))</f>
        <v>3260064.85</v>
      </c>
      <c r="G103" s="6">
        <f>IF('FUENTE NO BORRAR'!G97="","",IF('FUENTE NO BORRAR'!$A97&lt;&gt;"Resultado total",('FUENTE NO BORRAR'!G97),""))</f>
        <v>3007342.8</v>
      </c>
      <c r="H103" s="6">
        <f>IF('FUENTE NO BORRAR'!H97="","",IF('FUENTE NO BORRAR'!$A97&lt;&gt;"Resultado total",('FUENTE NO BORRAR'!H97),""))</f>
        <v>2948581.8</v>
      </c>
      <c r="I103" s="6">
        <f>IF('FUENTE NO BORRAR'!I97="","",IF('FUENTE NO BORRAR'!$A97&lt;&gt;"Resultado total",('FUENTE NO BORRAR'!I97),""))</f>
        <v>252722.05</v>
      </c>
    </row>
    <row r="104" spans="1:9" x14ac:dyDescent="0.2">
      <c r="A104" s="5" t="str">
        <f>IF('FUENTE NO BORRAR'!A98="","",(IF('FUENTE NO BORRAR'!A98&lt;&gt;"Resultado total",'FUENTE NO BORRAR'!A98,"")))</f>
        <v/>
      </c>
      <c r="B104" s="5" t="str">
        <f>IF('FUENTE NO BORRAR'!B98="","",'FUENTE NO BORRAR'!B98)</f>
        <v/>
      </c>
      <c r="C104" s="5" t="str">
        <f>IF('FUENTE NO BORRAR'!C98="","",'FUENTE NO BORRAR'!C98)</f>
        <v>41015017I334</v>
      </c>
      <c r="D104" s="5" t="str">
        <f>IF('FUENTE NO BORRAR'!D98="","",'FUENTE NO BORRAR'!D98)</f>
        <v>41015017I334</v>
      </c>
      <c r="E104" s="5" t="str">
        <f>IF('FUENTE NO BORRAR'!E98="","",'FUENTE NO BORRAR'!E98)</f>
        <v/>
      </c>
      <c r="F104" s="6">
        <f>IF('FUENTE NO BORRAR'!F98="","",IF('FUENTE NO BORRAR'!$A98&lt;&gt;"Resultado total",('FUENTE NO BORRAR'!F98),""))</f>
        <v>15770921</v>
      </c>
      <c r="G104" s="6">
        <f>IF('FUENTE NO BORRAR'!G98="","",IF('FUENTE NO BORRAR'!$A98&lt;&gt;"Resultado total",('FUENTE NO BORRAR'!G98),""))</f>
        <v>13242476</v>
      </c>
      <c r="H104" s="6">
        <f>IF('FUENTE NO BORRAR'!H98="","",IF('FUENTE NO BORRAR'!$A98&lt;&gt;"Resultado total",('FUENTE NO BORRAR'!H98),""))</f>
        <v>13242476</v>
      </c>
      <c r="I104" s="6">
        <f>IF('FUENTE NO BORRAR'!I98="","",IF('FUENTE NO BORRAR'!$A98&lt;&gt;"Resultado total",('FUENTE NO BORRAR'!I98),""))</f>
        <v>2528445</v>
      </c>
    </row>
    <row r="105" spans="1:9" x14ac:dyDescent="0.2">
      <c r="A105" s="5" t="str">
        <f>IF('FUENTE NO BORRAR'!A99="","",(IF('FUENTE NO BORRAR'!A99&lt;&gt;"Resultado total",'FUENTE NO BORRAR'!A99,"")))</f>
        <v/>
      </c>
      <c r="B105" s="5" t="str">
        <f>IF('FUENTE NO BORRAR'!B99="","",'FUENTE NO BORRAR'!B99)</f>
        <v/>
      </c>
      <c r="C105" s="5" t="str">
        <f>IF('FUENTE NO BORRAR'!C99="","",'FUENTE NO BORRAR'!C99)</f>
        <v/>
      </c>
      <c r="D105" s="5" t="str">
        <f>IF('FUENTE NO BORRAR'!D99="","",'FUENTE NO BORRAR'!D99)</f>
        <v/>
      </c>
      <c r="E105" s="5" t="str">
        <f>IF('FUENTE NO BORRAR'!E99="","",'FUENTE NO BORRAR'!E99)</f>
        <v/>
      </c>
      <c r="F105" s="6">
        <f>IF('FUENTE NO BORRAR'!F99="","",IF('FUENTE NO BORRAR'!$A99&lt;&gt;"Resultado total",('FUENTE NO BORRAR'!F99),""))</f>
        <v>1902720</v>
      </c>
      <c r="G105" s="6">
        <f>IF('FUENTE NO BORRAR'!G99="","",IF('FUENTE NO BORRAR'!$A99&lt;&gt;"Resultado total",('FUENTE NO BORRAR'!G99),""))</f>
        <v>1902720</v>
      </c>
      <c r="H105" s="6">
        <f>IF('FUENTE NO BORRAR'!H99="","",IF('FUENTE NO BORRAR'!$A99&lt;&gt;"Resultado total",('FUENTE NO BORRAR'!H99),""))</f>
        <v>0</v>
      </c>
      <c r="I105" s="6">
        <f>IF('FUENTE NO BORRAR'!I99="","",IF('FUENTE NO BORRAR'!$A99&lt;&gt;"Resultado total",('FUENTE NO BORRAR'!I99),""))</f>
        <v>0</v>
      </c>
    </row>
    <row r="106" spans="1:9" x14ac:dyDescent="0.2">
      <c r="A106" s="5" t="str">
        <f>IF('FUENTE NO BORRAR'!A100="","",(IF('FUENTE NO BORRAR'!A100&lt;&gt;"Resultado total",'FUENTE NO BORRAR'!A100,"")))</f>
        <v/>
      </c>
      <c r="B106" s="5" t="str">
        <f>IF('FUENTE NO BORRAR'!B100="","",'FUENTE NO BORRAR'!B100)</f>
        <v/>
      </c>
      <c r="C106" s="5" t="str">
        <f>IF('FUENTE NO BORRAR'!C100="","",'FUENTE NO BORRAR'!C100)</f>
        <v/>
      </c>
      <c r="D106" s="5" t="str">
        <f>IF('FUENTE NO BORRAR'!D100="","",'FUENTE NO BORRAR'!D100)</f>
        <v/>
      </c>
      <c r="E106" s="5" t="str">
        <f>IF('FUENTE NO BORRAR'!E100="","",'FUENTE NO BORRAR'!E100)</f>
        <v/>
      </c>
      <c r="F106" s="6">
        <f>IF('FUENTE NO BORRAR'!F100="","",IF('FUENTE NO BORRAR'!$A100&lt;&gt;"Resultado total",('FUENTE NO BORRAR'!F100),""))</f>
        <v>1433321.5</v>
      </c>
      <c r="G106" s="6">
        <f>IF('FUENTE NO BORRAR'!G100="","",IF('FUENTE NO BORRAR'!$A100&lt;&gt;"Resultado total",('FUENTE NO BORRAR'!G100),""))</f>
        <v>1433321.5</v>
      </c>
      <c r="H106" s="6">
        <f>IF('FUENTE NO BORRAR'!H100="","",IF('FUENTE NO BORRAR'!$A100&lt;&gt;"Resultado total",('FUENTE NO BORRAR'!H100),""))</f>
        <v>927020.02</v>
      </c>
      <c r="I106" s="6">
        <f>IF('FUENTE NO BORRAR'!I100="","",IF('FUENTE NO BORRAR'!$A100&lt;&gt;"Resultado total",('FUENTE NO BORRAR'!I100),""))</f>
        <v>0</v>
      </c>
    </row>
    <row r="107" spans="1:9" x14ac:dyDescent="0.2">
      <c r="A107" s="5" t="str">
        <f>IF('FUENTE NO BORRAR'!A101="","",(IF('FUENTE NO BORRAR'!A101&lt;&gt;"Resultado total",'FUENTE NO BORRAR'!A101,"")))</f>
        <v/>
      </c>
      <c r="B107" s="5" t="str">
        <f>IF('FUENTE NO BORRAR'!B101="","",'FUENTE NO BORRAR'!B101)</f>
        <v/>
      </c>
      <c r="C107" s="5" t="str">
        <f>IF('FUENTE NO BORRAR'!C101="","",'FUENTE NO BORRAR'!C101)</f>
        <v/>
      </c>
      <c r="D107" s="5" t="str">
        <f>IF('FUENTE NO BORRAR'!D101="","",'FUENTE NO BORRAR'!D101)</f>
        <v/>
      </c>
      <c r="E107" s="5" t="str">
        <f>IF('FUENTE NO BORRAR'!E101="","",'FUENTE NO BORRAR'!E101)</f>
        <v/>
      </c>
      <c r="F107" s="6">
        <f>IF('FUENTE NO BORRAR'!F101="","",IF('FUENTE NO BORRAR'!$A101&lt;&gt;"Resultado total",('FUENTE NO BORRAR'!F101),""))</f>
        <v>846800</v>
      </c>
      <c r="G107" s="6">
        <f>IF('FUENTE NO BORRAR'!G101="","",IF('FUENTE NO BORRAR'!$A101&lt;&gt;"Resultado total",('FUENTE NO BORRAR'!G101),""))</f>
        <v>846800</v>
      </c>
      <c r="H107" s="6">
        <f>IF('FUENTE NO BORRAR'!H101="","",IF('FUENTE NO BORRAR'!$A101&lt;&gt;"Resultado total",('FUENTE NO BORRAR'!H101),""))</f>
        <v>696000</v>
      </c>
      <c r="I107" s="6">
        <f>IF('FUENTE NO BORRAR'!I101="","",IF('FUENTE NO BORRAR'!$A101&lt;&gt;"Resultado total",('FUENTE NO BORRAR'!I101),""))</f>
        <v>0</v>
      </c>
    </row>
    <row r="108" spans="1:9" x14ac:dyDescent="0.2">
      <c r="A108" s="5" t="str">
        <f>IF('FUENTE NO BORRAR'!A102="","",(IF('FUENTE NO BORRAR'!A102&lt;&gt;"Resultado total",'FUENTE NO BORRAR'!A102,"")))</f>
        <v/>
      </c>
      <c r="B108" s="5" t="str">
        <f>IF('FUENTE NO BORRAR'!B102="","",'FUENTE NO BORRAR'!B102)</f>
        <v>M</v>
      </c>
      <c r="C108" s="5" t="str">
        <f>IF('FUENTE NO BORRAR'!C102="","",'FUENTE NO BORRAR'!C102)</f>
        <v>15015032M101</v>
      </c>
      <c r="D108" s="5" t="str">
        <f>IF('FUENTE NO BORRAR'!D102="","",'FUENTE NO BORRAR'!D102)</f>
        <v>15015032M101</v>
      </c>
      <c r="E108" s="5" t="str">
        <f>IF('FUENTE NO BORRAR'!E102="","",'FUENTE NO BORRAR'!E102)</f>
        <v/>
      </c>
      <c r="F108" s="6" t="str">
        <f>IF('FUENTE NO BORRAR'!F102="","",IF('FUENTE NO BORRAR'!$A102&lt;&gt;"Resultado total",('FUENTE NO BORRAR'!F102),""))</f>
        <v/>
      </c>
      <c r="G108" s="6">
        <f>IF('FUENTE NO BORRAR'!G102="","",IF('FUENTE NO BORRAR'!$A102&lt;&gt;"Resultado total",('FUENTE NO BORRAR'!G102),""))</f>
        <v>1</v>
      </c>
      <c r="H108" s="6">
        <f>IF('FUENTE NO BORRAR'!H102="","",IF('FUENTE NO BORRAR'!$A102&lt;&gt;"Resultado total",('FUENTE NO BORRAR'!H102),""))</f>
        <v>1</v>
      </c>
      <c r="I108" s="6">
        <f>IF('FUENTE NO BORRAR'!I102="","",IF('FUENTE NO BORRAR'!$A102&lt;&gt;"Resultado total",('FUENTE NO BORRAR'!I102),""))</f>
        <v>-1</v>
      </c>
    </row>
    <row r="109" spans="1:9" x14ac:dyDescent="0.2">
      <c r="A109" s="5" t="str">
        <f>IF('FUENTE NO BORRAR'!A103="","",(IF('FUENTE NO BORRAR'!A103&lt;&gt;"Resultado total",'FUENTE NO BORRAR'!A103,"")))</f>
        <v/>
      </c>
      <c r="B109" s="5" t="str">
        <f>IF('FUENTE NO BORRAR'!B103="","",'FUENTE NO BORRAR'!B103)</f>
        <v>S</v>
      </c>
      <c r="C109" s="5" t="str">
        <f>IF('FUENTE NO BORRAR'!C103="","",'FUENTE NO BORRAR'!C103)</f>
        <v>22075017S238</v>
      </c>
      <c r="D109" s="5" t="str">
        <f>IF('FUENTE NO BORRAR'!D103="","",'FUENTE NO BORRAR'!D103)</f>
        <v>23 FONDO DE FORTALECIMIEN</v>
      </c>
      <c r="E109" s="5" t="str">
        <f>IF('FUENTE NO BORRAR'!E103="","",'FUENTE NO BORRAR'!E103)</f>
        <v/>
      </c>
      <c r="F109" s="6">
        <f>IF('FUENTE NO BORRAR'!F103="","",IF('FUENTE NO BORRAR'!$A103&lt;&gt;"Resultado total",('FUENTE NO BORRAR'!F103),""))</f>
        <v>3560000</v>
      </c>
      <c r="G109" s="6">
        <f>IF('FUENTE NO BORRAR'!G103="","",IF('FUENTE NO BORRAR'!$A103&lt;&gt;"Resultado total",('FUENTE NO BORRAR'!G103),""))</f>
        <v>0</v>
      </c>
      <c r="H109" s="6">
        <f>IF('FUENTE NO BORRAR'!H103="","",IF('FUENTE NO BORRAR'!$A103&lt;&gt;"Resultado total",('FUENTE NO BORRAR'!H103),""))</f>
        <v>0</v>
      </c>
      <c r="I109" s="6">
        <f>IF('FUENTE NO BORRAR'!I103="","",IF('FUENTE NO BORRAR'!$A103&lt;&gt;"Resultado total",('FUENTE NO BORRAR'!I103),""))</f>
        <v>3560000</v>
      </c>
    </row>
    <row r="110" spans="1:9" x14ac:dyDescent="0.2">
      <c r="A110" s="5" t="str">
        <f>IF('FUENTE NO BORRAR'!A104="","",(IF('FUENTE NO BORRAR'!A104&lt;&gt;"Resultado total",'FUENTE NO BORRAR'!A104,"")))</f>
        <v/>
      </c>
      <c r="B110" s="5" t="str">
        <f>IF('FUENTE NO BORRAR'!B104="","",'FUENTE NO BORRAR'!B104)</f>
        <v/>
      </c>
      <c r="C110" s="5" t="str">
        <f>IF('FUENTE NO BORRAR'!C104="","",'FUENTE NO BORRAR'!C104)</f>
        <v/>
      </c>
      <c r="D110" s="5" t="str">
        <f>IF('FUENTE NO BORRAR'!D104="","",'FUENTE NO BORRAR'!D104)</f>
        <v/>
      </c>
      <c r="E110" s="5" t="str">
        <f>IF('FUENTE NO BORRAR'!E104="","",'FUENTE NO BORRAR'!E104)</f>
        <v/>
      </c>
      <c r="F110" s="6">
        <f>IF('FUENTE NO BORRAR'!F104="","",IF('FUENTE NO BORRAR'!$A104&lt;&gt;"Resultado total",('FUENTE NO BORRAR'!F104),""))</f>
        <v>0</v>
      </c>
      <c r="G110" s="6">
        <f>IF('FUENTE NO BORRAR'!G104="","",IF('FUENTE NO BORRAR'!$A104&lt;&gt;"Resultado total",('FUENTE NO BORRAR'!G104),""))</f>
        <v>0</v>
      </c>
      <c r="H110" s="6">
        <f>IF('FUENTE NO BORRAR'!H104="","",IF('FUENTE NO BORRAR'!$A104&lt;&gt;"Resultado total",('FUENTE NO BORRAR'!H104),""))</f>
        <v>0</v>
      </c>
      <c r="I110" s="6">
        <f>IF('FUENTE NO BORRAR'!I104="","",IF('FUENTE NO BORRAR'!$A104&lt;&gt;"Resultado total",('FUENTE NO BORRAR'!I104),""))</f>
        <v>0</v>
      </c>
    </row>
    <row r="111" spans="1:9" x14ac:dyDescent="0.2">
      <c r="A111" s="5" t="str">
        <f>IF('FUENTE NO BORRAR'!A105="","",(IF('FUENTE NO BORRAR'!A105&lt;&gt;"Resultado total",'FUENTE NO BORRAR'!A105,"")))</f>
        <v/>
      </c>
      <c r="B111" s="5" t="str">
        <f>IF('FUENTE NO BORRAR'!B105="","",'FUENTE NO BORRAR'!B105)</f>
        <v/>
      </c>
      <c r="C111" s="5" t="str">
        <f>IF('FUENTE NO BORRAR'!C105="","",'FUENTE NO BORRAR'!C105)</f>
        <v/>
      </c>
      <c r="D111" s="5" t="str">
        <f>IF('FUENTE NO BORRAR'!D105="","",'FUENTE NO BORRAR'!D105)</f>
        <v/>
      </c>
      <c r="E111" s="5" t="str">
        <f>IF('FUENTE NO BORRAR'!E105="","",'FUENTE NO BORRAR'!E105)</f>
        <v/>
      </c>
      <c r="F111" s="6">
        <f>IF('FUENTE NO BORRAR'!F105="","",IF('FUENTE NO BORRAR'!$A105&lt;&gt;"Resultado total",('FUENTE NO BORRAR'!F105),""))</f>
        <v>2500000</v>
      </c>
      <c r="G111" s="6">
        <f>IF('FUENTE NO BORRAR'!G105="","",IF('FUENTE NO BORRAR'!$A105&lt;&gt;"Resultado total",('FUENTE NO BORRAR'!G105),""))</f>
        <v>0</v>
      </c>
      <c r="H111" s="6">
        <f>IF('FUENTE NO BORRAR'!H105="","",IF('FUENTE NO BORRAR'!$A105&lt;&gt;"Resultado total",('FUENTE NO BORRAR'!H105),""))</f>
        <v>0</v>
      </c>
      <c r="I111" s="6">
        <f>IF('FUENTE NO BORRAR'!I105="","",IF('FUENTE NO BORRAR'!$A105&lt;&gt;"Resultado total",('FUENTE NO BORRAR'!I105),""))</f>
        <v>2500000</v>
      </c>
    </row>
    <row r="112" spans="1:9" x14ac:dyDescent="0.2">
      <c r="A112" s="5" t="str">
        <f>IF('FUENTE NO BORRAR'!A106="","",(IF('FUENTE NO BORRAR'!A106&lt;&gt;"Resultado total",'FUENTE NO BORRAR'!A106,"")))</f>
        <v/>
      </c>
      <c r="B112" s="5" t="str">
        <f>IF('FUENTE NO BORRAR'!B106="","",'FUENTE NO BORRAR'!B106)</f>
        <v/>
      </c>
      <c r="C112" s="5" t="str">
        <f>IF('FUENTE NO BORRAR'!C106="","",'FUENTE NO BORRAR'!C106)</f>
        <v>22075017S239</v>
      </c>
      <c r="D112" s="5" t="str">
        <f>IF('FUENTE NO BORRAR'!D106="","",'FUENTE NO BORRAR'!D106)</f>
        <v>23 F. FORTALECIMIENTO PAR</v>
      </c>
      <c r="E112" s="5" t="str">
        <f>IF('FUENTE NO BORRAR'!E106="","",'FUENTE NO BORRAR'!E106)</f>
        <v/>
      </c>
      <c r="F112" s="6" t="str">
        <f>IF('FUENTE NO BORRAR'!F106="","",IF('FUENTE NO BORRAR'!$A106&lt;&gt;"Resultado total",('FUENTE NO BORRAR'!F106),""))</f>
        <v/>
      </c>
      <c r="G112" s="6">
        <f>IF('FUENTE NO BORRAR'!G106="","",IF('FUENTE NO BORRAR'!$A106&lt;&gt;"Resultado total",('FUENTE NO BORRAR'!G106),""))</f>
        <v>18.559999999999999</v>
      </c>
      <c r="H112" s="6">
        <f>IF('FUENTE NO BORRAR'!H106="","",IF('FUENTE NO BORRAR'!$A106&lt;&gt;"Resultado total",('FUENTE NO BORRAR'!H106),""))</f>
        <v>18.559999999999999</v>
      </c>
      <c r="I112" s="6">
        <f>IF('FUENTE NO BORRAR'!I106="","",IF('FUENTE NO BORRAR'!$A106&lt;&gt;"Resultado total",('FUENTE NO BORRAR'!I106),""))</f>
        <v>-18.559999999999999</v>
      </c>
    </row>
    <row r="113" spans="1:9" x14ac:dyDescent="0.2">
      <c r="A113" s="5" t="str">
        <f>IF('FUENTE NO BORRAR'!A107="","",(IF('FUENTE NO BORRAR'!A107&lt;&gt;"Resultado total",'FUENTE NO BORRAR'!A107,"")))</f>
        <v/>
      </c>
      <c r="B113" s="5" t="str">
        <f>IF('FUENTE NO BORRAR'!B107="","",'FUENTE NO BORRAR'!B107)</f>
        <v/>
      </c>
      <c r="C113" s="5" t="str">
        <f>IF('FUENTE NO BORRAR'!C107="","",'FUENTE NO BORRAR'!C107)</f>
        <v/>
      </c>
      <c r="D113" s="5" t="str">
        <f>IF('FUENTE NO BORRAR'!D107="","",'FUENTE NO BORRAR'!D107)</f>
        <v/>
      </c>
      <c r="E113" s="5" t="str">
        <f>IF('FUENTE NO BORRAR'!E107="","",'FUENTE NO BORRAR'!E107)</f>
        <v/>
      </c>
      <c r="F113" s="6">
        <f>IF('FUENTE NO BORRAR'!F107="","",IF('FUENTE NO BORRAR'!$A107&lt;&gt;"Resultado total",('FUENTE NO BORRAR'!F107),""))</f>
        <v>0</v>
      </c>
      <c r="G113" s="6">
        <f>IF('FUENTE NO BORRAR'!G107="","",IF('FUENTE NO BORRAR'!$A107&lt;&gt;"Resultado total",('FUENTE NO BORRAR'!G107),""))</f>
        <v>0</v>
      </c>
      <c r="H113" s="6">
        <f>IF('FUENTE NO BORRAR'!H107="","",IF('FUENTE NO BORRAR'!$A107&lt;&gt;"Resultado total",('FUENTE NO BORRAR'!H107),""))</f>
        <v>0</v>
      </c>
      <c r="I113" s="6">
        <f>IF('FUENTE NO BORRAR'!I107="","",IF('FUENTE NO BORRAR'!$A107&lt;&gt;"Resultado total",('FUENTE NO BORRAR'!I107),""))</f>
        <v>0</v>
      </c>
    </row>
    <row r="114" spans="1:9" x14ac:dyDescent="0.2">
      <c r="A114" s="5" t="str">
        <f>IF('FUENTE NO BORRAR'!A108="","",(IF('FUENTE NO BORRAR'!A108&lt;&gt;"Resultado total",'FUENTE NO BORRAR'!A108,"")))</f>
        <v/>
      </c>
      <c r="B114" s="5" t="str">
        <f>IF('FUENTE NO BORRAR'!B108="","",'FUENTE NO BORRAR'!B108)</f>
        <v/>
      </c>
      <c r="C114" s="5" t="str">
        <f>IF('FUENTE NO BORRAR'!C108="","",'FUENTE NO BORRAR'!C108)</f>
        <v/>
      </c>
      <c r="D114" s="5" t="str">
        <f>IF('FUENTE NO BORRAR'!D108="","",'FUENTE NO BORRAR'!D108)</f>
        <v/>
      </c>
      <c r="E114" s="5" t="str">
        <f>IF('FUENTE NO BORRAR'!E108="","",'FUENTE NO BORRAR'!E108)</f>
        <v/>
      </c>
      <c r="F114" s="6">
        <f>IF('FUENTE NO BORRAR'!F108="","",IF('FUENTE NO BORRAR'!$A108&lt;&gt;"Resultado total",('FUENTE NO BORRAR'!F108),""))</f>
        <v>0</v>
      </c>
      <c r="G114" s="6">
        <f>IF('FUENTE NO BORRAR'!G108="","",IF('FUENTE NO BORRAR'!$A108&lt;&gt;"Resultado total",('FUENTE NO BORRAR'!G108),""))</f>
        <v>0</v>
      </c>
      <c r="H114" s="6">
        <f>IF('FUENTE NO BORRAR'!H108="","",IF('FUENTE NO BORRAR'!$A108&lt;&gt;"Resultado total",('FUENTE NO BORRAR'!H108),""))</f>
        <v>0</v>
      </c>
      <c r="I114" s="6">
        <f>IF('FUENTE NO BORRAR'!I108="","",IF('FUENTE NO BORRAR'!$A108&lt;&gt;"Resultado total",('FUENTE NO BORRAR'!I108),""))</f>
        <v>0</v>
      </c>
    </row>
    <row r="115" spans="1:9" x14ac:dyDescent="0.2">
      <c r="A115" s="5" t="str">
        <f>IF('FUENTE NO BORRAR'!A109="","",(IF('FUENTE NO BORRAR'!A109&lt;&gt;"Resultado total",'FUENTE NO BORRAR'!A109,"")))</f>
        <v/>
      </c>
      <c r="B115" s="5" t="str">
        <f>IF('FUENTE NO BORRAR'!B109="","",'FUENTE NO BORRAR'!B109)</f>
        <v/>
      </c>
      <c r="C115" s="5" t="str">
        <f>IF('FUENTE NO BORRAR'!C109="","",'FUENTE NO BORRAR'!C109)</f>
        <v/>
      </c>
      <c r="D115" s="5" t="str">
        <f>IF('FUENTE NO BORRAR'!D109="","",'FUENTE NO BORRAR'!D109)</f>
        <v/>
      </c>
      <c r="E115" s="5" t="str">
        <f>IF('FUENTE NO BORRAR'!E109="","",'FUENTE NO BORRAR'!E109)</f>
        <v/>
      </c>
      <c r="F115" s="6">
        <f>IF('FUENTE NO BORRAR'!F109="","",IF('FUENTE NO BORRAR'!$A109&lt;&gt;"Resultado total",('FUENTE NO BORRAR'!F109),""))</f>
        <v>0</v>
      </c>
      <c r="G115" s="6">
        <f>IF('FUENTE NO BORRAR'!G109="","",IF('FUENTE NO BORRAR'!$A109&lt;&gt;"Resultado total",('FUENTE NO BORRAR'!G109),""))</f>
        <v>0</v>
      </c>
      <c r="H115" s="6">
        <f>IF('FUENTE NO BORRAR'!H109="","",IF('FUENTE NO BORRAR'!$A109&lt;&gt;"Resultado total",('FUENTE NO BORRAR'!H109),""))</f>
        <v>0</v>
      </c>
      <c r="I115" s="6">
        <f>IF('FUENTE NO BORRAR'!I109="","",IF('FUENTE NO BORRAR'!$A109&lt;&gt;"Resultado total",('FUENTE NO BORRAR'!I109),""))</f>
        <v>0</v>
      </c>
    </row>
    <row r="116" spans="1:9" x14ac:dyDescent="0.2">
      <c r="A116" s="5" t="str">
        <f>IF('FUENTE NO BORRAR'!A110="","",(IF('FUENTE NO BORRAR'!A110&lt;&gt;"Resultado total",'FUENTE NO BORRAR'!A110,"")))</f>
        <v/>
      </c>
      <c r="B116" s="5" t="str">
        <f>IF('FUENTE NO BORRAR'!B110="","",'FUENTE NO BORRAR'!B110)</f>
        <v/>
      </c>
      <c r="C116" s="5" t="str">
        <f>IF('FUENTE NO BORRAR'!C110="","",'FUENTE NO BORRAR'!C110)</f>
        <v/>
      </c>
      <c r="D116" s="5" t="str">
        <f>IF('FUENTE NO BORRAR'!D110="","",'FUENTE NO BORRAR'!D110)</f>
        <v/>
      </c>
      <c r="E116" s="5" t="str">
        <f>IF('FUENTE NO BORRAR'!E110="","",'FUENTE NO BORRAR'!E110)</f>
        <v/>
      </c>
      <c r="F116" s="6">
        <f>IF('FUENTE NO BORRAR'!F110="","",IF('FUENTE NO BORRAR'!$A110&lt;&gt;"Resultado total",('FUENTE NO BORRAR'!F110),""))</f>
        <v>5934989</v>
      </c>
      <c r="G116" s="6">
        <f>IF('FUENTE NO BORRAR'!G110="","",IF('FUENTE NO BORRAR'!$A110&lt;&gt;"Resultado total",('FUENTE NO BORRAR'!G110),""))</f>
        <v>1520789.08</v>
      </c>
      <c r="H116" s="6">
        <f>IF('FUENTE NO BORRAR'!H110="","",IF('FUENTE NO BORRAR'!$A110&lt;&gt;"Resultado total",('FUENTE NO BORRAR'!H110),""))</f>
        <v>1429007.33</v>
      </c>
      <c r="I116" s="6">
        <f>IF('FUENTE NO BORRAR'!I110="","",IF('FUENTE NO BORRAR'!$A110&lt;&gt;"Resultado total",('FUENTE NO BORRAR'!I110),""))</f>
        <v>4414199.92</v>
      </c>
    </row>
    <row r="117" spans="1:9" x14ac:dyDescent="0.2">
      <c r="A117" s="5" t="str">
        <f>IF('FUENTE NO BORRAR'!A111="","",(IF('FUENTE NO BORRAR'!A111&lt;&gt;"Resultado total",'FUENTE NO BORRAR'!A111,"")))</f>
        <v/>
      </c>
      <c r="B117" s="5" t="str">
        <f>IF('FUENTE NO BORRAR'!B111="","",'FUENTE NO BORRAR'!B111)</f>
        <v>U</v>
      </c>
      <c r="C117" s="5" t="str">
        <f>IF('FUENTE NO BORRAR'!C111="","",'FUENTE NO BORRAR'!C111)</f>
        <v>22015017U236</v>
      </c>
      <c r="D117" s="5" t="str">
        <f>IF('FUENTE NO BORRAR'!D111="","",'FUENTE NO BORRAR'!D111)</f>
        <v>23 PROGRAMAS REGIONALES</v>
      </c>
      <c r="E117" s="5" t="str">
        <f>IF('FUENTE NO BORRAR'!E111="","",'FUENTE NO BORRAR'!E111)</f>
        <v/>
      </c>
      <c r="F117" s="6">
        <f>IF('FUENTE NO BORRAR'!F111="","",IF('FUENTE NO BORRAR'!$A111&lt;&gt;"Resultado total",('FUENTE NO BORRAR'!F111),""))</f>
        <v>0</v>
      </c>
      <c r="G117" s="6">
        <f>IF('FUENTE NO BORRAR'!G111="","",IF('FUENTE NO BORRAR'!$A111&lt;&gt;"Resultado total",('FUENTE NO BORRAR'!G111),""))</f>
        <v>0</v>
      </c>
      <c r="H117" s="6">
        <f>IF('FUENTE NO BORRAR'!H111="","",IF('FUENTE NO BORRAR'!$A111&lt;&gt;"Resultado total",('FUENTE NO BORRAR'!H111),""))</f>
        <v>0</v>
      </c>
      <c r="I117" s="6">
        <f>IF('FUENTE NO BORRAR'!I111="","",IF('FUENTE NO BORRAR'!$A111&lt;&gt;"Resultado total",('FUENTE NO BORRAR'!I111),""))</f>
        <v>0</v>
      </c>
    </row>
    <row r="118" spans="1:9" x14ac:dyDescent="0.2">
      <c r="A118" s="5" t="str">
        <f>IF('FUENTE NO BORRAR'!A112="","",(IF('FUENTE NO BORRAR'!A112&lt;&gt;"Resultado total",'FUENTE NO BORRAR'!A112,"")))</f>
        <v/>
      </c>
      <c r="B118" s="5" t="str">
        <f>IF('FUENTE NO BORRAR'!B112="","",'FUENTE NO BORRAR'!B112)</f>
        <v/>
      </c>
      <c r="C118" s="5" t="str">
        <f>IF('FUENTE NO BORRAR'!C112="","",'FUENTE NO BORRAR'!C112)</f>
        <v/>
      </c>
      <c r="D118" s="5" t="str">
        <f>IF('FUENTE NO BORRAR'!D112="","",'FUENTE NO BORRAR'!D112)</f>
        <v/>
      </c>
      <c r="E118" s="5" t="str">
        <f>IF('FUENTE NO BORRAR'!E112="","",'FUENTE NO BORRAR'!E112)</f>
        <v/>
      </c>
      <c r="F118" s="6">
        <f>IF('FUENTE NO BORRAR'!F112="","",IF('FUENTE NO BORRAR'!$A112&lt;&gt;"Resultado total",('FUENTE NO BORRAR'!F112),""))</f>
        <v>915830.11</v>
      </c>
      <c r="G118" s="6">
        <f>IF('FUENTE NO BORRAR'!G112="","",IF('FUENTE NO BORRAR'!$A112&lt;&gt;"Resultado total",('FUENTE NO BORRAR'!G112),""))</f>
        <v>0</v>
      </c>
      <c r="H118" s="6">
        <f>IF('FUENTE NO BORRAR'!H112="","",IF('FUENTE NO BORRAR'!$A112&lt;&gt;"Resultado total",('FUENTE NO BORRAR'!H112),""))</f>
        <v>0</v>
      </c>
      <c r="I118" s="6">
        <f>IF('FUENTE NO BORRAR'!I112="","",IF('FUENTE NO BORRAR'!$A112&lt;&gt;"Resultado total",('FUENTE NO BORRAR'!I112),""))</f>
        <v>915830.11</v>
      </c>
    </row>
    <row r="119" spans="1:9" x14ac:dyDescent="0.2">
      <c r="A119" s="5" t="str">
        <f>IF('FUENTE NO BORRAR'!A113="","",(IF('FUENTE NO BORRAR'!A113&lt;&gt;"Resultado total",'FUENTE NO BORRAR'!A113,"")))</f>
        <v/>
      </c>
      <c r="B119" s="5" t="str">
        <f>IF('FUENTE NO BORRAR'!B113="","",'FUENTE NO BORRAR'!B113)</f>
        <v/>
      </c>
      <c r="C119" s="5" t="str">
        <f>IF('FUENTE NO BORRAR'!C113="","",'FUENTE NO BORRAR'!C113)</f>
        <v>22015017U238</v>
      </c>
      <c r="D119" s="5" t="str">
        <f>IF('FUENTE NO BORRAR'!D113="","",'FUENTE NO BORRAR'!D113)</f>
        <v>23 CONTINGENCIAS ECONÓMIC</v>
      </c>
      <c r="E119" s="5" t="str">
        <f>IF('FUENTE NO BORRAR'!E113="","",'FUENTE NO BORRAR'!E113)</f>
        <v/>
      </c>
      <c r="F119" s="6">
        <f>IF('FUENTE NO BORRAR'!F113="","",IF('FUENTE NO BORRAR'!$A113&lt;&gt;"Resultado total",('FUENTE NO BORRAR'!F113),""))</f>
        <v>0</v>
      </c>
      <c r="G119" s="6">
        <f>IF('FUENTE NO BORRAR'!G113="","",IF('FUENTE NO BORRAR'!$A113&lt;&gt;"Resultado total",('FUENTE NO BORRAR'!G113),""))</f>
        <v>0</v>
      </c>
      <c r="H119" s="6">
        <f>IF('FUENTE NO BORRAR'!H113="","",IF('FUENTE NO BORRAR'!$A113&lt;&gt;"Resultado total",('FUENTE NO BORRAR'!H113),""))</f>
        <v>0</v>
      </c>
      <c r="I119" s="6">
        <f>IF('FUENTE NO BORRAR'!I113="","",IF('FUENTE NO BORRAR'!$A113&lt;&gt;"Resultado total",('FUENTE NO BORRAR'!I113),""))</f>
        <v>0</v>
      </c>
    </row>
    <row r="120" spans="1:9" x14ac:dyDescent="0.2">
      <c r="A120" s="5" t="str">
        <f>IF('FUENTE NO BORRAR'!A114="","",(IF('FUENTE NO BORRAR'!A114&lt;&gt;"Resultado total",'FUENTE NO BORRAR'!A114,"")))</f>
        <v/>
      </c>
      <c r="B120" s="5" t="str">
        <f>IF('FUENTE NO BORRAR'!B114="","",'FUENTE NO BORRAR'!B114)</f>
        <v/>
      </c>
      <c r="C120" s="5" t="str">
        <f>IF('FUENTE NO BORRAR'!C114="","",'FUENTE NO BORRAR'!C114)</f>
        <v/>
      </c>
      <c r="D120" s="5" t="str">
        <f>IF('FUENTE NO BORRAR'!D114="","",'FUENTE NO BORRAR'!D114)</f>
        <v/>
      </c>
      <c r="E120" s="5" t="str">
        <f>IF('FUENTE NO BORRAR'!E114="","",'FUENTE NO BORRAR'!E114)</f>
        <v/>
      </c>
      <c r="F120" s="6">
        <f>IF('FUENTE NO BORRAR'!F114="","",IF('FUENTE NO BORRAR'!$A114&lt;&gt;"Resultado total",('FUENTE NO BORRAR'!F114),""))</f>
        <v>0</v>
      </c>
      <c r="G120" s="6">
        <f>IF('FUENTE NO BORRAR'!G114="","",IF('FUENTE NO BORRAR'!$A114&lt;&gt;"Resultado total",('FUENTE NO BORRAR'!G114),""))</f>
        <v>0</v>
      </c>
      <c r="H120" s="6">
        <f>IF('FUENTE NO BORRAR'!H114="","",IF('FUENTE NO BORRAR'!$A114&lt;&gt;"Resultado total",('FUENTE NO BORRAR'!H114),""))</f>
        <v>0</v>
      </c>
      <c r="I120" s="6">
        <f>IF('FUENTE NO BORRAR'!I114="","",IF('FUENTE NO BORRAR'!$A114&lt;&gt;"Resultado total",('FUENTE NO BORRAR'!I114),""))</f>
        <v>0</v>
      </c>
    </row>
    <row r="121" spans="1:9" x14ac:dyDescent="0.2">
      <c r="A121" s="5" t="str">
        <f>IF('FUENTE NO BORRAR'!A115="","",(IF('FUENTE NO BORRAR'!A115&lt;&gt;"Resultado total",'FUENTE NO BORRAR'!A115,"")))</f>
        <v/>
      </c>
      <c r="B121" s="5" t="str">
        <f>IF('FUENTE NO BORRAR'!B115="","",'FUENTE NO BORRAR'!B115)</f>
        <v/>
      </c>
      <c r="C121" s="5" t="str">
        <f>IF('FUENTE NO BORRAR'!C115="","",'FUENTE NO BORRAR'!C115)</f>
        <v/>
      </c>
      <c r="D121" s="5" t="str">
        <f>IF('FUENTE NO BORRAR'!D115="","",'FUENTE NO BORRAR'!D115)</f>
        <v/>
      </c>
      <c r="E121" s="5" t="str">
        <f>IF('FUENTE NO BORRAR'!E115="","",'FUENTE NO BORRAR'!E115)</f>
        <v/>
      </c>
      <c r="F121" s="6" t="str">
        <f>IF('FUENTE NO BORRAR'!F115="","",IF('FUENTE NO BORRAR'!$A115&lt;&gt;"Resultado total",('FUENTE NO BORRAR'!F115),""))</f>
        <v/>
      </c>
      <c r="G121" s="6" t="str">
        <f>IF('FUENTE NO BORRAR'!G115="","",IF('FUENTE NO BORRAR'!$A115&lt;&gt;"Resultado total",('FUENTE NO BORRAR'!G115),""))</f>
        <v/>
      </c>
      <c r="H121" s="6" t="str">
        <f>IF('FUENTE NO BORRAR'!H115="","",IF('FUENTE NO BORRAR'!$A115&lt;&gt;"Resultado total",('FUENTE NO BORRAR'!H115),""))</f>
        <v/>
      </c>
      <c r="I121" s="6" t="str">
        <f>IF('FUENTE NO BORRAR'!I115="","",IF('FUENTE NO BORRAR'!$A115&lt;&gt;"Resultado total",('FUENTE NO BORRAR'!I115),""))</f>
        <v/>
      </c>
    </row>
    <row r="122" spans="1:9" x14ac:dyDescent="0.2">
      <c r="A122" s="5" t="str">
        <f>IF('FUENTE NO BORRAR'!A116="","",(IF('FUENTE NO BORRAR'!A116&lt;&gt;"Resultado total",'FUENTE NO BORRAR'!A116,"")))</f>
        <v/>
      </c>
      <c r="B122" s="5" t="str">
        <f>IF('FUENTE NO BORRAR'!B116="","",'FUENTE NO BORRAR'!B116)</f>
        <v/>
      </c>
      <c r="C122" s="5" t="str">
        <f>IF('FUENTE NO BORRAR'!C116="","",'FUENTE NO BORRAR'!C116)</f>
        <v/>
      </c>
      <c r="D122" s="5" t="str">
        <f>IF('FUENTE NO BORRAR'!D116="","",'FUENTE NO BORRAR'!D116)</f>
        <v/>
      </c>
      <c r="E122" s="5" t="str">
        <f>IF('FUENTE NO BORRAR'!E116="","",'FUENTE NO BORRAR'!E116)</f>
        <v/>
      </c>
      <c r="F122" s="6" t="str">
        <f>IF('FUENTE NO BORRAR'!F116="","",IF('FUENTE NO BORRAR'!$A116&lt;&gt;"Resultado total",('FUENTE NO BORRAR'!F116),""))</f>
        <v/>
      </c>
      <c r="G122" s="6" t="str">
        <f>IF('FUENTE NO BORRAR'!G116="","",IF('FUENTE NO BORRAR'!$A116&lt;&gt;"Resultado total",('FUENTE NO BORRAR'!G116),""))</f>
        <v/>
      </c>
      <c r="H122" s="6" t="str">
        <f>IF('FUENTE NO BORRAR'!H116="","",IF('FUENTE NO BORRAR'!$A116&lt;&gt;"Resultado total",('FUENTE NO BORRAR'!H116),""))</f>
        <v/>
      </c>
      <c r="I122" s="6" t="str">
        <f>IF('FUENTE NO BORRAR'!I116="","",IF('FUENTE NO BORRAR'!$A116&lt;&gt;"Resultado total",('FUENTE NO BORRAR'!I116),""))</f>
        <v/>
      </c>
    </row>
    <row r="123" spans="1:9" x14ac:dyDescent="0.2">
      <c r="A123" s="5" t="str">
        <f>IF('FUENTE NO BORRAR'!A117="","",(IF('FUENTE NO BORRAR'!A117&lt;&gt;"Resultado total",'FUENTE NO BORRAR'!A117,"")))</f>
        <v/>
      </c>
      <c r="B123" s="5" t="str">
        <f>IF('FUENTE NO BORRAR'!B117="","",'FUENTE NO BORRAR'!B117)</f>
        <v/>
      </c>
      <c r="C123" s="5" t="str">
        <f>IF('FUENTE NO BORRAR'!C117="","",'FUENTE NO BORRAR'!C117)</f>
        <v/>
      </c>
      <c r="D123" s="5" t="str">
        <f>IF('FUENTE NO BORRAR'!D117="","",'FUENTE NO BORRAR'!D117)</f>
        <v/>
      </c>
      <c r="E123" s="5" t="str">
        <f>IF('FUENTE NO BORRAR'!E117="","",'FUENTE NO BORRAR'!E117)</f>
        <v/>
      </c>
      <c r="F123" s="6" t="str">
        <f>IF('FUENTE NO BORRAR'!F117="","",IF('FUENTE NO BORRAR'!$A117&lt;&gt;"Resultado total",('FUENTE NO BORRAR'!F117),""))</f>
        <v/>
      </c>
      <c r="G123" s="6" t="str">
        <f>IF('FUENTE NO BORRAR'!G117="","",IF('FUENTE NO BORRAR'!$A117&lt;&gt;"Resultado total",('FUENTE NO BORRAR'!G117),""))</f>
        <v/>
      </c>
      <c r="H123" s="6" t="str">
        <f>IF('FUENTE NO BORRAR'!H117="","",IF('FUENTE NO BORRAR'!$A117&lt;&gt;"Resultado total",('FUENTE NO BORRAR'!H117),""))</f>
        <v/>
      </c>
      <c r="I123" s="6" t="str">
        <f>IF('FUENTE NO BORRAR'!I117="","",IF('FUENTE NO BORRAR'!$A117&lt;&gt;"Resultado total",('FUENTE NO BORRAR'!I117),""))</f>
        <v/>
      </c>
    </row>
    <row r="124" spans="1:9" x14ac:dyDescent="0.2">
      <c r="A124" s="5" t="str">
        <f>IF('FUENTE NO BORRAR'!A118="","",(IF('FUENTE NO BORRAR'!A118&lt;&gt;"Resultado total",'FUENTE NO BORRAR'!A118,"")))</f>
        <v/>
      </c>
      <c r="B124" s="5" t="str">
        <f>IF('FUENTE NO BORRAR'!B118="","",'FUENTE NO BORRAR'!B118)</f>
        <v/>
      </c>
      <c r="C124" s="5" t="str">
        <f>IF('FUENTE NO BORRAR'!C118="","",'FUENTE NO BORRAR'!C118)</f>
        <v/>
      </c>
      <c r="D124" s="5" t="str">
        <f>IF('FUENTE NO BORRAR'!D118="","",'FUENTE NO BORRAR'!D118)</f>
        <v/>
      </c>
      <c r="E124" s="5" t="str">
        <f>IF('FUENTE NO BORRAR'!E118="","",'FUENTE NO BORRAR'!E118)</f>
        <v/>
      </c>
      <c r="F124" s="6" t="str">
        <f>IF('FUENTE NO BORRAR'!F118="","",IF('FUENTE NO BORRAR'!$A118&lt;&gt;"Resultado total",('FUENTE NO BORRAR'!F118),""))</f>
        <v/>
      </c>
      <c r="G124" s="6" t="str">
        <f>IF('FUENTE NO BORRAR'!G118="","",IF('FUENTE NO BORRAR'!$A118&lt;&gt;"Resultado total",('FUENTE NO BORRAR'!G118),""))</f>
        <v/>
      </c>
      <c r="H124" s="6" t="str">
        <f>IF('FUENTE NO BORRAR'!H118="","",IF('FUENTE NO BORRAR'!$A118&lt;&gt;"Resultado total",('FUENTE NO BORRAR'!H118),""))</f>
        <v/>
      </c>
      <c r="I124" s="6" t="str">
        <f>IF('FUENTE NO BORRAR'!I118="","",IF('FUENTE NO BORRAR'!$A118&lt;&gt;"Resultado total",('FUENTE NO BORRAR'!I118),""))</f>
        <v/>
      </c>
    </row>
    <row r="125" spans="1:9" x14ac:dyDescent="0.2">
      <c r="A125" s="5" t="str">
        <f>IF('FUENTE NO BORRAR'!A119="","",(IF('FUENTE NO BORRAR'!A119&lt;&gt;"Resultado total",'FUENTE NO BORRAR'!A119,"")))</f>
        <v/>
      </c>
      <c r="B125" s="5" t="str">
        <f>IF('FUENTE NO BORRAR'!B119="","",'FUENTE NO BORRAR'!B119)</f>
        <v/>
      </c>
      <c r="C125" s="5" t="str">
        <f>IF('FUENTE NO BORRAR'!C119="","",'FUENTE NO BORRAR'!C119)</f>
        <v/>
      </c>
      <c r="D125" s="5" t="str">
        <f>IF('FUENTE NO BORRAR'!D119="","",'FUENTE NO BORRAR'!D119)</f>
        <v/>
      </c>
      <c r="E125" s="5" t="str">
        <f>IF('FUENTE NO BORRAR'!E119="","",'FUENTE NO BORRAR'!E119)</f>
        <v/>
      </c>
      <c r="F125" s="6" t="str">
        <f>IF('FUENTE NO BORRAR'!F119="","",IF('FUENTE NO BORRAR'!$A119&lt;&gt;"Resultado total",('FUENTE NO BORRAR'!F119),""))</f>
        <v/>
      </c>
      <c r="G125" s="6" t="str">
        <f>IF('FUENTE NO BORRAR'!G119="","",IF('FUENTE NO BORRAR'!$A119&lt;&gt;"Resultado total",('FUENTE NO BORRAR'!G119),""))</f>
        <v/>
      </c>
      <c r="H125" s="6" t="str">
        <f>IF('FUENTE NO BORRAR'!H119="","",IF('FUENTE NO BORRAR'!$A119&lt;&gt;"Resultado total",('FUENTE NO BORRAR'!H119),""))</f>
        <v/>
      </c>
      <c r="I125" s="6" t="str">
        <f>IF('FUENTE NO BORRAR'!I119="","",IF('FUENTE NO BORRAR'!$A119&lt;&gt;"Resultado total",('FUENTE NO BORRAR'!I119),""))</f>
        <v/>
      </c>
    </row>
    <row r="126" spans="1:9" x14ac:dyDescent="0.2">
      <c r="A126" s="5" t="str">
        <f>IF('FUENTE NO BORRAR'!A120="","",(IF('FUENTE NO BORRAR'!A120&lt;&gt;"Resultado total",'FUENTE NO BORRAR'!A120,"")))</f>
        <v/>
      </c>
      <c r="B126" s="5" t="str">
        <f>IF('FUENTE NO BORRAR'!B120="","",'FUENTE NO BORRAR'!B120)</f>
        <v/>
      </c>
      <c r="C126" s="5" t="str">
        <f>IF('FUENTE NO BORRAR'!C120="","",'FUENTE NO BORRAR'!C120)</f>
        <v/>
      </c>
      <c r="D126" s="5" t="str">
        <f>IF('FUENTE NO BORRAR'!D120="","",'FUENTE NO BORRAR'!D120)</f>
        <v/>
      </c>
      <c r="E126" s="5" t="str">
        <f>IF('FUENTE NO BORRAR'!E120="","",'FUENTE NO BORRAR'!E120)</f>
        <v/>
      </c>
      <c r="F126" s="6" t="str">
        <f>IF('FUENTE NO BORRAR'!F120="","",IF('FUENTE NO BORRAR'!$A120&lt;&gt;"Resultado total",('FUENTE NO BORRAR'!F120),""))</f>
        <v/>
      </c>
      <c r="G126" s="6" t="str">
        <f>IF('FUENTE NO BORRAR'!G120="","",IF('FUENTE NO BORRAR'!$A120&lt;&gt;"Resultado total",('FUENTE NO BORRAR'!G120),""))</f>
        <v/>
      </c>
      <c r="H126" s="6" t="str">
        <f>IF('FUENTE NO BORRAR'!H120="","",IF('FUENTE NO BORRAR'!$A120&lt;&gt;"Resultado total",('FUENTE NO BORRAR'!H120),""))</f>
        <v/>
      </c>
      <c r="I126" s="6" t="str">
        <f>IF('FUENTE NO BORRAR'!I120="","",IF('FUENTE NO BORRAR'!$A120&lt;&gt;"Resultado total",('FUENTE NO BORRAR'!I120),""))</f>
        <v/>
      </c>
    </row>
    <row r="127" spans="1:9" x14ac:dyDescent="0.2">
      <c r="A127" s="5" t="str">
        <f>IF('FUENTE NO BORRAR'!A121="","",(IF('FUENTE NO BORRAR'!A121&lt;&gt;"Resultado total",'FUENTE NO BORRAR'!A121,"")))</f>
        <v/>
      </c>
      <c r="B127" s="5" t="str">
        <f>IF('FUENTE NO BORRAR'!B121="","",'FUENTE NO BORRAR'!B121)</f>
        <v/>
      </c>
      <c r="C127" s="5" t="str">
        <f>IF('FUENTE NO BORRAR'!C121="","",'FUENTE NO BORRAR'!C121)</f>
        <v/>
      </c>
      <c r="D127" s="5" t="str">
        <f>IF('FUENTE NO BORRAR'!D121="","",'FUENTE NO BORRAR'!D121)</f>
        <v/>
      </c>
      <c r="E127" s="5" t="str">
        <f>IF('FUENTE NO BORRAR'!E121="","",'FUENTE NO BORRAR'!E121)</f>
        <v/>
      </c>
      <c r="F127" s="6" t="str">
        <f>IF('FUENTE NO BORRAR'!F121="","",IF('FUENTE NO BORRAR'!$A121&lt;&gt;"Resultado total",('FUENTE NO BORRAR'!F121),""))</f>
        <v/>
      </c>
      <c r="G127" s="6" t="str">
        <f>IF('FUENTE NO BORRAR'!G121="","",IF('FUENTE NO BORRAR'!$A121&lt;&gt;"Resultado total",('FUENTE NO BORRAR'!G121),""))</f>
        <v/>
      </c>
      <c r="H127" s="6" t="str">
        <f>IF('FUENTE NO BORRAR'!H121="","",IF('FUENTE NO BORRAR'!$A121&lt;&gt;"Resultado total",('FUENTE NO BORRAR'!H121),""))</f>
        <v/>
      </c>
      <c r="I127" s="6" t="str">
        <f>IF('FUENTE NO BORRAR'!I121="","",IF('FUENTE NO BORRAR'!$A121&lt;&gt;"Resultado total",('FUENTE NO BORRAR'!I121),""))</f>
        <v/>
      </c>
    </row>
    <row r="128" spans="1:9" x14ac:dyDescent="0.2">
      <c r="A128" s="5" t="str">
        <f>IF('FUENTE NO BORRAR'!A122="","",(IF('FUENTE NO BORRAR'!A122&lt;&gt;"Resultado total",'FUENTE NO BORRAR'!A122,"")))</f>
        <v/>
      </c>
      <c r="B128" s="5" t="str">
        <f>IF('FUENTE NO BORRAR'!B122="","",'FUENTE NO BORRAR'!B122)</f>
        <v/>
      </c>
      <c r="C128" s="5" t="str">
        <f>IF('FUENTE NO BORRAR'!C122="","",'FUENTE NO BORRAR'!C122)</f>
        <v/>
      </c>
      <c r="D128" s="5" t="str">
        <f>IF('FUENTE NO BORRAR'!D122="","",'FUENTE NO BORRAR'!D122)</f>
        <v/>
      </c>
      <c r="E128" s="5" t="str">
        <f>IF('FUENTE NO BORRAR'!E122="","",'FUENTE NO BORRAR'!E122)</f>
        <v/>
      </c>
      <c r="F128" s="6" t="str">
        <f>IF('FUENTE NO BORRAR'!F122="","",IF('FUENTE NO BORRAR'!$A122&lt;&gt;"Resultado total",('FUENTE NO BORRAR'!F122),""))</f>
        <v/>
      </c>
      <c r="G128" s="6" t="str">
        <f>IF('FUENTE NO BORRAR'!G122="","",IF('FUENTE NO BORRAR'!$A122&lt;&gt;"Resultado total",('FUENTE NO BORRAR'!G122),""))</f>
        <v/>
      </c>
      <c r="H128" s="6" t="str">
        <f>IF('FUENTE NO BORRAR'!H122="","",IF('FUENTE NO BORRAR'!$A122&lt;&gt;"Resultado total",('FUENTE NO BORRAR'!H122),""))</f>
        <v/>
      </c>
      <c r="I128" s="6" t="str">
        <f>IF('FUENTE NO BORRAR'!I122="","",IF('FUENTE NO BORRAR'!$A122&lt;&gt;"Resultado total",('FUENTE NO BORRAR'!I122),""))</f>
        <v/>
      </c>
    </row>
    <row r="129" spans="1:9" x14ac:dyDescent="0.2">
      <c r="A129" s="5" t="str">
        <f>IF('FUENTE NO BORRAR'!A123="","",(IF('FUENTE NO BORRAR'!A123&lt;&gt;"Resultado total",'FUENTE NO BORRAR'!A123,"")))</f>
        <v/>
      </c>
      <c r="B129" s="5" t="str">
        <f>IF('FUENTE NO BORRAR'!B123="","",'FUENTE NO BORRAR'!B123)</f>
        <v/>
      </c>
      <c r="C129" s="5" t="str">
        <f>IF('FUENTE NO BORRAR'!C123="","",'FUENTE NO BORRAR'!C123)</f>
        <v/>
      </c>
      <c r="D129" s="5" t="str">
        <f>IF('FUENTE NO BORRAR'!D123="","",'FUENTE NO BORRAR'!D123)</f>
        <v/>
      </c>
      <c r="E129" s="5" t="str">
        <f>IF('FUENTE NO BORRAR'!E123="","",'FUENTE NO BORRAR'!E123)</f>
        <v/>
      </c>
      <c r="F129" s="6" t="str">
        <f>IF('FUENTE NO BORRAR'!F123="","",IF('FUENTE NO BORRAR'!$A123&lt;&gt;"Resultado total",('FUENTE NO BORRAR'!F123),""))</f>
        <v/>
      </c>
      <c r="G129" s="6" t="str">
        <f>IF('FUENTE NO BORRAR'!G123="","",IF('FUENTE NO BORRAR'!$A123&lt;&gt;"Resultado total",('FUENTE NO BORRAR'!G123),""))</f>
        <v/>
      </c>
      <c r="H129" s="6" t="str">
        <f>IF('FUENTE NO BORRAR'!H123="","",IF('FUENTE NO BORRAR'!$A123&lt;&gt;"Resultado total",('FUENTE NO BORRAR'!H123),""))</f>
        <v/>
      </c>
      <c r="I129" s="6" t="str">
        <f>IF('FUENTE NO BORRAR'!I123="","",IF('FUENTE NO BORRAR'!$A123&lt;&gt;"Resultado total",('FUENTE NO BORRAR'!I123),""))</f>
        <v/>
      </c>
    </row>
    <row r="130" spans="1:9" x14ac:dyDescent="0.2">
      <c r="A130" s="5" t="str">
        <f>IF('FUENTE NO BORRAR'!A124="","",(IF('FUENTE NO BORRAR'!A124&lt;&gt;"Resultado total",'FUENTE NO BORRAR'!A124,"")))</f>
        <v/>
      </c>
      <c r="B130" s="5" t="str">
        <f>IF('FUENTE NO BORRAR'!B124="","",'FUENTE NO BORRAR'!B124)</f>
        <v/>
      </c>
      <c r="C130" s="5" t="str">
        <f>IF('FUENTE NO BORRAR'!C124="","",'FUENTE NO BORRAR'!C124)</f>
        <v/>
      </c>
      <c r="D130" s="5" t="str">
        <f>IF('FUENTE NO BORRAR'!D124="","",'FUENTE NO BORRAR'!D124)</f>
        <v/>
      </c>
      <c r="E130" s="5" t="str">
        <f>IF('FUENTE NO BORRAR'!E124="","",'FUENTE NO BORRAR'!E124)</f>
        <v/>
      </c>
      <c r="F130" s="6" t="str">
        <f>IF('FUENTE NO BORRAR'!F124="","",IF('FUENTE NO BORRAR'!$A124&lt;&gt;"Resultado total",('FUENTE NO BORRAR'!F124),""))</f>
        <v/>
      </c>
      <c r="G130" s="6" t="str">
        <f>IF('FUENTE NO BORRAR'!G124="","",IF('FUENTE NO BORRAR'!$A124&lt;&gt;"Resultado total",('FUENTE NO BORRAR'!G124),""))</f>
        <v/>
      </c>
      <c r="H130" s="6" t="str">
        <f>IF('FUENTE NO BORRAR'!H124="","",IF('FUENTE NO BORRAR'!$A124&lt;&gt;"Resultado total",('FUENTE NO BORRAR'!H124),""))</f>
        <v/>
      </c>
      <c r="I130" s="6" t="str">
        <f>IF('FUENTE NO BORRAR'!I124="","",IF('FUENTE NO BORRAR'!$A124&lt;&gt;"Resultado total",('FUENTE NO BORRAR'!I124),""))</f>
        <v/>
      </c>
    </row>
    <row r="131" spans="1:9" x14ac:dyDescent="0.2">
      <c r="A131" s="5" t="str">
        <f>IF('FUENTE NO BORRAR'!A125="","",(IF('FUENTE NO BORRAR'!A125&lt;&gt;"Resultado total",'FUENTE NO BORRAR'!A125,"")))</f>
        <v/>
      </c>
      <c r="B131" s="5" t="str">
        <f>IF('FUENTE NO BORRAR'!B125="","",'FUENTE NO BORRAR'!B125)</f>
        <v/>
      </c>
      <c r="C131" s="5" t="str">
        <f>IF('FUENTE NO BORRAR'!C125="","",'FUENTE NO BORRAR'!C125)</f>
        <v/>
      </c>
      <c r="D131" s="5" t="str">
        <f>IF('FUENTE NO BORRAR'!D125="","",'FUENTE NO BORRAR'!D125)</f>
        <v/>
      </c>
      <c r="E131" s="5" t="str">
        <f>IF('FUENTE NO BORRAR'!E125="","",'FUENTE NO BORRAR'!E125)</f>
        <v/>
      </c>
      <c r="F131" s="6" t="str">
        <f>IF('FUENTE NO BORRAR'!F125="","",IF('FUENTE NO BORRAR'!$A125&lt;&gt;"Resultado total",('FUENTE NO BORRAR'!F125),""))</f>
        <v/>
      </c>
      <c r="G131" s="6" t="str">
        <f>IF('FUENTE NO BORRAR'!G125="","",IF('FUENTE NO BORRAR'!$A125&lt;&gt;"Resultado total",('FUENTE NO BORRAR'!G125),""))</f>
        <v/>
      </c>
      <c r="H131" s="6" t="str">
        <f>IF('FUENTE NO BORRAR'!H125="","",IF('FUENTE NO BORRAR'!$A125&lt;&gt;"Resultado total",('FUENTE NO BORRAR'!H125),""))</f>
        <v/>
      </c>
      <c r="I131" s="6" t="str">
        <f>IF('FUENTE NO BORRAR'!I125="","",IF('FUENTE NO BORRAR'!$A125&lt;&gt;"Resultado total",('FUENTE NO BORRAR'!I125),""))</f>
        <v/>
      </c>
    </row>
    <row r="132" spans="1:9" x14ac:dyDescent="0.2">
      <c r="A132" s="5" t="str">
        <f>IF('FUENTE NO BORRAR'!A126="","",(IF('FUENTE NO BORRAR'!A126&lt;&gt;"Resultado total",'FUENTE NO BORRAR'!A126,"")))</f>
        <v/>
      </c>
      <c r="B132" s="5" t="str">
        <f>IF('FUENTE NO BORRAR'!B126="","",'FUENTE NO BORRAR'!B126)</f>
        <v/>
      </c>
      <c r="C132" s="5" t="str">
        <f>IF('FUENTE NO BORRAR'!C126="","",'FUENTE NO BORRAR'!C126)</f>
        <v/>
      </c>
      <c r="D132" s="5" t="str">
        <f>IF('FUENTE NO BORRAR'!D126="","",'FUENTE NO BORRAR'!D126)</f>
        <v/>
      </c>
      <c r="E132" s="5" t="str">
        <f>IF('FUENTE NO BORRAR'!E126="","",'FUENTE NO BORRAR'!E126)</f>
        <v/>
      </c>
      <c r="F132" s="6" t="str">
        <f>IF('FUENTE NO BORRAR'!F126="","",IF('FUENTE NO BORRAR'!$A126&lt;&gt;"Resultado total",('FUENTE NO BORRAR'!F126),""))</f>
        <v/>
      </c>
      <c r="G132" s="6" t="str">
        <f>IF('FUENTE NO BORRAR'!G126="","",IF('FUENTE NO BORRAR'!$A126&lt;&gt;"Resultado total",('FUENTE NO BORRAR'!G126),""))</f>
        <v/>
      </c>
      <c r="H132" s="6" t="str">
        <f>IF('FUENTE NO BORRAR'!H126="","",IF('FUENTE NO BORRAR'!$A126&lt;&gt;"Resultado total",('FUENTE NO BORRAR'!H126),""))</f>
        <v/>
      </c>
      <c r="I132" s="6" t="str">
        <f>IF('FUENTE NO BORRAR'!I126="","",IF('FUENTE NO BORRAR'!$A126&lt;&gt;"Resultado total",('FUENTE NO BORRAR'!I126),""))</f>
        <v/>
      </c>
    </row>
    <row r="133" spans="1:9" x14ac:dyDescent="0.2">
      <c r="A133" s="5" t="str">
        <f>IF('FUENTE NO BORRAR'!A127="","",(IF('FUENTE NO BORRAR'!A127&lt;&gt;"Resultado total",'FUENTE NO BORRAR'!A127,"")))</f>
        <v/>
      </c>
      <c r="B133" s="5" t="str">
        <f>IF('FUENTE NO BORRAR'!B127="","",'FUENTE NO BORRAR'!B127)</f>
        <v/>
      </c>
      <c r="C133" s="5" t="str">
        <f>IF('FUENTE NO BORRAR'!C127="","",'FUENTE NO BORRAR'!C127)</f>
        <v/>
      </c>
      <c r="D133" s="5" t="str">
        <f>IF('FUENTE NO BORRAR'!D127="","",'FUENTE NO BORRAR'!D127)</f>
        <v/>
      </c>
      <c r="E133" s="5" t="str">
        <f>IF('FUENTE NO BORRAR'!E127="","",'FUENTE NO BORRAR'!E127)</f>
        <v/>
      </c>
      <c r="F133" s="6" t="str">
        <f>IF('FUENTE NO BORRAR'!F127="","",IF('FUENTE NO BORRAR'!$A127&lt;&gt;"Resultado total",('FUENTE NO BORRAR'!F127),""))</f>
        <v/>
      </c>
      <c r="G133" s="6" t="str">
        <f>IF('FUENTE NO BORRAR'!G127="","",IF('FUENTE NO BORRAR'!$A127&lt;&gt;"Resultado total",('FUENTE NO BORRAR'!G127),""))</f>
        <v/>
      </c>
      <c r="H133" s="6" t="str">
        <f>IF('FUENTE NO BORRAR'!H127="","",IF('FUENTE NO BORRAR'!$A127&lt;&gt;"Resultado total",('FUENTE NO BORRAR'!H127),""))</f>
        <v/>
      </c>
      <c r="I133" s="6" t="str">
        <f>IF('FUENTE NO BORRAR'!I127="","",IF('FUENTE NO BORRAR'!$A127&lt;&gt;"Resultado total",('FUENTE NO BORRAR'!I127),""))</f>
        <v/>
      </c>
    </row>
    <row r="134" spans="1:9" x14ac:dyDescent="0.2">
      <c r="A134" s="5" t="str">
        <f>IF('FUENTE NO BORRAR'!A128="","",(IF('FUENTE NO BORRAR'!A128&lt;&gt;"Resultado total",'FUENTE NO BORRAR'!A128,"")))</f>
        <v/>
      </c>
      <c r="B134" s="5" t="str">
        <f>IF('FUENTE NO BORRAR'!B128="","",'FUENTE NO BORRAR'!B128)</f>
        <v/>
      </c>
      <c r="C134" s="5" t="str">
        <f>IF('FUENTE NO BORRAR'!C128="","",'FUENTE NO BORRAR'!C128)</f>
        <v/>
      </c>
      <c r="D134" s="5" t="str">
        <f>IF('FUENTE NO BORRAR'!D128="","",'FUENTE NO BORRAR'!D128)</f>
        <v/>
      </c>
      <c r="E134" s="5" t="str">
        <f>IF('FUENTE NO BORRAR'!E128="","",'FUENTE NO BORRAR'!E128)</f>
        <v/>
      </c>
      <c r="F134" s="6" t="str">
        <f>IF('FUENTE NO BORRAR'!F128="","",IF('FUENTE NO BORRAR'!$A128&lt;&gt;"Resultado total",('FUENTE NO BORRAR'!F128),""))</f>
        <v/>
      </c>
      <c r="G134" s="6" t="str">
        <f>IF('FUENTE NO BORRAR'!G128="","",IF('FUENTE NO BORRAR'!$A128&lt;&gt;"Resultado total",('FUENTE NO BORRAR'!G128),""))</f>
        <v/>
      </c>
      <c r="H134" s="6" t="str">
        <f>IF('FUENTE NO BORRAR'!H128="","",IF('FUENTE NO BORRAR'!$A128&lt;&gt;"Resultado total",('FUENTE NO BORRAR'!H128),""))</f>
        <v/>
      </c>
      <c r="I134" s="6" t="str">
        <f>IF('FUENTE NO BORRAR'!I128="","",IF('FUENTE NO BORRAR'!$A128&lt;&gt;"Resultado total",('FUENTE NO BORRAR'!I128),""))</f>
        <v/>
      </c>
    </row>
    <row r="135" spans="1:9" x14ac:dyDescent="0.2">
      <c r="A135" s="5" t="str">
        <f>IF('FUENTE NO BORRAR'!A129="","",(IF('FUENTE NO BORRAR'!A129&lt;&gt;"Resultado total",'FUENTE NO BORRAR'!A129,"")))</f>
        <v/>
      </c>
      <c r="B135" s="5" t="str">
        <f>IF('FUENTE NO BORRAR'!B129="","",'FUENTE NO BORRAR'!B129)</f>
        <v/>
      </c>
      <c r="C135" s="5" t="str">
        <f>IF('FUENTE NO BORRAR'!C129="","",'FUENTE NO BORRAR'!C129)</f>
        <v/>
      </c>
      <c r="D135" s="5" t="str">
        <f>IF('FUENTE NO BORRAR'!D129="","",'FUENTE NO BORRAR'!D129)</f>
        <v/>
      </c>
      <c r="E135" s="5" t="str">
        <f>IF('FUENTE NO BORRAR'!E129="","",'FUENTE NO BORRAR'!E129)</f>
        <v/>
      </c>
      <c r="F135" s="6" t="str">
        <f>IF('FUENTE NO BORRAR'!F129="","",IF('FUENTE NO BORRAR'!$A129&lt;&gt;"Resultado total",('FUENTE NO BORRAR'!F129),""))</f>
        <v/>
      </c>
      <c r="G135" s="6" t="str">
        <f>IF('FUENTE NO BORRAR'!G129="","",IF('FUENTE NO BORRAR'!$A129&lt;&gt;"Resultado total",('FUENTE NO BORRAR'!G129),""))</f>
        <v/>
      </c>
      <c r="H135" s="6" t="str">
        <f>IF('FUENTE NO BORRAR'!H129="","",IF('FUENTE NO BORRAR'!$A129&lt;&gt;"Resultado total",('FUENTE NO BORRAR'!H129),""))</f>
        <v/>
      </c>
      <c r="I135" s="6" t="str">
        <f>IF('FUENTE NO BORRAR'!I129="","",IF('FUENTE NO BORRAR'!$A129&lt;&gt;"Resultado total",('FUENTE NO BORRAR'!I129),""))</f>
        <v/>
      </c>
    </row>
    <row r="136" spans="1:9" x14ac:dyDescent="0.2">
      <c r="A136" s="5" t="str">
        <f>IF('FUENTE NO BORRAR'!A130="","",(IF('FUENTE NO BORRAR'!A130&lt;&gt;"Resultado total",'FUENTE NO BORRAR'!A130,"")))</f>
        <v/>
      </c>
      <c r="B136" s="5" t="str">
        <f>IF('FUENTE NO BORRAR'!B130="","",'FUENTE NO BORRAR'!B130)</f>
        <v/>
      </c>
      <c r="C136" s="5" t="str">
        <f>IF('FUENTE NO BORRAR'!C130="","",'FUENTE NO BORRAR'!C130)</f>
        <v/>
      </c>
      <c r="D136" s="5" t="str">
        <f>IF('FUENTE NO BORRAR'!D130="","",'FUENTE NO BORRAR'!D130)</f>
        <v/>
      </c>
      <c r="E136" s="5" t="str">
        <f>IF('FUENTE NO BORRAR'!E130="","",'FUENTE NO BORRAR'!E130)</f>
        <v/>
      </c>
      <c r="F136" s="6" t="str">
        <f>IF('FUENTE NO BORRAR'!F130="","",IF('FUENTE NO BORRAR'!$A130&lt;&gt;"Resultado total",('FUENTE NO BORRAR'!F130),""))</f>
        <v/>
      </c>
      <c r="G136" s="6" t="str">
        <f>IF('FUENTE NO BORRAR'!G130="","",IF('FUENTE NO BORRAR'!$A130&lt;&gt;"Resultado total",('FUENTE NO BORRAR'!G130),""))</f>
        <v/>
      </c>
      <c r="H136" s="6" t="str">
        <f>IF('FUENTE NO BORRAR'!H130="","",IF('FUENTE NO BORRAR'!$A130&lt;&gt;"Resultado total",('FUENTE NO BORRAR'!H130),""))</f>
        <v/>
      </c>
      <c r="I136" s="6" t="str">
        <f>IF('FUENTE NO BORRAR'!I130="","",IF('FUENTE NO BORRAR'!$A130&lt;&gt;"Resultado total",('FUENTE NO BORRAR'!I130),""))</f>
        <v/>
      </c>
    </row>
    <row r="137" spans="1:9" x14ac:dyDescent="0.2">
      <c r="A137" s="5" t="str">
        <f>IF('FUENTE NO BORRAR'!A131="","",(IF('FUENTE NO BORRAR'!A131&lt;&gt;"Resultado total",'FUENTE NO BORRAR'!A131,"")))</f>
        <v/>
      </c>
      <c r="B137" s="5" t="str">
        <f>IF('FUENTE NO BORRAR'!B131="","",'FUENTE NO BORRAR'!B131)</f>
        <v/>
      </c>
      <c r="C137" s="5" t="str">
        <f>IF('FUENTE NO BORRAR'!C131="","",'FUENTE NO BORRAR'!C131)</f>
        <v/>
      </c>
      <c r="D137" s="5" t="str">
        <f>IF('FUENTE NO BORRAR'!D131="","",'FUENTE NO BORRAR'!D131)</f>
        <v/>
      </c>
      <c r="E137" s="5" t="str">
        <f>IF('FUENTE NO BORRAR'!E131="","",'FUENTE NO BORRAR'!E131)</f>
        <v/>
      </c>
      <c r="F137" s="6" t="str">
        <f>IF('FUENTE NO BORRAR'!F131="","",IF('FUENTE NO BORRAR'!$A131&lt;&gt;"Resultado total",('FUENTE NO BORRAR'!F131),""))</f>
        <v/>
      </c>
      <c r="G137" s="6" t="str">
        <f>IF('FUENTE NO BORRAR'!G131="","",IF('FUENTE NO BORRAR'!$A131&lt;&gt;"Resultado total",('FUENTE NO BORRAR'!G131),""))</f>
        <v/>
      </c>
      <c r="H137" s="6" t="str">
        <f>IF('FUENTE NO BORRAR'!H131="","",IF('FUENTE NO BORRAR'!$A131&lt;&gt;"Resultado total",('FUENTE NO BORRAR'!H131),""))</f>
        <v/>
      </c>
      <c r="I137" s="6" t="str">
        <f>IF('FUENTE NO BORRAR'!I131="","",IF('FUENTE NO BORRAR'!$A131&lt;&gt;"Resultado total",('FUENTE NO BORRAR'!I131),""))</f>
        <v/>
      </c>
    </row>
    <row r="138" spans="1:9" x14ac:dyDescent="0.2">
      <c r="A138" s="5" t="str">
        <f>IF('FUENTE NO BORRAR'!A132="","",(IF('FUENTE NO BORRAR'!A132&lt;&gt;"Resultado total",'FUENTE NO BORRAR'!A132,"")))</f>
        <v/>
      </c>
      <c r="B138" s="5" t="str">
        <f>IF('FUENTE NO BORRAR'!B132="","",'FUENTE NO BORRAR'!B132)</f>
        <v/>
      </c>
      <c r="C138" s="5" t="str">
        <f>IF('FUENTE NO BORRAR'!C132="","",'FUENTE NO BORRAR'!C132)</f>
        <v/>
      </c>
      <c r="D138" s="5" t="str">
        <f>IF('FUENTE NO BORRAR'!D132="","",'FUENTE NO BORRAR'!D132)</f>
        <v/>
      </c>
      <c r="E138" s="5" t="str">
        <f>IF('FUENTE NO BORRAR'!E132="","",'FUENTE NO BORRAR'!E132)</f>
        <v/>
      </c>
      <c r="F138" s="6" t="str">
        <f>IF('FUENTE NO BORRAR'!F132="","",IF('FUENTE NO BORRAR'!$A132&lt;&gt;"Resultado total",('FUENTE NO BORRAR'!F132),""))</f>
        <v/>
      </c>
      <c r="G138" s="6" t="str">
        <f>IF('FUENTE NO BORRAR'!G132="","",IF('FUENTE NO BORRAR'!$A132&lt;&gt;"Resultado total",('FUENTE NO BORRAR'!G132),""))</f>
        <v/>
      </c>
      <c r="H138" s="6" t="str">
        <f>IF('FUENTE NO BORRAR'!H132="","",IF('FUENTE NO BORRAR'!$A132&lt;&gt;"Resultado total",('FUENTE NO BORRAR'!H132),""))</f>
        <v/>
      </c>
      <c r="I138" s="6" t="str">
        <f>IF('FUENTE NO BORRAR'!I132="","",IF('FUENTE NO BORRAR'!$A132&lt;&gt;"Resultado total",('FUENTE NO BORRAR'!I132),""))</f>
        <v/>
      </c>
    </row>
    <row r="139" spans="1:9" x14ac:dyDescent="0.2">
      <c r="A139" s="5" t="str">
        <f>IF('FUENTE NO BORRAR'!A133="","",(IF('FUENTE NO BORRAR'!A133&lt;&gt;"Resultado total",'FUENTE NO BORRAR'!A133,"")))</f>
        <v/>
      </c>
      <c r="B139" s="5" t="str">
        <f>IF('FUENTE NO BORRAR'!B133="","",'FUENTE NO BORRAR'!B133)</f>
        <v/>
      </c>
      <c r="C139" s="5" t="str">
        <f>IF('FUENTE NO BORRAR'!C133="","",'FUENTE NO BORRAR'!C133)</f>
        <v/>
      </c>
      <c r="D139" s="5" t="str">
        <f>IF('FUENTE NO BORRAR'!D133="","",'FUENTE NO BORRAR'!D133)</f>
        <v/>
      </c>
      <c r="E139" s="5" t="str">
        <f>IF('FUENTE NO BORRAR'!E133="","",'FUENTE NO BORRAR'!E133)</f>
        <v/>
      </c>
      <c r="F139" s="6" t="str">
        <f>IF('FUENTE NO BORRAR'!F133="","",IF('FUENTE NO BORRAR'!$A133&lt;&gt;"Resultado total",('FUENTE NO BORRAR'!F133),""))</f>
        <v/>
      </c>
      <c r="G139" s="6" t="str">
        <f>IF('FUENTE NO BORRAR'!G133="","",IF('FUENTE NO BORRAR'!$A133&lt;&gt;"Resultado total",('FUENTE NO BORRAR'!G133),""))</f>
        <v/>
      </c>
      <c r="H139" s="6" t="str">
        <f>IF('FUENTE NO BORRAR'!H133="","",IF('FUENTE NO BORRAR'!$A133&lt;&gt;"Resultado total",('FUENTE NO BORRAR'!H133),""))</f>
        <v/>
      </c>
      <c r="I139" s="6" t="str">
        <f>IF('FUENTE NO BORRAR'!I133="","",IF('FUENTE NO BORRAR'!$A133&lt;&gt;"Resultado total",('FUENTE NO BORRAR'!I133),""))</f>
        <v/>
      </c>
    </row>
    <row r="140" spans="1:9" x14ac:dyDescent="0.2">
      <c r="A140" s="5" t="str">
        <f>IF('FUENTE NO BORRAR'!A134="","",(IF('FUENTE NO BORRAR'!A134&lt;&gt;"Resultado total",'FUENTE NO BORRAR'!A134,"")))</f>
        <v/>
      </c>
      <c r="B140" s="5" t="str">
        <f>IF('FUENTE NO BORRAR'!B134="","",'FUENTE NO BORRAR'!B134)</f>
        <v/>
      </c>
      <c r="C140" s="5" t="str">
        <f>IF('FUENTE NO BORRAR'!C134="","",'FUENTE NO BORRAR'!C134)</f>
        <v/>
      </c>
      <c r="D140" s="5" t="str">
        <f>IF('FUENTE NO BORRAR'!D134="","",'FUENTE NO BORRAR'!D134)</f>
        <v/>
      </c>
      <c r="E140" s="5" t="str">
        <f>IF('FUENTE NO BORRAR'!E134="","",'FUENTE NO BORRAR'!E134)</f>
        <v/>
      </c>
      <c r="F140" s="6" t="str">
        <f>IF('FUENTE NO BORRAR'!F134="","",IF('FUENTE NO BORRAR'!$A134&lt;&gt;"Resultado total",('FUENTE NO BORRAR'!F134),""))</f>
        <v/>
      </c>
      <c r="G140" s="6" t="str">
        <f>IF('FUENTE NO BORRAR'!G134="","",IF('FUENTE NO BORRAR'!$A134&lt;&gt;"Resultado total",('FUENTE NO BORRAR'!G134),""))</f>
        <v/>
      </c>
      <c r="H140" s="6" t="str">
        <f>IF('FUENTE NO BORRAR'!H134="","",IF('FUENTE NO BORRAR'!$A134&lt;&gt;"Resultado total",('FUENTE NO BORRAR'!H134),""))</f>
        <v/>
      </c>
      <c r="I140" s="6" t="str">
        <f>IF('FUENTE NO BORRAR'!I134="","",IF('FUENTE NO BORRAR'!$A134&lt;&gt;"Resultado total",('FUENTE NO BORRAR'!I134),""))</f>
        <v/>
      </c>
    </row>
    <row r="141" spans="1:9" x14ac:dyDescent="0.2">
      <c r="A141" s="5" t="str">
        <f>IF('FUENTE NO BORRAR'!A135="","",(IF('FUENTE NO BORRAR'!A135&lt;&gt;"Resultado total",'FUENTE NO BORRAR'!A135,"")))</f>
        <v/>
      </c>
      <c r="B141" s="5" t="str">
        <f>IF('FUENTE NO BORRAR'!B135="","",'FUENTE NO BORRAR'!B135)</f>
        <v/>
      </c>
      <c r="C141" s="5" t="str">
        <f>IF('FUENTE NO BORRAR'!C135="","",'FUENTE NO BORRAR'!C135)</f>
        <v/>
      </c>
      <c r="D141" s="5" t="str">
        <f>IF('FUENTE NO BORRAR'!D135="","",'FUENTE NO BORRAR'!D135)</f>
        <v/>
      </c>
      <c r="E141" s="5" t="str">
        <f>IF('FUENTE NO BORRAR'!E135="","",'FUENTE NO BORRAR'!E135)</f>
        <v/>
      </c>
      <c r="F141" s="6" t="str">
        <f>IF('FUENTE NO BORRAR'!F135="","",IF('FUENTE NO BORRAR'!$A135&lt;&gt;"Resultado total",('FUENTE NO BORRAR'!F135),""))</f>
        <v/>
      </c>
      <c r="G141" s="6" t="str">
        <f>IF('FUENTE NO BORRAR'!G135="","",IF('FUENTE NO BORRAR'!$A135&lt;&gt;"Resultado total",('FUENTE NO BORRAR'!G135),""))</f>
        <v/>
      </c>
      <c r="H141" s="6" t="str">
        <f>IF('FUENTE NO BORRAR'!H135="","",IF('FUENTE NO BORRAR'!$A135&lt;&gt;"Resultado total",('FUENTE NO BORRAR'!H135),""))</f>
        <v/>
      </c>
      <c r="I141" s="6" t="str">
        <f>IF('FUENTE NO BORRAR'!I135="","",IF('FUENTE NO BORRAR'!$A135&lt;&gt;"Resultado total",('FUENTE NO BORRAR'!I135),""))</f>
        <v/>
      </c>
    </row>
    <row r="142" spans="1:9" x14ac:dyDescent="0.2">
      <c r="A142" s="5" t="str">
        <f>IF('FUENTE NO BORRAR'!A136="","",(IF('FUENTE NO BORRAR'!A136&lt;&gt;"Resultado total",'FUENTE NO BORRAR'!A136,"")))</f>
        <v/>
      </c>
      <c r="B142" s="5" t="str">
        <f>IF('FUENTE NO BORRAR'!B136="","",'FUENTE NO BORRAR'!B136)</f>
        <v/>
      </c>
      <c r="C142" s="5" t="str">
        <f>IF('FUENTE NO BORRAR'!C136="","",'FUENTE NO BORRAR'!C136)</f>
        <v/>
      </c>
      <c r="D142" s="5" t="str">
        <f>IF('FUENTE NO BORRAR'!D136="","",'FUENTE NO BORRAR'!D136)</f>
        <v/>
      </c>
      <c r="E142" s="5" t="str">
        <f>IF('FUENTE NO BORRAR'!E136="","",'FUENTE NO BORRAR'!E136)</f>
        <v/>
      </c>
      <c r="F142" s="6" t="str">
        <f>IF('FUENTE NO BORRAR'!F136="","",IF('FUENTE NO BORRAR'!$A136&lt;&gt;"Resultado total",('FUENTE NO BORRAR'!F136),""))</f>
        <v/>
      </c>
      <c r="G142" s="6" t="str">
        <f>IF('FUENTE NO BORRAR'!G136="","",IF('FUENTE NO BORRAR'!$A136&lt;&gt;"Resultado total",('FUENTE NO BORRAR'!G136),""))</f>
        <v/>
      </c>
      <c r="H142" s="6" t="str">
        <f>IF('FUENTE NO BORRAR'!H136="","",IF('FUENTE NO BORRAR'!$A136&lt;&gt;"Resultado total",('FUENTE NO BORRAR'!H136),""))</f>
        <v/>
      </c>
      <c r="I142" s="6" t="str">
        <f>IF('FUENTE NO BORRAR'!I136="","",IF('FUENTE NO BORRAR'!$A136&lt;&gt;"Resultado total",('FUENTE NO BORRAR'!I136),""))</f>
        <v/>
      </c>
    </row>
    <row r="143" spans="1:9" x14ac:dyDescent="0.2">
      <c r="A143" s="5" t="str">
        <f>IF('FUENTE NO BORRAR'!A137="","",(IF('FUENTE NO BORRAR'!A137&lt;&gt;"Resultado total",'FUENTE NO BORRAR'!A137,"")))</f>
        <v/>
      </c>
      <c r="B143" s="5" t="str">
        <f>IF('FUENTE NO BORRAR'!B137="","",'FUENTE NO BORRAR'!B137)</f>
        <v/>
      </c>
      <c r="C143" s="5" t="str">
        <f>IF('FUENTE NO BORRAR'!C137="","",'FUENTE NO BORRAR'!C137)</f>
        <v/>
      </c>
      <c r="D143" s="5" t="str">
        <f>IF('FUENTE NO BORRAR'!D137="","",'FUENTE NO BORRAR'!D137)</f>
        <v/>
      </c>
      <c r="E143" s="5" t="str">
        <f>IF('FUENTE NO BORRAR'!E137="","",'FUENTE NO BORRAR'!E137)</f>
        <v/>
      </c>
      <c r="F143" s="6" t="str">
        <f>IF('FUENTE NO BORRAR'!F137="","",IF('FUENTE NO BORRAR'!$A137&lt;&gt;"Resultado total",('FUENTE NO BORRAR'!F137),""))</f>
        <v/>
      </c>
      <c r="G143" s="6" t="str">
        <f>IF('FUENTE NO BORRAR'!G137="","",IF('FUENTE NO BORRAR'!$A137&lt;&gt;"Resultado total",('FUENTE NO BORRAR'!G137),""))</f>
        <v/>
      </c>
      <c r="H143" s="6" t="str">
        <f>IF('FUENTE NO BORRAR'!H137="","",IF('FUENTE NO BORRAR'!$A137&lt;&gt;"Resultado total",('FUENTE NO BORRAR'!H137),""))</f>
        <v/>
      </c>
      <c r="I143" s="6" t="str">
        <f>IF('FUENTE NO BORRAR'!I137="","",IF('FUENTE NO BORRAR'!$A137&lt;&gt;"Resultado total",('FUENTE NO BORRAR'!I137),""))</f>
        <v/>
      </c>
    </row>
    <row r="144" spans="1:9" x14ac:dyDescent="0.2">
      <c r="A144" s="5" t="str">
        <f>IF('FUENTE NO BORRAR'!A138="","",(IF('FUENTE NO BORRAR'!A138&lt;&gt;"Resultado total",'FUENTE NO BORRAR'!A138,"")))</f>
        <v/>
      </c>
      <c r="B144" s="5" t="str">
        <f>IF('FUENTE NO BORRAR'!B138="","",'FUENTE NO BORRAR'!B138)</f>
        <v/>
      </c>
      <c r="C144" s="5" t="str">
        <f>IF('FUENTE NO BORRAR'!C138="","",'FUENTE NO BORRAR'!C138)</f>
        <v/>
      </c>
      <c r="D144" s="5" t="str">
        <f>IF('FUENTE NO BORRAR'!D138="","",'FUENTE NO BORRAR'!D138)</f>
        <v/>
      </c>
      <c r="E144" s="5" t="str">
        <f>IF('FUENTE NO BORRAR'!E138="","",'FUENTE NO BORRAR'!E138)</f>
        <v/>
      </c>
      <c r="F144" s="6" t="str">
        <f>IF('FUENTE NO BORRAR'!F138="","",IF('FUENTE NO BORRAR'!$A138&lt;&gt;"Resultado total",('FUENTE NO BORRAR'!F138),""))</f>
        <v/>
      </c>
      <c r="G144" s="6" t="str">
        <f>IF('FUENTE NO BORRAR'!G138="","",IF('FUENTE NO BORRAR'!$A138&lt;&gt;"Resultado total",('FUENTE NO BORRAR'!G138),""))</f>
        <v/>
      </c>
      <c r="H144" s="6" t="str">
        <f>IF('FUENTE NO BORRAR'!H138="","",IF('FUENTE NO BORRAR'!$A138&lt;&gt;"Resultado total",('FUENTE NO BORRAR'!H138),""))</f>
        <v/>
      </c>
      <c r="I144" s="6" t="str">
        <f>IF('FUENTE NO BORRAR'!I138="","",IF('FUENTE NO BORRAR'!$A138&lt;&gt;"Resultado total",('FUENTE NO BORRAR'!I138),""))</f>
        <v/>
      </c>
    </row>
    <row r="145" spans="1:9" x14ac:dyDescent="0.2">
      <c r="A145" s="5" t="str">
        <f>IF('FUENTE NO BORRAR'!A139="","",(IF('FUENTE NO BORRAR'!A139&lt;&gt;"Resultado total",'FUENTE NO BORRAR'!A139,"")))</f>
        <v/>
      </c>
      <c r="B145" s="5" t="str">
        <f>IF('FUENTE NO BORRAR'!B139="","",'FUENTE NO BORRAR'!B139)</f>
        <v/>
      </c>
      <c r="C145" s="5" t="str">
        <f>IF('FUENTE NO BORRAR'!C139="","",'FUENTE NO BORRAR'!C139)</f>
        <v/>
      </c>
      <c r="D145" s="5" t="str">
        <f>IF('FUENTE NO BORRAR'!D139="","",'FUENTE NO BORRAR'!D139)</f>
        <v/>
      </c>
      <c r="E145" s="5" t="str">
        <f>IF('FUENTE NO BORRAR'!E139="","",'FUENTE NO BORRAR'!E139)</f>
        <v/>
      </c>
      <c r="F145" s="6" t="str">
        <f>IF('FUENTE NO BORRAR'!F139="","",IF('FUENTE NO BORRAR'!$A139&lt;&gt;"Resultado total",('FUENTE NO BORRAR'!F139),""))</f>
        <v/>
      </c>
      <c r="G145" s="6" t="str">
        <f>IF('FUENTE NO BORRAR'!G139="","",IF('FUENTE NO BORRAR'!$A139&lt;&gt;"Resultado total",('FUENTE NO BORRAR'!G139),""))</f>
        <v/>
      </c>
      <c r="H145" s="6" t="str">
        <f>IF('FUENTE NO BORRAR'!H139="","",IF('FUENTE NO BORRAR'!$A139&lt;&gt;"Resultado total",('FUENTE NO BORRAR'!H139),""))</f>
        <v/>
      </c>
      <c r="I145" s="6" t="str">
        <f>IF('FUENTE NO BORRAR'!I139="","",IF('FUENTE NO BORRAR'!$A139&lt;&gt;"Resultado total",('FUENTE NO BORRAR'!I139),""))</f>
        <v/>
      </c>
    </row>
    <row r="146" spans="1:9" x14ac:dyDescent="0.2">
      <c r="A146" s="5" t="str">
        <f>IF('FUENTE NO BORRAR'!A140="","",(IF('FUENTE NO BORRAR'!A140&lt;&gt;"Resultado total",'FUENTE NO BORRAR'!A140,"")))</f>
        <v/>
      </c>
      <c r="B146" s="5" t="str">
        <f>IF('FUENTE NO BORRAR'!B140="","",'FUENTE NO BORRAR'!B140)</f>
        <v/>
      </c>
      <c r="C146" s="5" t="str">
        <f>IF('FUENTE NO BORRAR'!C140="","",'FUENTE NO BORRAR'!C140)</f>
        <v/>
      </c>
      <c r="D146" s="5" t="str">
        <f>IF('FUENTE NO BORRAR'!D140="","",'FUENTE NO BORRAR'!D140)</f>
        <v/>
      </c>
      <c r="E146" s="5" t="str">
        <f>IF('FUENTE NO BORRAR'!E140="","",'FUENTE NO BORRAR'!E140)</f>
        <v/>
      </c>
      <c r="F146" s="6" t="str">
        <f>IF('FUENTE NO BORRAR'!F140="","",IF('FUENTE NO BORRAR'!$A140&lt;&gt;"Resultado total",('FUENTE NO BORRAR'!F140),""))</f>
        <v/>
      </c>
      <c r="G146" s="6" t="str">
        <f>IF('FUENTE NO BORRAR'!G140="","",IF('FUENTE NO BORRAR'!$A140&lt;&gt;"Resultado total",('FUENTE NO BORRAR'!G140),""))</f>
        <v/>
      </c>
      <c r="H146" s="6" t="str">
        <f>IF('FUENTE NO BORRAR'!H140="","",IF('FUENTE NO BORRAR'!$A140&lt;&gt;"Resultado total",('FUENTE NO BORRAR'!H140),""))</f>
        <v/>
      </c>
      <c r="I146" s="6" t="str">
        <f>IF('FUENTE NO BORRAR'!I140="","",IF('FUENTE NO BORRAR'!$A140&lt;&gt;"Resultado total",('FUENTE NO BORRAR'!I140),""))</f>
        <v/>
      </c>
    </row>
    <row r="147" spans="1:9" x14ac:dyDescent="0.2">
      <c r="A147" s="5" t="str">
        <f>IF('FUENTE NO BORRAR'!A141="","",(IF('FUENTE NO BORRAR'!A141&lt;&gt;"Resultado total",'FUENTE NO BORRAR'!A141,"")))</f>
        <v/>
      </c>
      <c r="B147" s="5" t="str">
        <f>IF('FUENTE NO BORRAR'!B141="","",'FUENTE NO BORRAR'!B141)</f>
        <v/>
      </c>
      <c r="C147" s="5" t="str">
        <f>IF('FUENTE NO BORRAR'!C141="","",'FUENTE NO BORRAR'!C141)</f>
        <v/>
      </c>
      <c r="D147" s="5" t="str">
        <f>IF('FUENTE NO BORRAR'!D141="","",'FUENTE NO BORRAR'!D141)</f>
        <v/>
      </c>
      <c r="E147" s="5" t="str">
        <f>IF('FUENTE NO BORRAR'!E141="","",'FUENTE NO BORRAR'!E141)</f>
        <v/>
      </c>
      <c r="F147" s="6" t="str">
        <f>IF('FUENTE NO BORRAR'!F141="","",IF('FUENTE NO BORRAR'!$A141&lt;&gt;"Resultado total",('FUENTE NO BORRAR'!F141),""))</f>
        <v/>
      </c>
      <c r="G147" s="6" t="str">
        <f>IF('FUENTE NO BORRAR'!G141="","",IF('FUENTE NO BORRAR'!$A141&lt;&gt;"Resultado total",('FUENTE NO BORRAR'!G141),""))</f>
        <v/>
      </c>
      <c r="H147" s="6" t="str">
        <f>IF('FUENTE NO BORRAR'!H141="","",IF('FUENTE NO BORRAR'!$A141&lt;&gt;"Resultado total",('FUENTE NO BORRAR'!H141),""))</f>
        <v/>
      </c>
      <c r="I147" s="6" t="str">
        <f>IF('FUENTE NO BORRAR'!I141="","",IF('FUENTE NO BORRAR'!$A141&lt;&gt;"Resultado total",('FUENTE NO BORRAR'!I141),""))</f>
        <v/>
      </c>
    </row>
    <row r="148" spans="1:9" x14ac:dyDescent="0.2">
      <c r="A148" s="5" t="str">
        <f>IF('FUENTE NO BORRAR'!A142="","",(IF('FUENTE NO BORRAR'!A142&lt;&gt;"Resultado total",'FUENTE NO BORRAR'!A142,"")))</f>
        <v/>
      </c>
      <c r="B148" s="5" t="str">
        <f>IF('FUENTE NO BORRAR'!B142="","",'FUENTE NO BORRAR'!B142)</f>
        <v/>
      </c>
      <c r="C148" s="5" t="str">
        <f>IF('FUENTE NO BORRAR'!C142="","",'FUENTE NO BORRAR'!C142)</f>
        <v/>
      </c>
      <c r="D148" s="5" t="str">
        <f>IF('FUENTE NO BORRAR'!D142="","",'FUENTE NO BORRAR'!D142)</f>
        <v/>
      </c>
      <c r="E148" s="5" t="str">
        <f>IF('FUENTE NO BORRAR'!E142="","",'FUENTE NO BORRAR'!E142)</f>
        <v/>
      </c>
      <c r="F148" s="6" t="str">
        <f>IF('FUENTE NO BORRAR'!F142="","",IF('FUENTE NO BORRAR'!$A142&lt;&gt;"Resultado total",('FUENTE NO BORRAR'!F142),""))</f>
        <v/>
      </c>
      <c r="G148" s="6" t="str">
        <f>IF('FUENTE NO BORRAR'!G142="","",IF('FUENTE NO BORRAR'!$A142&lt;&gt;"Resultado total",('FUENTE NO BORRAR'!G142),""))</f>
        <v/>
      </c>
      <c r="H148" s="6" t="str">
        <f>IF('FUENTE NO BORRAR'!H142="","",IF('FUENTE NO BORRAR'!$A142&lt;&gt;"Resultado total",('FUENTE NO BORRAR'!H142),""))</f>
        <v/>
      </c>
      <c r="I148" s="6" t="str">
        <f>IF('FUENTE NO BORRAR'!I142="","",IF('FUENTE NO BORRAR'!$A142&lt;&gt;"Resultado total",('FUENTE NO BORRAR'!I142),""))</f>
        <v/>
      </c>
    </row>
    <row r="149" spans="1:9" x14ac:dyDescent="0.2">
      <c r="A149" s="5" t="str">
        <f>IF('FUENTE NO BORRAR'!A143="","",(IF('FUENTE NO BORRAR'!A143&lt;&gt;"Resultado total",'FUENTE NO BORRAR'!A143,"")))</f>
        <v/>
      </c>
      <c r="B149" s="5" t="str">
        <f>IF('FUENTE NO BORRAR'!B143="","",'FUENTE NO BORRAR'!B143)</f>
        <v/>
      </c>
      <c r="C149" s="5" t="str">
        <f>IF('FUENTE NO BORRAR'!C143="","",'FUENTE NO BORRAR'!C143)</f>
        <v/>
      </c>
      <c r="D149" s="5" t="str">
        <f>IF('FUENTE NO BORRAR'!D143="","",'FUENTE NO BORRAR'!D143)</f>
        <v/>
      </c>
      <c r="E149" s="5" t="str">
        <f>IF('FUENTE NO BORRAR'!E143="","",'FUENTE NO BORRAR'!E143)</f>
        <v/>
      </c>
      <c r="F149" s="6" t="str">
        <f>IF('FUENTE NO BORRAR'!F143="","",IF('FUENTE NO BORRAR'!$A143&lt;&gt;"Resultado total",('FUENTE NO BORRAR'!F143),""))</f>
        <v/>
      </c>
      <c r="G149" s="6" t="str">
        <f>IF('FUENTE NO BORRAR'!G143="","",IF('FUENTE NO BORRAR'!$A143&lt;&gt;"Resultado total",('FUENTE NO BORRAR'!G143),""))</f>
        <v/>
      </c>
      <c r="H149" s="6" t="str">
        <f>IF('FUENTE NO BORRAR'!H143="","",IF('FUENTE NO BORRAR'!$A143&lt;&gt;"Resultado total",('FUENTE NO BORRAR'!H143),""))</f>
        <v/>
      </c>
      <c r="I149" s="6" t="str">
        <f>IF('FUENTE NO BORRAR'!I143="","",IF('FUENTE NO BORRAR'!$A143&lt;&gt;"Resultado total",('FUENTE NO BORRAR'!I143),""))</f>
        <v/>
      </c>
    </row>
    <row r="150" spans="1:9" x14ac:dyDescent="0.2">
      <c r="A150" s="5" t="str">
        <f>IF('FUENTE NO BORRAR'!A144="","",(IF('FUENTE NO BORRAR'!A144&lt;&gt;"Resultado total",'FUENTE NO BORRAR'!A144,"")))</f>
        <v/>
      </c>
      <c r="B150" s="5" t="str">
        <f>IF('FUENTE NO BORRAR'!B144="","",'FUENTE NO BORRAR'!B144)</f>
        <v/>
      </c>
      <c r="C150" s="5" t="str">
        <f>IF('FUENTE NO BORRAR'!C144="","",'FUENTE NO BORRAR'!C144)</f>
        <v/>
      </c>
      <c r="D150" s="5" t="str">
        <f>IF('FUENTE NO BORRAR'!D144="","",'FUENTE NO BORRAR'!D144)</f>
        <v/>
      </c>
      <c r="E150" s="5" t="str">
        <f>IF('FUENTE NO BORRAR'!E144="","",'FUENTE NO BORRAR'!E144)</f>
        <v/>
      </c>
      <c r="F150" s="6" t="str">
        <f>IF('FUENTE NO BORRAR'!F144="","",IF('FUENTE NO BORRAR'!$A144&lt;&gt;"Resultado total",('FUENTE NO BORRAR'!F144),""))</f>
        <v/>
      </c>
      <c r="G150" s="6" t="str">
        <f>IF('FUENTE NO BORRAR'!G144="","",IF('FUENTE NO BORRAR'!$A144&lt;&gt;"Resultado total",('FUENTE NO BORRAR'!G144),""))</f>
        <v/>
      </c>
      <c r="H150" s="6" t="str">
        <f>IF('FUENTE NO BORRAR'!H144="","",IF('FUENTE NO BORRAR'!$A144&lt;&gt;"Resultado total",('FUENTE NO BORRAR'!H144),""))</f>
        <v/>
      </c>
      <c r="I150" s="6" t="str">
        <f>IF('FUENTE NO BORRAR'!I144="","",IF('FUENTE NO BORRAR'!$A144&lt;&gt;"Resultado total",('FUENTE NO BORRAR'!I144),""))</f>
        <v/>
      </c>
    </row>
    <row r="151" spans="1:9" x14ac:dyDescent="0.2">
      <c r="A151" s="5" t="str">
        <f>IF('FUENTE NO BORRAR'!A145="","",(IF('FUENTE NO BORRAR'!A145&lt;&gt;"Resultado total",'FUENTE NO BORRAR'!A145,"")))</f>
        <v/>
      </c>
      <c r="B151" s="5" t="str">
        <f>IF('FUENTE NO BORRAR'!B145="","",'FUENTE NO BORRAR'!B145)</f>
        <v/>
      </c>
      <c r="C151" s="5" t="str">
        <f>IF('FUENTE NO BORRAR'!C145="","",'FUENTE NO BORRAR'!C145)</f>
        <v/>
      </c>
      <c r="D151" s="5" t="str">
        <f>IF('FUENTE NO BORRAR'!D145="","",'FUENTE NO BORRAR'!D145)</f>
        <v/>
      </c>
      <c r="E151" s="5" t="str">
        <f>IF('FUENTE NO BORRAR'!E145="","",'FUENTE NO BORRAR'!E145)</f>
        <v/>
      </c>
      <c r="F151" s="6" t="str">
        <f>IF('FUENTE NO BORRAR'!F145="","",IF('FUENTE NO BORRAR'!$A145&lt;&gt;"Resultado total",('FUENTE NO BORRAR'!F145),""))</f>
        <v/>
      </c>
      <c r="G151" s="6" t="str">
        <f>IF('FUENTE NO BORRAR'!G145="","",IF('FUENTE NO BORRAR'!$A145&lt;&gt;"Resultado total",('FUENTE NO BORRAR'!G145),""))</f>
        <v/>
      </c>
      <c r="H151" s="6" t="str">
        <f>IF('FUENTE NO BORRAR'!H145="","",IF('FUENTE NO BORRAR'!$A145&lt;&gt;"Resultado total",('FUENTE NO BORRAR'!H145),""))</f>
        <v/>
      </c>
      <c r="I151" s="6" t="str">
        <f>IF('FUENTE NO BORRAR'!I145="","",IF('FUENTE NO BORRAR'!$A145&lt;&gt;"Resultado total",('FUENTE NO BORRAR'!I145),""))</f>
        <v/>
      </c>
    </row>
    <row r="152" spans="1:9" x14ac:dyDescent="0.2">
      <c r="A152" s="5" t="str">
        <f>IF('FUENTE NO BORRAR'!A146="","",(IF('FUENTE NO BORRAR'!A146&lt;&gt;"Resultado total",'FUENTE NO BORRAR'!A146,"")))</f>
        <v/>
      </c>
      <c r="B152" s="5" t="str">
        <f>IF('FUENTE NO BORRAR'!B146="","",'FUENTE NO BORRAR'!B146)</f>
        <v/>
      </c>
      <c r="C152" s="5" t="str">
        <f>IF('FUENTE NO BORRAR'!C146="","",'FUENTE NO BORRAR'!C146)</f>
        <v/>
      </c>
      <c r="D152" s="5" t="str">
        <f>IF('FUENTE NO BORRAR'!D146="","",'FUENTE NO BORRAR'!D146)</f>
        <v/>
      </c>
      <c r="E152" s="5" t="str">
        <f>IF('FUENTE NO BORRAR'!E146="","",'FUENTE NO BORRAR'!E146)</f>
        <v/>
      </c>
      <c r="F152" s="6" t="str">
        <f>IF('FUENTE NO BORRAR'!F146="","",IF('FUENTE NO BORRAR'!$A146&lt;&gt;"Resultado total",('FUENTE NO BORRAR'!F146),""))</f>
        <v/>
      </c>
      <c r="G152" s="6" t="str">
        <f>IF('FUENTE NO BORRAR'!G146="","",IF('FUENTE NO BORRAR'!$A146&lt;&gt;"Resultado total",('FUENTE NO BORRAR'!G146),""))</f>
        <v/>
      </c>
      <c r="H152" s="6" t="str">
        <f>IF('FUENTE NO BORRAR'!H146="","",IF('FUENTE NO BORRAR'!$A146&lt;&gt;"Resultado total",('FUENTE NO BORRAR'!H146),""))</f>
        <v/>
      </c>
      <c r="I152" s="6" t="str">
        <f>IF('FUENTE NO BORRAR'!I146="","",IF('FUENTE NO BORRAR'!$A146&lt;&gt;"Resultado total",('FUENTE NO BORRAR'!I146),""))</f>
        <v/>
      </c>
    </row>
    <row r="153" spans="1:9" x14ac:dyDescent="0.2">
      <c r="A153" s="5" t="str">
        <f>IF('FUENTE NO BORRAR'!A147="","",(IF('FUENTE NO BORRAR'!A147&lt;&gt;"Resultado total",'FUENTE NO BORRAR'!A147,"")))</f>
        <v/>
      </c>
      <c r="B153" s="5" t="str">
        <f>IF('FUENTE NO BORRAR'!B147="","",'FUENTE NO BORRAR'!B147)</f>
        <v/>
      </c>
      <c r="C153" s="5" t="str">
        <f>IF('FUENTE NO BORRAR'!C147="","",'FUENTE NO BORRAR'!C147)</f>
        <v/>
      </c>
      <c r="D153" s="5" t="str">
        <f>IF('FUENTE NO BORRAR'!D147="","",'FUENTE NO BORRAR'!D147)</f>
        <v/>
      </c>
      <c r="E153" s="5" t="str">
        <f>IF('FUENTE NO BORRAR'!E147="","",'FUENTE NO BORRAR'!E147)</f>
        <v/>
      </c>
      <c r="F153" s="6" t="str">
        <f>IF('FUENTE NO BORRAR'!F147="","",IF('FUENTE NO BORRAR'!$A147&lt;&gt;"Resultado total",('FUENTE NO BORRAR'!F147),""))</f>
        <v/>
      </c>
      <c r="G153" s="6" t="str">
        <f>IF('FUENTE NO BORRAR'!G147="","",IF('FUENTE NO BORRAR'!$A147&lt;&gt;"Resultado total",('FUENTE NO BORRAR'!G147),""))</f>
        <v/>
      </c>
      <c r="H153" s="6" t="str">
        <f>IF('FUENTE NO BORRAR'!H147="","",IF('FUENTE NO BORRAR'!$A147&lt;&gt;"Resultado total",('FUENTE NO BORRAR'!H147),""))</f>
        <v/>
      </c>
      <c r="I153" s="6" t="str">
        <f>IF('FUENTE NO BORRAR'!I147="","",IF('FUENTE NO BORRAR'!$A147&lt;&gt;"Resultado total",('FUENTE NO BORRAR'!I147),""))</f>
        <v/>
      </c>
    </row>
    <row r="154" spans="1:9" x14ac:dyDescent="0.2">
      <c r="A154" s="5" t="str">
        <f>IF('FUENTE NO BORRAR'!A148="","",(IF('FUENTE NO BORRAR'!A148&lt;&gt;"Resultado total",'FUENTE NO BORRAR'!A148,"")))</f>
        <v/>
      </c>
      <c r="B154" s="5" t="str">
        <f>IF('FUENTE NO BORRAR'!B148="","",'FUENTE NO BORRAR'!B148)</f>
        <v/>
      </c>
      <c r="C154" s="5" t="str">
        <f>IF('FUENTE NO BORRAR'!C148="","",'FUENTE NO BORRAR'!C148)</f>
        <v/>
      </c>
      <c r="D154" s="5" t="str">
        <f>IF('FUENTE NO BORRAR'!D148="","",'FUENTE NO BORRAR'!D148)</f>
        <v/>
      </c>
      <c r="E154" s="5" t="str">
        <f>IF('FUENTE NO BORRAR'!E148="","",'FUENTE NO BORRAR'!E148)</f>
        <v/>
      </c>
      <c r="F154" s="6" t="str">
        <f>IF('FUENTE NO BORRAR'!F148="","",IF('FUENTE NO BORRAR'!$A148&lt;&gt;"Resultado total",('FUENTE NO BORRAR'!F148),""))</f>
        <v/>
      </c>
      <c r="G154" s="6" t="str">
        <f>IF('FUENTE NO BORRAR'!G148="","",IF('FUENTE NO BORRAR'!$A148&lt;&gt;"Resultado total",('FUENTE NO BORRAR'!G148),""))</f>
        <v/>
      </c>
      <c r="H154" s="6" t="str">
        <f>IF('FUENTE NO BORRAR'!H148="","",IF('FUENTE NO BORRAR'!$A148&lt;&gt;"Resultado total",('FUENTE NO BORRAR'!H148),""))</f>
        <v/>
      </c>
      <c r="I154" s="6" t="str">
        <f>IF('FUENTE NO BORRAR'!I148="","",IF('FUENTE NO BORRAR'!$A148&lt;&gt;"Resultado total",('FUENTE NO BORRAR'!I148),""))</f>
        <v/>
      </c>
    </row>
    <row r="155" spans="1:9" x14ac:dyDescent="0.2">
      <c r="A155" s="5" t="str">
        <f>IF('FUENTE NO BORRAR'!A149="","",(IF('FUENTE NO BORRAR'!A149&lt;&gt;"Resultado total",'FUENTE NO BORRAR'!A149,"")))</f>
        <v/>
      </c>
      <c r="B155" s="5" t="str">
        <f>IF('FUENTE NO BORRAR'!B149="","",'FUENTE NO BORRAR'!B149)</f>
        <v/>
      </c>
      <c r="C155" s="5" t="str">
        <f>IF('FUENTE NO BORRAR'!C149="","",'FUENTE NO BORRAR'!C149)</f>
        <v/>
      </c>
      <c r="D155" s="5" t="str">
        <f>IF('FUENTE NO BORRAR'!D149="","",'FUENTE NO BORRAR'!D149)</f>
        <v/>
      </c>
      <c r="E155" s="5" t="str">
        <f>IF('FUENTE NO BORRAR'!E149="","",'FUENTE NO BORRAR'!E149)</f>
        <v/>
      </c>
      <c r="F155" s="6" t="str">
        <f>IF('FUENTE NO BORRAR'!F149="","",IF('FUENTE NO BORRAR'!$A149&lt;&gt;"Resultado total",('FUENTE NO BORRAR'!F149),""))</f>
        <v/>
      </c>
      <c r="G155" s="6" t="str">
        <f>IF('FUENTE NO BORRAR'!G149="","",IF('FUENTE NO BORRAR'!$A149&lt;&gt;"Resultado total",('FUENTE NO BORRAR'!G149),""))</f>
        <v/>
      </c>
      <c r="H155" s="6" t="str">
        <f>IF('FUENTE NO BORRAR'!H149="","",IF('FUENTE NO BORRAR'!$A149&lt;&gt;"Resultado total",('FUENTE NO BORRAR'!H149),""))</f>
        <v/>
      </c>
      <c r="I155" s="6" t="str">
        <f>IF('FUENTE NO BORRAR'!I149="","",IF('FUENTE NO BORRAR'!$A149&lt;&gt;"Resultado total",('FUENTE NO BORRAR'!I149),""))</f>
        <v/>
      </c>
    </row>
    <row r="156" spans="1:9" x14ac:dyDescent="0.2">
      <c r="A156" s="5" t="str">
        <f>IF('FUENTE NO BORRAR'!A150="","",(IF('FUENTE NO BORRAR'!A150&lt;&gt;"Resultado total",'FUENTE NO BORRAR'!A150,"")))</f>
        <v/>
      </c>
      <c r="B156" s="5" t="str">
        <f>IF('FUENTE NO BORRAR'!B150="","",'FUENTE NO BORRAR'!B150)</f>
        <v/>
      </c>
      <c r="C156" s="5" t="str">
        <f>IF('FUENTE NO BORRAR'!C150="","",'FUENTE NO BORRAR'!C150)</f>
        <v/>
      </c>
      <c r="D156" s="5" t="str">
        <f>IF('FUENTE NO BORRAR'!D150="","",'FUENTE NO BORRAR'!D150)</f>
        <v/>
      </c>
      <c r="E156" s="5" t="str">
        <f>IF('FUENTE NO BORRAR'!E150="","",'FUENTE NO BORRAR'!E150)</f>
        <v/>
      </c>
      <c r="F156" s="6" t="str">
        <f>IF('FUENTE NO BORRAR'!F150="","",IF('FUENTE NO BORRAR'!$A150&lt;&gt;"Resultado total",('FUENTE NO BORRAR'!F150),""))</f>
        <v/>
      </c>
      <c r="G156" s="6" t="str">
        <f>IF('FUENTE NO BORRAR'!G150="","",IF('FUENTE NO BORRAR'!$A150&lt;&gt;"Resultado total",('FUENTE NO BORRAR'!G150),""))</f>
        <v/>
      </c>
      <c r="H156" s="6" t="str">
        <f>IF('FUENTE NO BORRAR'!H150="","",IF('FUENTE NO BORRAR'!$A150&lt;&gt;"Resultado total",('FUENTE NO BORRAR'!H150),""))</f>
        <v/>
      </c>
      <c r="I156" s="6" t="str">
        <f>IF('FUENTE NO BORRAR'!I150="","",IF('FUENTE NO BORRAR'!$A150&lt;&gt;"Resultado total",('FUENTE NO BORRAR'!I150),""))</f>
        <v/>
      </c>
    </row>
    <row r="157" spans="1:9" x14ac:dyDescent="0.2">
      <c r="A157" s="5" t="str">
        <f>IF('FUENTE NO BORRAR'!A151="","",(IF('FUENTE NO BORRAR'!A151&lt;&gt;"Resultado total",'FUENTE NO BORRAR'!A151,"")))</f>
        <v/>
      </c>
      <c r="B157" s="5" t="str">
        <f>IF('FUENTE NO BORRAR'!B151="","",'FUENTE NO BORRAR'!B151)</f>
        <v/>
      </c>
      <c r="C157" s="5" t="str">
        <f>IF('FUENTE NO BORRAR'!C151="","",'FUENTE NO BORRAR'!C151)</f>
        <v/>
      </c>
      <c r="D157" s="5" t="str">
        <f>IF('FUENTE NO BORRAR'!D151="","",'FUENTE NO BORRAR'!D151)</f>
        <v/>
      </c>
      <c r="E157" s="5" t="str">
        <f>IF('FUENTE NO BORRAR'!E151="","",'FUENTE NO BORRAR'!E151)</f>
        <v/>
      </c>
      <c r="F157" s="6" t="str">
        <f>IF('FUENTE NO BORRAR'!F151="","",IF('FUENTE NO BORRAR'!$A151&lt;&gt;"Resultado total",('FUENTE NO BORRAR'!F151),""))</f>
        <v/>
      </c>
      <c r="G157" s="6" t="str">
        <f>IF('FUENTE NO BORRAR'!G151="","",IF('FUENTE NO BORRAR'!$A151&lt;&gt;"Resultado total",('FUENTE NO BORRAR'!G151),""))</f>
        <v/>
      </c>
      <c r="H157" s="6" t="str">
        <f>IF('FUENTE NO BORRAR'!H151="","",IF('FUENTE NO BORRAR'!$A151&lt;&gt;"Resultado total",('FUENTE NO BORRAR'!H151),""))</f>
        <v/>
      </c>
      <c r="I157" s="6" t="str">
        <f>IF('FUENTE NO BORRAR'!I151="","",IF('FUENTE NO BORRAR'!$A151&lt;&gt;"Resultado total",('FUENTE NO BORRAR'!I151),""))</f>
        <v/>
      </c>
    </row>
    <row r="158" spans="1:9" x14ac:dyDescent="0.2">
      <c r="A158" s="5" t="str">
        <f>IF('FUENTE NO BORRAR'!A152="","",(IF('FUENTE NO BORRAR'!A152&lt;&gt;"Resultado total",'FUENTE NO BORRAR'!A152,"")))</f>
        <v/>
      </c>
      <c r="B158" s="5" t="str">
        <f>IF('FUENTE NO BORRAR'!B152="","",'FUENTE NO BORRAR'!B152)</f>
        <v/>
      </c>
      <c r="C158" s="5" t="str">
        <f>IF('FUENTE NO BORRAR'!C152="","",'FUENTE NO BORRAR'!C152)</f>
        <v/>
      </c>
      <c r="D158" s="5" t="str">
        <f>IF('FUENTE NO BORRAR'!D152="","",'FUENTE NO BORRAR'!D152)</f>
        <v/>
      </c>
      <c r="E158" s="5" t="str">
        <f>IF('FUENTE NO BORRAR'!E152="","",'FUENTE NO BORRAR'!E152)</f>
        <v/>
      </c>
      <c r="F158" s="6" t="str">
        <f>IF('FUENTE NO BORRAR'!F152="","",IF('FUENTE NO BORRAR'!$A152&lt;&gt;"Resultado total",('FUENTE NO BORRAR'!F152),""))</f>
        <v/>
      </c>
      <c r="G158" s="6" t="str">
        <f>IF('FUENTE NO BORRAR'!G152="","",IF('FUENTE NO BORRAR'!$A152&lt;&gt;"Resultado total",('FUENTE NO BORRAR'!G152),""))</f>
        <v/>
      </c>
      <c r="H158" s="6" t="str">
        <f>IF('FUENTE NO BORRAR'!H152="","",IF('FUENTE NO BORRAR'!$A152&lt;&gt;"Resultado total",('FUENTE NO BORRAR'!H152),""))</f>
        <v/>
      </c>
      <c r="I158" s="6" t="str">
        <f>IF('FUENTE NO BORRAR'!I152="","",IF('FUENTE NO BORRAR'!$A152&lt;&gt;"Resultado total",('FUENTE NO BORRAR'!I152),""))</f>
        <v/>
      </c>
    </row>
    <row r="159" spans="1:9" x14ac:dyDescent="0.2">
      <c r="A159" s="5" t="str">
        <f>IF('FUENTE NO BORRAR'!A153="","",(IF('FUENTE NO BORRAR'!A153&lt;&gt;"Resultado total",'FUENTE NO BORRAR'!A153,"")))</f>
        <v/>
      </c>
      <c r="B159" s="5" t="str">
        <f>IF('FUENTE NO BORRAR'!B153="","",'FUENTE NO BORRAR'!B153)</f>
        <v/>
      </c>
      <c r="C159" s="5" t="str">
        <f>IF('FUENTE NO BORRAR'!C153="","",'FUENTE NO BORRAR'!C153)</f>
        <v/>
      </c>
      <c r="D159" s="5" t="str">
        <f>IF('FUENTE NO BORRAR'!D153="","",'FUENTE NO BORRAR'!D153)</f>
        <v/>
      </c>
      <c r="E159" s="5" t="str">
        <f>IF('FUENTE NO BORRAR'!E153="","",'FUENTE NO BORRAR'!E153)</f>
        <v/>
      </c>
      <c r="F159" s="6" t="str">
        <f>IF('FUENTE NO BORRAR'!F153="","",IF('FUENTE NO BORRAR'!$A153&lt;&gt;"Resultado total",('FUENTE NO BORRAR'!F153),""))</f>
        <v/>
      </c>
      <c r="G159" s="6" t="str">
        <f>IF('FUENTE NO BORRAR'!G153="","",IF('FUENTE NO BORRAR'!$A153&lt;&gt;"Resultado total",('FUENTE NO BORRAR'!G153),""))</f>
        <v/>
      </c>
      <c r="H159" s="6" t="str">
        <f>IF('FUENTE NO BORRAR'!H153="","",IF('FUENTE NO BORRAR'!$A153&lt;&gt;"Resultado total",('FUENTE NO BORRAR'!H153),""))</f>
        <v/>
      </c>
      <c r="I159" s="6" t="str">
        <f>IF('FUENTE NO BORRAR'!I153="","",IF('FUENTE NO BORRAR'!$A153&lt;&gt;"Resultado total",('FUENTE NO BORRAR'!I153),""))</f>
        <v/>
      </c>
    </row>
    <row r="160" spans="1:9" x14ac:dyDescent="0.2">
      <c r="A160" s="5" t="str">
        <f>IF('FUENTE NO BORRAR'!A154="","",(IF('FUENTE NO BORRAR'!A154&lt;&gt;"Resultado total",'FUENTE NO BORRAR'!A154,"")))</f>
        <v/>
      </c>
      <c r="B160" s="5" t="str">
        <f>IF('FUENTE NO BORRAR'!B154="","",'FUENTE NO BORRAR'!B154)</f>
        <v/>
      </c>
      <c r="C160" s="5" t="str">
        <f>IF('FUENTE NO BORRAR'!C154="","",'FUENTE NO BORRAR'!C154)</f>
        <v/>
      </c>
      <c r="D160" s="5" t="str">
        <f>IF('FUENTE NO BORRAR'!D154="","",'FUENTE NO BORRAR'!D154)</f>
        <v/>
      </c>
      <c r="E160" s="5" t="str">
        <f>IF('FUENTE NO BORRAR'!E154="","",'FUENTE NO BORRAR'!E154)</f>
        <v/>
      </c>
      <c r="F160" s="6" t="str">
        <f>IF('FUENTE NO BORRAR'!F154="","",IF('FUENTE NO BORRAR'!$A154&lt;&gt;"Resultado total",('FUENTE NO BORRAR'!F154),""))</f>
        <v/>
      </c>
      <c r="G160" s="6" t="str">
        <f>IF('FUENTE NO BORRAR'!G154="","",IF('FUENTE NO BORRAR'!$A154&lt;&gt;"Resultado total",('FUENTE NO BORRAR'!G154),""))</f>
        <v/>
      </c>
      <c r="H160" s="6" t="str">
        <f>IF('FUENTE NO BORRAR'!H154="","",IF('FUENTE NO BORRAR'!$A154&lt;&gt;"Resultado total",('FUENTE NO BORRAR'!H154),""))</f>
        <v/>
      </c>
      <c r="I160" s="6" t="str">
        <f>IF('FUENTE NO BORRAR'!I154="","",IF('FUENTE NO BORRAR'!$A154&lt;&gt;"Resultado total",('FUENTE NO BORRAR'!I154),""))</f>
        <v/>
      </c>
    </row>
    <row r="161" spans="1:9" x14ac:dyDescent="0.2">
      <c r="A161" s="5" t="str">
        <f>IF('FUENTE NO BORRAR'!A155="","",(IF('FUENTE NO BORRAR'!A155&lt;&gt;"Resultado total",'FUENTE NO BORRAR'!A155,"")))</f>
        <v/>
      </c>
      <c r="B161" s="5" t="str">
        <f>IF('FUENTE NO BORRAR'!B155="","",'FUENTE NO BORRAR'!B155)</f>
        <v/>
      </c>
      <c r="C161" s="5" t="str">
        <f>IF('FUENTE NO BORRAR'!C155="","",'FUENTE NO BORRAR'!C155)</f>
        <v/>
      </c>
      <c r="D161" s="5" t="str">
        <f>IF('FUENTE NO BORRAR'!D155="","",'FUENTE NO BORRAR'!D155)</f>
        <v/>
      </c>
      <c r="E161" s="5" t="str">
        <f>IF('FUENTE NO BORRAR'!E155="","",'FUENTE NO BORRAR'!E155)</f>
        <v/>
      </c>
      <c r="F161" s="6" t="str">
        <f>IF('FUENTE NO BORRAR'!F155="","",IF('FUENTE NO BORRAR'!$A155&lt;&gt;"Resultado total",('FUENTE NO BORRAR'!F155),""))</f>
        <v/>
      </c>
      <c r="G161" s="6" t="str">
        <f>IF('FUENTE NO BORRAR'!G155="","",IF('FUENTE NO BORRAR'!$A155&lt;&gt;"Resultado total",('FUENTE NO BORRAR'!G155),""))</f>
        <v/>
      </c>
      <c r="H161" s="6" t="str">
        <f>IF('FUENTE NO BORRAR'!H155="","",IF('FUENTE NO BORRAR'!$A155&lt;&gt;"Resultado total",('FUENTE NO BORRAR'!H155),""))</f>
        <v/>
      </c>
      <c r="I161" s="6" t="str">
        <f>IF('FUENTE NO BORRAR'!I155="","",IF('FUENTE NO BORRAR'!$A155&lt;&gt;"Resultado total",('FUENTE NO BORRAR'!I155),""))</f>
        <v/>
      </c>
    </row>
    <row r="162" spans="1:9" x14ac:dyDescent="0.2">
      <c r="A162" s="5" t="str">
        <f>IF('FUENTE NO BORRAR'!A156="","",(IF('FUENTE NO BORRAR'!A156&lt;&gt;"Resultado total",'FUENTE NO BORRAR'!A156,"")))</f>
        <v/>
      </c>
      <c r="B162" s="5" t="str">
        <f>IF('FUENTE NO BORRAR'!B156="","",'FUENTE NO BORRAR'!B156)</f>
        <v/>
      </c>
      <c r="C162" s="5" t="str">
        <f>IF('FUENTE NO BORRAR'!C156="","",'FUENTE NO BORRAR'!C156)</f>
        <v/>
      </c>
      <c r="D162" s="5" t="str">
        <f>IF('FUENTE NO BORRAR'!D156="","",'FUENTE NO BORRAR'!D156)</f>
        <v/>
      </c>
      <c r="E162" s="5" t="str">
        <f>IF('FUENTE NO BORRAR'!E156="","",'FUENTE NO BORRAR'!E156)</f>
        <v/>
      </c>
      <c r="F162" s="6" t="str">
        <f>IF('FUENTE NO BORRAR'!F156="","",IF('FUENTE NO BORRAR'!$A156&lt;&gt;"Resultado total",('FUENTE NO BORRAR'!F156),""))</f>
        <v/>
      </c>
      <c r="G162" s="6" t="str">
        <f>IF('FUENTE NO BORRAR'!G156="","",IF('FUENTE NO BORRAR'!$A156&lt;&gt;"Resultado total",('FUENTE NO BORRAR'!G156),""))</f>
        <v/>
      </c>
      <c r="H162" s="6" t="str">
        <f>IF('FUENTE NO BORRAR'!H156="","",IF('FUENTE NO BORRAR'!$A156&lt;&gt;"Resultado total",('FUENTE NO BORRAR'!H156),""))</f>
        <v/>
      </c>
      <c r="I162" s="6" t="str">
        <f>IF('FUENTE NO BORRAR'!I156="","",IF('FUENTE NO BORRAR'!$A156&lt;&gt;"Resultado total",('FUENTE NO BORRAR'!I156),""))</f>
        <v/>
      </c>
    </row>
    <row r="163" spans="1:9" x14ac:dyDescent="0.2">
      <c r="A163" s="5" t="str">
        <f>IF('FUENTE NO BORRAR'!A157="","",(IF('FUENTE NO BORRAR'!A157&lt;&gt;"Resultado total",'FUENTE NO BORRAR'!A157,"")))</f>
        <v/>
      </c>
      <c r="B163" s="5" t="str">
        <f>IF('FUENTE NO BORRAR'!B157="","",'FUENTE NO BORRAR'!B157)</f>
        <v/>
      </c>
      <c r="C163" s="5" t="str">
        <f>IF('FUENTE NO BORRAR'!C157="","",'FUENTE NO BORRAR'!C157)</f>
        <v/>
      </c>
      <c r="D163" s="5" t="str">
        <f>IF('FUENTE NO BORRAR'!D157="","",'FUENTE NO BORRAR'!D157)</f>
        <v/>
      </c>
      <c r="E163" s="5" t="str">
        <f>IF('FUENTE NO BORRAR'!E157="","",'FUENTE NO BORRAR'!E157)</f>
        <v/>
      </c>
      <c r="F163" s="6" t="str">
        <f>IF('FUENTE NO BORRAR'!F157="","",IF('FUENTE NO BORRAR'!$A157&lt;&gt;"Resultado total",('FUENTE NO BORRAR'!F157),""))</f>
        <v/>
      </c>
      <c r="G163" s="6" t="str">
        <f>IF('FUENTE NO BORRAR'!G157="","",IF('FUENTE NO BORRAR'!$A157&lt;&gt;"Resultado total",('FUENTE NO BORRAR'!G157),""))</f>
        <v/>
      </c>
      <c r="H163" s="6" t="str">
        <f>IF('FUENTE NO BORRAR'!H157="","",IF('FUENTE NO BORRAR'!$A157&lt;&gt;"Resultado total",('FUENTE NO BORRAR'!H157),""))</f>
        <v/>
      </c>
      <c r="I163" s="6" t="str">
        <f>IF('FUENTE NO BORRAR'!I157="","",IF('FUENTE NO BORRAR'!$A157&lt;&gt;"Resultado total",('FUENTE NO BORRAR'!I157),""))</f>
        <v/>
      </c>
    </row>
    <row r="164" spans="1:9" x14ac:dyDescent="0.2">
      <c r="A164" s="5" t="str">
        <f>IF('FUENTE NO BORRAR'!A158="","",(IF('FUENTE NO BORRAR'!A158&lt;&gt;"Resultado total",'FUENTE NO BORRAR'!A158,"")))</f>
        <v/>
      </c>
      <c r="B164" s="5" t="str">
        <f>IF('FUENTE NO BORRAR'!B158="","",'FUENTE NO BORRAR'!B158)</f>
        <v/>
      </c>
      <c r="C164" s="5" t="str">
        <f>IF('FUENTE NO BORRAR'!C158="","",'FUENTE NO BORRAR'!C158)</f>
        <v/>
      </c>
      <c r="D164" s="5" t="str">
        <f>IF('FUENTE NO BORRAR'!D158="","",'FUENTE NO BORRAR'!D158)</f>
        <v/>
      </c>
      <c r="E164" s="5" t="str">
        <f>IF('FUENTE NO BORRAR'!E158="","",'FUENTE NO BORRAR'!E158)</f>
        <v/>
      </c>
      <c r="F164" s="6" t="str">
        <f>IF('FUENTE NO BORRAR'!F158="","",IF('FUENTE NO BORRAR'!$A158&lt;&gt;"Resultado total",('FUENTE NO BORRAR'!F158),""))</f>
        <v/>
      </c>
      <c r="G164" s="6" t="str">
        <f>IF('FUENTE NO BORRAR'!G158="","",IF('FUENTE NO BORRAR'!$A158&lt;&gt;"Resultado total",('FUENTE NO BORRAR'!G158),""))</f>
        <v/>
      </c>
      <c r="H164" s="6" t="str">
        <f>IF('FUENTE NO BORRAR'!H158="","",IF('FUENTE NO BORRAR'!$A158&lt;&gt;"Resultado total",('FUENTE NO BORRAR'!H158),""))</f>
        <v/>
      </c>
      <c r="I164" s="6" t="str">
        <f>IF('FUENTE NO BORRAR'!I158="","",IF('FUENTE NO BORRAR'!$A158&lt;&gt;"Resultado total",('FUENTE NO BORRAR'!I158),""))</f>
        <v/>
      </c>
    </row>
    <row r="165" spans="1:9" x14ac:dyDescent="0.2">
      <c r="A165" s="5" t="str">
        <f>IF('FUENTE NO BORRAR'!A159="","",(IF('FUENTE NO BORRAR'!A159&lt;&gt;"Resultado total",'FUENTE NO BORRAR'!A159,"")))</f>
        <v/>
      </c>
      <c r="B165" s="5" t="str">
        <f>IF('FUENTE NO BORRAR'!B159="","",'FUENTE NO BORRAR'!B159)</f>
        <v/>
      </c>
      <c r="C165" s="5" t="str">
        <f>IF('FUENTE NO BORRAR'!C159="","",'FUENTE NO BORRAR'!C159)</f>
        <v/>
      </c>
      <c r="D165" s="5" t="str">
        <f>IF('FUENTE NO BORRAR'!D159="","",'FUENTE NO BORRAR'!D159)</f>
        <v/>
      </c>
      <c r="E165" s="5" t="str">
        <f>IF('FUENTE NO BORRAR'!E159="","",'FUENTE NO BORRAR'!E159)</f>
        <v/>
      </c>
      <c r="F165" s="6" t="str">
        <f>IF('FUENTE NO BORRAR'!F159="","",IF('FUENTE NO BORRAR'!$A159&lt;&gt;"Resultado total",('FUENTE NO BORRAR'!F159),""))</f>
        <v/>
      </c>
      <c r="G165" s="6" t="str">
        <f>IF('FUENTE NO BORRAR'!G159="","",IF('FUENTE NO BORRAR'!$A159&lt;&gt;"Resultado total",('FUENTE NO BORRAR'!G159),""))</f>
        <v/>
      </c>
      <c r="H165" s="6" t="str">
        <f>IF('FUENTE NO BORRAR'!H159="","",IF('FUENTE NO BORRAR'!$A159&lt;&gt;"Resultado total",('FUENTE NO BORRAR'!H159),""))</f>
        <v/>
      </c>
      <c r="I165" s="6" t="str">
        <f>IF('FUENTE NO BORRAR'!I159="","",IF('FUENTE NO BORRAR'!$A159&lt;&gt;"Resultado total",('FUENTE NO BORRAR'!I159),""))</f>
        <v/>
      </c>
    </row>
    <row r="166" spans="1:9" x14ac:dyDescent="0.2">
      <c r="A166" s="5" t="str">
        <f>IF('FUENTE NO BORRAR'!A160="","",(IF('FUENTE NO BORRAR'!A160&lt;&gt;"Resultado total",'FUENTE NO BORRAR'!A160,"")))</f>
        <v/>
      </c>
      <c r="B166" s="5" t="str">
        <f>IF('FUENTE NO BORRAR'!B160="","",'FUENTE NO BORRAR'!B160)</f>
        <v/>
      </c>
      <c r="C166" s="5" t="str">
        <f>IF('FUENTE NO BORRAR'!C160="","",'FUENTE NO BORRAR'!C160)</f>
        <v/>
      </c>
      <c r="D166" s="5" t="str">
        <f>IF('FUENTE NO BORRAR'!D160="","",'FUENTE NO BORRAR'!D160)</f>
        <v/>
      </c>
      <c r="E166" s="5" t="str">
        <f>IF('FUENTE NO BORRAR'!E160="","",'FUENTE NO BORRAR'!E160)</f>
        <v/>
      </c>
      <c r="F166" s="6" t="str">
        <f>IF('FUENTE NO BORRAR'!F160="","",IF('FUENTE NO BORRAR'!$A160&lt;&gt;"Resultado total",('FUENTE NO BORRAR'!F160),""))</f>
        <v/>
      </c>
      <c r="G166" s="6" t="str">
        <f>IF('FUENTE NO BORRAR'!G160="","",IF('FUENTE NO BORRAR'!$A160&lt;&gt;"Resultado total",('FUENTE NO BORRAR'!G160),""))</f>
        <v/>
      </c>
      <c r="H166" s="6" t="str">
        <f>IF('FUENTE NO BORRAR'!H160="","",IF('FUENTE NO BORRAR'!$A160&lt;&gt;"Resultado total",('FUENTE NO BORRAR'!H160),""))</f>
        <v/>
      </c>
      <c r="I166" s="6" t="str">
        <f>IF('FUENTE NO BORRAR'!I160="","",IF('FUENTE NO BORRAR'!$A160&lt;&gt;"Resultado total",('FUENTE NO BORRAR'!I160),""))</f>
        <v/>
      </c>
    </row>
    <row r="167" spans="1:9" x14ac:dyDescent="0.2">
      <c r="A167" s="5" t="str">
        <f>IF('FUENTE NO BORRAR'!A161="","",(IF('FUENTE NO BORRAR'!A161&lt;&gt;"Resultado total",'FUENTE NO BORRAR'!A161,"")))</f>
        <v/>
      </c>
      <c r="B167" s="5" t="str">
        <f>IF('FUENTE NO BORRAR'!B161="","",'FUENTE NO BORRAR'!B161)</f>
        <v/>
      </c>
      <c r="C167" s="5" t="str">
        <f>IF('FUENTE NO BORRAR'!C161="","",'FUENTE NO BORRAR'!C161)</f>
        <v/>
      </c>
      <c r="D167" s="5" t="str">
        <f>IF('FUENTE NO BORRAR'!D161="","",'FUENTE NO BORRAR'!D161)</f>
        <v/>
      </c>
      <c r="E167" s="5" t="str">
        <f>IF('FUENTE NO BORRAR'!E161="","",'FUENTE NO BORRAR'!E161)</f>
        <v/>
      </c>
      <c r="F167" s="6" t="str">
        <f>IF('FUENTE NO BORRAR'!F161="","",IF('FUENTE NO BORRAR'!$A161&lt;&gt;"Resultado total",('FUENTE NO BORRAR'!F161),""))</f>
        <v/>
      </c>
      <c r="G167" s="6" t="str">
        <f>IF('FUENTE NO BORRAR'!G161="","",IF('FUENTE NO BORRAR'!$A161&lt;&gt;"Resultado total",('FUENTE NO BORRAR'!G161),""))</f>
        <v/>
      </c>
      <c r="H167" s="6" t="str">
        <f>IF('FUENTE NO BORRAR'!H161="","",IF('FUENTE NO BORRAR'!$A161&lt;&gt;"Resultado total",('FUENTE NO BORRAR'!H161),""))</f>
        <v/>
      </c>
      <c r="I167" s="6" t="str">
        <f>IF('FUENTE NO BORRAR'!I161="","",IF('FUENTE NO BORRAR'!$A161&lt;&gt;"Resultado total",('FUENTE NO BORRAR'!I161),""))</f>
        <v/>
      </c>
    </row>
    <row r="168" spans="1:9" x14ac:dyDescent="0.2">
      <c r="A168" s="5" t="str">
        <f>IF('FUENTE NO BORRAR'!A162="","",(IF('FUENTE NO BORRAR'!A162&lt;&gt;"Resultado total",'FUENTE NO BORRAR'!A162,"")))</f>
        <v/>
      </c>
      <c r="B168" s="5" t="str">
        <f>IF('FUENTE NO BORRAR'!B162="","",'FUENTE NO BORRAR'!B162)</f>
        <v/>
      </c>
      <c r="C168" s="5" t="str">
        <f>IF('FUENTE NO BORRAR'!C162="","",'FUENTE NO BORRAR'!C162)</f>
        <v/>
      </c>
      <c r="D168" s="5" t="str">
        <f>IF('FUENTE NO BORRAR'!D162="","",'FUENTE NO BORRAR'!D162)</f>
        <v/>
      </c>
      <c r="E168" s="5" t="str">
        <f>IF('FUENTE NO BORRAR'!E162="","",'FUENTE NO BORRAR'!E162)</f>
        <v/>
      </c>
      <c r="F168" s="6" t="str">
        <f>IF('FUENTE NO BORRAR'!F162="","",IF('FUENTE NO BORRAR'!$A162&lt;&gt;"Resultado total",('FUENTE NO BORRAR'!F162),""))</f>
        <v/>
      </c>
      <c r="G168" s="6" t="str">
        <f>IF('FUENTE NO BORRAR'!G162="","",IF('FUENTE NO BORRAR'!$A162&lt;&gt;"Resultado total",('FUENTE NO BORRAR'!G162),""))</f>
        <v/>
      </c>
      <c r="H168" s="6" t="str">
        <f>IF('FUENTE NO BORRAR'!H162="","",IF('FUENTE NO BORRAR'!$A162&lt;&gt;"Resultado total",('FUENTE NO BORRAR'!H162),""))</f>
        <v/>
      </c>
      <c r="I168" s="6" t="str">
        <f>IF('FUENTE NO BORRAR'!I162="","",IF('FUENTE NO BORRAR'!$A162&lt;&gt;"Resultado total",('FUENTE NO BORRAR'!I162),""))</f>
        <v/>
      </c>
    </row>
    <row r="169" spans="1:9" x14ac:dyDescent="0.2">
      <c r="A169" s="5" t="str">
        <f>IF('FUENTE NO BORRAR'!A163="","",(IF('FUENTE NO BORRAR'!A163&lt;&gt;"Resultado total",'FUENTE NO BORRAR'!A163,"")))</f>
        <v/>
      </c>
      <c r="B169" s="5" t="str">
        <f>IF('FUENTE NO BORRAR'!B163="","",'FUENTE NO BORRAR'!B163)</f>
        <v/>
      </c>
      <c r="C169" s="5" t="str">
        <f>IF('FUENTE NO BORRAR'!C163="","",'FUENTE NO BORRAR'!C163)</f>
        <v/>
      </c>
      <c r="D169" s="5" t="str">
        <f>IF('FUENTE NO BORRAR'!D163="","",'FUENTE NO BORRAR'!D163)</f>
        <v/>
      </c>
      <c r="E169" s="5" t="str">
        <f>IF('FUENTE NO BORRAR'!E163="","",'FUENTE NO BORRAR'!E163)</f>
        <v/>
      </c>
      <c r="F169" s="6" t="str">
        <f>IF('FUENTE NO BORRAR'!F163="","",IF('FUENTE NO BORRAR'!$A163&lt;&gt;"Resultado total",('FUENTE NO BORRAR'!F163),""))</f>
        <v/>
      </c>
      <c r="G169" s="6" t="str">
        <f>IF('FUENTE NO BORRAR'!G163="","",IF('FUENTE NO BORRAR'!$A163&lt;&gt;"Resultado total",('FUENTE NO BORRAR'!G163),""))</f>
        <v/>
      </c>
      <c r="H169" s="6" t="str">
        <f>IF('FUENTE NO BORRAR'!H163="","",IF('FUENTE NO BORRAR'!$A163&lt;&gt;"Resultado total",('FUENTE NO BORRAR'!H163),""))</f>
        <v/>
      </c>
      <c r="I169" s="6" t="str">
        <f>IF('FUENTE NO BORRAR'!I163="","",IF('FUENTE NO BORRAR'!$A163&lt;&gt;"Resultado total",('FUENTE NO BORRAR'!I163),""))</f>
        <v/>
      </c>
    </row>
    <row r="170" spans="1:9" x14ac:dyDescent="0.2">
      <c r="A170" s="5" t="str">
        <f>IF('FUENTE NO BORRAR'!A164="","",(IF('FUENTE NO BORRAR'!A164&lt;&gt;"Resultado total",'FUENTE NO BORRAR'!A164,"")))</f>
        <v/>
      </c>
      <c r="B170" s="5" t="str">
        <f>IF('FUENTE NO BORRAR'!B164="","",'FUENTE NO BORRAR'!B164)</f>
        <v/>
      </c>
      <c r="C170" s="5" t="str">
        <f>IF('FUENTE NO BORRAR'!C164="","",'FUENTE NO BORRAR'!C164)</f>
        <v/>
      </c>
      <c r="D170" s="5" t="str">
        <f>IF('FUENTE NO BORRAR'!D164="","",'FUENTE NO BORRAR'!D164)</f>
        <v/>
      </c>
      <c r="E170" s="5" t="str">
        <f>IF('FUENTE NO BORRAR'!E164="","",'FUENTE NO BORRAR'!E164)</f>
        <v/>
      </c>
      <c r="F170" s="6" t="str">
        <f>IF('FUENTE NO BORRAR'!F164="","",IF('FUENTE NO BORRAR'!$A164&lt;&gt;"Resultado total",('FUENTE NO BORRAR'!F164),""))</f>
        <v/>
      </c>
      <c r="G170" s="6" t="str">
        <f>IF('FUENTE NO BORRAR'!G164="","",IF('FUENTE NO BORRAR'!$A164&lt;&gt;"Resultado total",('FUENTE NO BORRAR'!G164),""))</f>
        <v/>
      </c>
      <c r="H170" s="6" t="str">
        <f>IF('FUENTE NO BORRAR'!H164="","",IF('FUENTE NO BORRAR'!$A164&lt;&gt;"Resultado total",('FUENTE NO BORRAR'!H164),""))</f>
        <v/>
      </c>
      <c r="I170" s="6" t="str">
        <f>IF('FUENTE NO BORRAR'!I164="","",IF('FUENTE NO BORRAR'!$A164&lt;&gt;"Resultado total",('FUENTE NO BORRAR'!I164),""))</f>
        <v/>
      </c>
    </row>
    <row r="171" spans="1:9" x14ac:dyDescent="0.2">
      <c r="A171" s="5" t="str">
        <f>IF('FUENTE NO BORRAR'!A165="","",(IF('FUENTE NO BORRAR'!A165&lt;&gt;"Resultado total",'FUENTE NO BORRAR'!A165,"")))</f>
        <v/>
      </c>
      <c r="B171" s="5" t="str">
        <f>IF('FUENTE NO BORRAR'!B165="","",'FUENTE NO BORRAR'!B165)</f>
        <v/>
      </c>
      <c r="C171" s="5" t="str">
        <f>IF('FUENTE NO BORRAR'!C165="","",'FUENTE NO BORRAR'!C165)</f>
        <v/>
      </c>
      <c r="D171" s="5" t="str">
        <f>IF('FUENTE NO BORRAR'!D165="","",'FUENTE NO BORRAR'!D165)</f>
        <v/>
      </c>
      <c r="E171" s="5" t="str">
        <f>IF('FUENTE NO BORRAR'!E165="","",'FUENTE NO BORRAR'!E165)</f>
        <v/>
      </c>
      <c r="F171" s="6" t="str">
        <f>IF('FUENTE NO BORRAR'!F165="","",IF('FUENTE NO BORRAR'!$A165&lt;&gt;"Resultado total",('FUENTE NO BORRAR'!F165),""))</f>
        <v/>
      </c>
      <c r="G171" s="6" t="str">
        <f>IF('FUENTE NO BORRAR'!G165="","",IF('FUENTE NO BORRAR'!$A165&lt;&gt;"Resultado total",('FUENTE NO BORRAR'!G165),""))</f>
        <v/>
      </c>
      <c r="H171" s="6" t="str">
        <f>IF('FUENTE NO BORRAR'!H165="","",IF('FUENTE NO BORRAR'!$A165&lt;&gt;"Resultado total",('FUENTE NO BORRAR'!H165),""))</f>
        <v/>
      </c>
      <c r="I171" s="6" t="str">
        <f>IF('FUENTE NO BORRAR'!I165="","",IF('FUENTE NO BORRAR'!$A165&lt;&gt;"Resultado total",('FUENTE NO BORRAR'!I165),""))</f>
        <v/>
      </c>
    </row>
    <row r="172" spans="1:9" x14ac:dyDescent="0.2">
      <c r="A172" s="5" t="str">
        <f>IF('FUENTE NO BORRAR'!A166="","",(IF('FUENTE NO BORRAR'!A166&lt;&gt;"Resultado total",'FUENTE NO BORRAR'!A166,"")))</f>
        <v/>
      </c>
      <c r="B172" s="5" t="str">
        <f>IF('FUENTE NO BORRAR'!B166="","",'FUENTE NO BORRAR'!B166)</f>
        <v/>
      </c>
      <c r="C172" s="5" t="str">
        <f>IF('FUENTE NO BORRAR'!C166="","",'FUENTE NO BORRAR'!C166)</f>
        <v/>
      </c>
      <c r="D172" s="5" t="str">
        <f>IF('FUENTE NO BORRAR'!D166="","",'FUENTE NO BORRAR'!D166)</f>
        <v/>
      </c>
      <c r="E172" s="5" t="str">
        <f>IF('FUENTE NO BORRAR'!E166="","",'FUENTE NO BORRAR'!E166)</f>
        <v/>
      </c>
      <c r="F172" s="6" t="str">
        <f>IF('FUENTE NO BORRAR'!F166="","",IF('FUENTE NO BORRAR'!$A166&lt;&gt;"Resultado total",('FUENTE NO BORRAR'!F166),""))</f>
        <v/>
      </c>
      <c r="G172" s="6" t="str">
        <f>IF('FUENTE NO BORRAR'!G166="","",IF('FUENTE NO BORRAR'!$A166&lt;&gt;"Resultado total",('FUENTE NO BORRAR'!G166),""))</f>
        <v/>
      </c>
      <c r="H172" s="6" t="str">
        <f>IF('FUENTE NO BORRAR'!H166="","",IF('FUENTE NO BORRAR'!$A166&lt;&gt;"Resultado total",('FUENTE NO BORRAR'!H166),""))</f>
        <v/>
      </c>
      <c r="I172" s="6" t="str">
        <f>IF('FUENTE NO BORRAR'!I166="","",IF('FUENTE NO BORRAR'!$A166&lt;&gt;"Resultado total",('FUENTE NO BORRAR'!I166),""))</f>
        <v/>
      </c>
    </row>
    <row r="173" spans="1:9" x14ac:dyDescent="0.2">
      <c r="A173" s="5" t="str">
        <f>IF('FUENTE NO BORRAR'!A167="","",(IF('FUENTE NO BORRAR'!A167&lt;&gt;"Resultado total",'FUENTE NO BORRAR'!A167,"")))</f>
        <v/>
      </c>
      <c r="B173" s="5" t="str">
        <f>IF('FUENTE NO BORRAR'!B167="","",'FUENTE NO BORRAR'!B167)</f>
        <v/>
      </c>
      <c r="C173" s="5" t="str">
        <f>IF('FUENTE NO BORRAR'!C167="","",'FUENTE NO BORRAR'!C167)</f>
        <v/>
      </c>
      <c r="D173" s="5" t="str">
        <f>IF('FUENTE NO BORRAR'!D167="","",'FUENTE NO BORRAR'!D167)</f>
        <v/>
      </c>
      <c r="E173" s="5" t="str">
        <f>IF('FUENTE NO BORRAR'!E167="","",'FUENTE NO BORRAR'!E167)</f>
        <v/>
      </c>
      <c r="F173" s="6" t="str">
        <f>IF('FUENTE NO BORRAR'!F167="","",IF('FUENTE NO BORRAR'!$A167&lt;&gt;"Resultado total",('FUENTE NO BORRAR'!F167),""))</f>
        <v/>
      </c>
      <c r="G173" s="6" t="str">
        <f>IF('FUENTE NO BORRAR'!G167="","",IF('FUENTE NO BORRAR'!$A167&lt;&gt;"Resultado total",('FUENTE NO BORRAR'!G167),""))</f>
        <v/>
      </c>
      <c r="H173" s="6" t="str">
        <f>IF('FUENTE NO BORRAR'!H167="","",IF('FUENTE NO BORRAR'!$A167&lt;&gt;"Resultado total",('FUENTE NO BORRAR'!H167),""))</f>
        <v/>
      </c>
      <c r="I173" s="6" t="str">
        <f>IF('FUENTE NO BORRAR'!I167="","",IF('FUENTE NO BORRAR'!$A167&lt;&gt;"Resultado total",('FUENTE NO BORRAR'!I167),""))</f>
        <v/>
      </c>
    </row>
    <row r="174" spans="1:9" x14ac:dyDescent="0.2">
      <c r="A174" s="5" t="str">
        <f>IF('FUENTE NO BORRAR'!A168="","",(IF('FUENTE NO BORRAR'!A168&lt;&gt;"Resultado total",'FUENTE NO BORRAR'!A168,"")))</f>
        <v/>
      </c>
      <c r="B174" s="5" t="str">
        <f>IF('FUENTE NO BORRAR'!B168="","",'FUENTE NO BORRAR'!B168)</f>
        <v/>
      </c>
      <c r="C174" s="5" t="str">
        <f>IF('FUENTE NO BORRAR'!C168="","",'FUENTE NO BORRAR'!C168)</f>
        <v/>
      </c>
      <c r="D174" s="5" t="str">
        <f>IF('FUENTE NO BORRAR'!D168="","",'FUENTE NO BORRAR'!D168)</f>
        <v/>
      </c>
      <c r="E174" s="5" t="str">
        <f>IF('FUENTE NO BORRAR'!E168="","",'FUENTE NO BORRAR'!E168)</f>
        <v/>
      </c>
      <c r="F174" s="6" t="str">
        <f>IF('FUENTE NO BORRAR'!F168="","",IF('FUENTE NO BORRAR'!$A168&lt;&gt;"Resultado total",('FUENTE NO BORRAR'!F168),""))</f>
        <v/>
      </c>
      <c r="G174" s="6" t="str">
        <f>IF('FUENTE NO BORRAR'!G168="","",IF('FUENTE NO BORRAR'!$A168&lt;&gt;"Resultado total",('FUENTE NO BORRAR'!G168),""))</f>
        <v/>
      </c>
      <c r="H174" s="6" t="str">
        <f>IF('FUENTE NO BORRAR'!H168="","",IF('FUENTE NO BORRAR'!$A168&lt;&gt;"Resultado total",('FUENTE NO BORRAR'!H168),""))</f>
        <v/>
      </c>
      <c r="I174" s="6" t="str">
        <f>IF('FUENTE NO BORRAR'!I168="","",IF('FUENTE NO BORRAR'!$A168&lt;&gt;"Resultado total",('FUENTE NO BORRAR'!I168),""))</f>
        <v/>
      </c>
    </row>
    <row r="175" spans="1:9" x14ac:dyDescent="0.2">
      <c r="A175" s="5" t="str">
        <f>IF('FUENTE NO BORRAR'!A169="","",(IF('FUENTE NO BORRAR'!A169&lt;&gt;"Resultado total",'FUENTE NO BORRAR'!A169,"")))</f>
        <v/>
      </c>
      <c r="B175" s="5" t="str">
        <f>IF('FUENTE NO BORRAR'!B169="","",'FUENTE NO BORRAR'!B169)</f>
        <v/>
      </c>
      <c r="C175" s="5" t="str">
        <f>IF('FUENTE NO BORRAR'!C169="","",'FUENTE NO BORRAR'!C169)</f>
        <v/>
      </c>
      <c r="D175" s="5" t="str">
        <f>IF('FUENTE NO BORRAR'!D169="","",'FUENTE NO BORRAR'!D169)</f>
        <v/>
      </c>
      <c r="E175" s="5" t="str">
        <f>IF('FUENTE NO BORRAR'!E169="","",'FUENTE NO BORRAR'!E169)</f>
        <v/>
      </c>
      <c r="F175" s="6" t="str">
        <f>IF('FUENTE NO BORRAR'!F169="","",IF('FUENTE NO BORRAR'!$A169&lt;&gt;"Resultado total",('FUENTE NO BORRAR'!F169),""))</f>
        <v/>
      </c>
      <c r="G175" s="6" t="str">
        <f>IF('FUENTE NO BORRAR'!G169="","",IF('FUENTE NO BORRAR'!$A169&lt;&gt;"Resultado total",('FUENTE NO BORRAR'!G169),""))</f>
        <v/>
      </c>
      <c r="H175" s="6" t="str">
        <f>IF('FUENTE NO BORRAR'!H169="","",IF('FUENTE NO BORRAR'!$A169&lt;&gt;"Resultado total",('FUENTE NO BORRAR'!H169),""))</f>
        <v/>
      </c>
      <c r="I175" s="6" t="str">
        <f>IF('FUENTE NO BORRAR'!I169="","",IF('FUENTE NO BORRAR'!$A169&lt;&gt;"Resultado total",('FUENTE NO BORRAR'!I169),""))</f>
        <v/>
      </c>
    </row>
    <row r="176" spans="1:9" x14ac:dyDescent="0.2">
      <c r="A176" s="5" t="str">
        <f>IF('FUENTE NO BORRAR'!A170="","",(IF('FUENTE NO BORRAR'!A170&lt;&gt;"Resultado total",'FUENTE NO BORRAR'!A170,"")))</f>
        <v/>
      </c>
      <c r="B176" s="5" t="str">
        <f>IF('FUENTE NO BORRAR'!B170="","",'FUENTE NO BORRAR'!B170)</f>
        <v/>
      </c>
      <c r="C176" s="5" t="str">
        <f>IF('FUENTE NO BORRAR'!C170="","",'FUENTE NO BORRAR'!C170)</f>
        <v/>
      </c>
      <c r="D176" s="5" t="str">
        <f>IF('FUENTE NO BORRAR'!D170="","",'FUENTE NO BORRAR'!D170)</f>
        <v/>
      </c>
      <c r="E176" s="5" t="str">
        <f>IF('FUENTE NO BORRAR'!E170="","",'FUENTE NO BORRAR'!E170)</f>
        <v/>
      </c>
      <c r="F176" s="6" t="str">
        <f>IF('FUENTE NO BORRAR'!F170="","",IF('FUENTE NO BORRAR'!$A170&lt;&gt;"Resultado total",('FUENTE NO BORRAR'!F170),""))</f>
        <v/>
      </c>
      <c r="G176" s="6" t="str">
        <f>IF('FUENTE NO BORRAR'!G170="","",IF('FUENTE NO BORRAR'!$A170&lt;&gt;"Resultado total",('FUENTE NO BORRAR'!G170),""))</f>
        <v/>
      </c>
      <c r="H176" s="6" t="str">
        <f>IF('FUENTE NO BORRAR'!H170="","",IF('FUENTE NO BORRAR'!$A170&lt;&gt;"Resultado total",('FUENTE NO BORRAR'!H170),""))</f>
        <v/>
      </c>
      <c r="I176" s="6" t="str">
        <f>IF('FUENTE NO BORRAR'!I170="","",IF('FUENTE NO BORRAR'!$A170&lt;&gt;"Resultado total",('FUENTE NO BORRAR'!I170),""))</f>
        <v/>
      </c>
    </row>
    <row r="177" spans="1:9" x14ac:dyDescent="0.2">
      <c r="A177" s="5" t="str">
        <f>IF('FUENTE NO BORRAR'!A171="","",(IF('FUENTE NO BORRAR'!A171&lt;&gt;"Resultado total",'FUENTE NO BORRAR'!A171,"")))</f>
        <v/>
      </c>
      <c r="B177" s="5" t="str">
        <f>IF('FUENTE NO BORRAR'!B171="","",'FUENTE NO BORRAR'!B171)</f>
        <v/>
      </c>
      <c r="C177" s="5" t="str">
        <f>IF('FUENTE NO BORRAR'!C171="","",'FUENTE NO BORRAR'!C171)</f>
        <v/>
      </c>
      <c r="D177" s="5" t="str">
        <f>IF('FUENTE NO BORRAR'!D171="","",'FUENTE NO BORRAR'!D171)</f>
        <v/>
      </c>
      <c r="E177" s="5" t="str">
        <f>IF('FUENTE NO BORRAR'!E171="","",'FUENTE NO BORRAR'!E171)</f>
        <v/>
      </c>
      <c r="F177" s="6" t="str">
        <f>IF('FUENTE NO BORRAR'!F171="","",IF('FUENTE NO BORRAR'!$A171&lt;&gt;"Resultado total",('FUENTE NO BORRAR'!F171),""))</f>
        <v/>
      </c>
      <c r="G177" s="6" t="str">
        <f>IF('FUENTE NO BORRAR'!G171="","",IF('FUENTE NO BORRAR'!$A171&lt;&gt;"Resultado total",('FUENTE NO BORRAR'!G171),""))</f>
        <v/>
      </c>
      <c r="H177" s="6" t="str">
        <f>IF('FUENTE NO BORRAR'!H171="","",IF('FUENTE NO BORRAR'!$A171&lt;&gt;"Resultado total",('FUENTE NO BORRAR'!H171),""))</f>
        <v/>
      </c>
      <c r="I177" s="6" t="str">
        <f>IF('FUENTE NO BORRAR'!I171="","",IF('FUENTE NO BORRAR'!$A171&lt;&gt;"Resultado total",('FUENTE NO BORRAR'!I171),""))</f>
        <v/>
      </c>
    </row>
    <row r="178" spans="1:9" x14ac:dyDescent="0.2">
      <c r="A178" s="5" t="str">
        <f>IF('FUENTE NO BORRAR'!A172="","",(IF('FUENTE NO BORRAR'!A172&lt;&gt;"Resultado total",'FUENTE NO BORRAR'!A172,"")))</f>
        <v/>
      </c>
      <c r="B178" s="5" t="str">
        <f>IF('FUENTE NO BORRAR'!B172="","",'FUENTE NO BORRAR'!B172)</f>
        <v/>
      </c>
      <c r="C178" s="5" t="str">
        <f>IF('FUENTE NO BORRAR'!C172="","",'FUENTE NO BORRAR'!C172)</f>
        <v/>
      </c>
      <c r="D178" s="5" t="str">
        <f>IF('FUENTE NO BORRAR'!D172="","",'FUENTE NO BORRAR'!D172)</f>
        <v/>
      </c>
      <c r="E178" s="5" t="str">
        <f>IF('FUENTE NO BORRAR'!E172="","",'FUENTE NO BORRAR'!E172)</f>
        <v/>
      </c>
      <c r="F178" s="6" t="str">
        <f>IF('FUENTE NO BORRAR'!F172="","",IF('FUENTE NO BORRAR'!$A172&lt;&gt;"Resultado total",('FUENTE NO BORRAR'!F172),""))</f>
        <v/>
      </c>
      <c r="G178" s="6" t="str">
        <f>IF('FUENTE NO BORRAR'!G172="","",IF('FUENTE NO BORRAR'!$A172&lt;&gt;"Resultado total",('FUENTE NO BORRAR'!G172),""))</f>
        <v/>
      </c>
      <c r="H178" s="6" t="str">
        <f>IF('FUENTE NO BORRAR'!H172="","",IF('FUENTE NO BORRAR'!$A172&lt;&gt;"Resultado total",('FUENTE NO BORRAR'!H172),""))</f>
        <v/>
      </c>
      <c r="I178" s="6" t="str">
        <f>IF('FUENTE NO BORRAR'!I172="","",IF('FUENTE NO BORRAR'!$A172&lt;&gt;"Resultado total",('FUENTE NO BORRAR'!I172),""))</f>
        <v/>
      </c>
    </row>
    <row r="179" spans="1:9" x14ac:dyDescent="0.2">
      <c r="A179" s="5" t="str">
        <f>IF('FUENTE NO BORRAR'!A173="","",(IF('FUENTE NO BORRAR'!A173&lt;&gt;"Resultado total",'FUENTE NO BORRAR'!A173,"")))</f>
        <v/>
      </c>
      <c r="B179" s="5" t="str">
        <f>IF('FUENTE NO BORRAR'!B173="","",'FUENTE NO BORRAR'!B173)</f>
        <v/>
      </c>
      <c r="C179" s="5" t="str">
        <f>IF('FUENTE NO BORRAR'!C173="","",'FUENTE NO BORRAR'!C173)</f>
        <v/>
      </c>
      <c r="D179" s="5" t="str">
        <f>IF('FUENTE NO BORRAR'!D173="","",'FUENTE NO BORRAR'!D173)</f>
        <v/>
      </c>
      <c r="E179" s="5" t="str">
        <f>IF('FUENTE NO BORRAR'!E173="","",'FUENTE NO BORRAR'!E173)</f>
        <v/>
      </c>
      <c r="F179" s="6" t="str">
        <f>IF('FUENTE NO BORRAR'!F173="","",IF('FUENTE NO BORRAR'!$A173&lt;&gt;"Resultado total",('FUENTE NO BORRAR'!F173),""))</f>
        <v/>
      </c>
      <c r="G179" s="6" t="str">
        <f>IF('FUENTE NO BORRAR'!G173="","",IF('FUENTE NO BORRAR'!$A173&lt;&gt;"Resultado total",('FUENTE NO BORRAR'!G173),""))</f>
        <v/>
      </c>
      <c r="H179" s="6" t="str">
        <f>IF('FUENTE NO BORRAR'!H173="","",IF('FUENTE NO BORRAR'!$A173&lt;&gt;"Resultado total",('FUENTE NO BORRAR'!H173),""))</f>
        <v/>
      </c>
      <c r="I179" s="6" t="str">
        <f>IF('FUENTE NO BORRAR'!I173="","",IF('FUENTE NO BORRAR'!$A173&lt;&gt;"Resultado total",('FUENTE NO BORRAR'!I173),""))</f>
        <v/>
      </c>
    </row>
    <row r="180" spans="1:9" x14ac:dyDescent="0.2">
      <c r="A180" s="5"/>
      <c r="B180" s="5"/>
      <c r="C180" s="5"/>
      <c r="D180" s="5"/>
      <c r="E180" s="5"/>
      <c r="F180" s="6"/>
      <c r="G180" s="6"/>
      <c r="H180" s="6"/>
      <c r="I180" s="6"/>
    </row>
    <row r="181" spans="1:9" x14ac:dyDescent="0.2">
      <c r="A181" s="5"/>
      <c r="B181" s="5"/>
      <c r="C181" s="5"/>
      <c r="D181" s="5"/>
      <c r="E181" s="5"/>
      <c r="F181" s="6"/>
      <c r="G181" s="6"/>
      <c r="H181" s="6"/>
      <c r="I181" s="6"/>
    </row>
    <row r="182" spans="1:9" x14ac:dyDescent="0.2">
      <c r="A182" s="5"/>
      <c r="B182" s="5"/>
      <c r="C182" s="5"/>
      <c r="D182" s="5"/>
      <c r="E182" s="5"/>
      <c r="F182" s="6"/>
      <c r="G182" s="6"/>
      <c r="H182" s="6"/>
      <c r="I182" s="6"/>
    </row>
    <row r="183" spans="1:9" x14ac:dyDescent="0.2">
      <c r="A183" s="5"/>
      <c r="B183" s="5"/>
      <c r="C183" s="5"/>
      <c r="D183" s="5"/>
      <c r="E183" s="5"/>
      <c r="F183" s="6"/>
      <c r="G183" s="6"/>
      <c r="H183" s="6"/>
      <c r="I183" s="6"/>
    </row>
    <row r="184" spans="1:9" x14ac:dyDescent="0.2">
      <c r="A184" s="5" t="str">
        <f>IF('FUENTE NO BORRAR'!A202="","",(IF('FUENTE NO BORRAR'!A202&lt;&gt;"Resultado total",'FUENTE NO BORRAR'!A202,"")))</f>
        <v>16</v>
      </c>
      <c r="B184" s="5" t="str">
        <f>IF('FUENTE NO BORRAR'!B202="","",'FUENTE NO BORRAR'!B202)</f>
        <v>E</v>
      </c>
      <c r="C184" s="5" t="str">
        <f>IF('FUENTE NO BORRAR'!C202="","",'FUENTE NO BORRAR'!C202)</f>
        <v>22013082E208</v>
      </c>
      <c r="D184" s="5" t="str">
        <f>IF('FUENTE NO BORRAR'!D202="","",'FUENTE NO BORRAR'!D202)</f>
        <v>22013082E208</v>
      </c>
      <c r="E184" s="5" t="str">
        <f>IF('FUENTE NO BORRAR'!E202="","",'FUENTE NO BORRAR'!E202)</f>
        <v/>
      </c>
      <c r="F184" s="6" t="str">
        <f>IF('FUENTE NO BORRAR'!F202="","",IF('FUENTE NO BORRAR'!$A202&lt;&gt;"Resultado total",('FUENTE NO BORRAR'!F202),""))</f>
        <v/>
      </c>
      <c r="G184" s="6">
        <f>IF('FUENTE NO BORRAR'!G202="","",IF('FUENTE NO BORRAR'!$A202&lt;&gt;"Resultado total",('FUENTE NO BORRAR'!G202),""))</f>
        <v>0</v>
      </c>
      <c r="H184" s="6">
        <f>IF('FUENTE NO BORRAR'!H202="","",IF('FUENTE NO BORRAR'!$A202&lt;&gt;"Resultado total",('FUENTE NO BORRAR'!H202),""))</f>
        <v>0</v>
      </c>
      <c r="I184" s="6">
        <f>IF('FUENTE NO BORRAR'!I202="","",IF('FUENTE NO BORRAR'!$A202&lt;&gt;"Resultado total",('FUENTE NO BORRAR'!I202),""))</f>
        <v>0</v>
      </c>
    </row>
    <row r="185" spans="1:9" x14ac:dyDescent="0.2">
      <c r="A185" s="5" t="str">
        <f>IF('FUENTE NO BORRAR'!A203="","",(IF('FUENTE NO BORRAR'!A203&lt;&gt;"Resultado total",'FUENTE NO BORRAR'!A203,"")))</f>
        <v/>
      </c>
      <c r="B185" s="5" t="str">
        <f>IF('FUENTE NO BORRAR'!B203="","",'FUENTE NO BORRAR'!B203)</f>
        <v>M</v>
      </c>
      <c r="C185" s="5" t="str">
        <f>IF('FUENTE NO BORRAR'!C203="","",'FUENTE NO BORRAR'!C203)</f>
        <v>15015032M101</v>
      </c>
      <c r="D185" s="5" t="str">
        <f>IF('FUENTE NO BORRAR'!D203="","",'FUENTE NO BORRAR'!D203)</f>
        <v>15015032M101</v>
      </c>
      <c r="E185" s="5" t="str">
        <f>IF('FUENTE NO BORRAR'!E203="","",'FUENTE NO BORRAR'!E203)</f>
        <v/>
      </c>
      <c r="F185" s="6">
        <f>IF('FUENTE NO BORRAR'!F203="","",IF('FUENTE NO BORRAR'!$A203&lt;&gt;"Resultado total",('FUENTE NO BORRAR'!F203),""))</f>
        <v>147196.23000000001</v>
      </c>
      <c r="G185" s="6">
        <f>IF('FUENTE NO BORRAR'!G203="","",IF('FUENTE NO BORRAR'!$A203&lt;&gt;"Resultado total",('FUENTE NO BORRAR'!G203),""))</f>
        <v>147196.23000000001</v>
      </c>
      <c r="H185" s="6">
        <f>IF('FUENTE NO BORRAR'!H203="","",IF('FUENTE NO BORRAR'!$A203&lt;&gt;"Resultado total",('FUENTE NO BORRAR'!H203),""))</f>
        <v>147196.23000000001</v>
      </c>
      <c r="I185" s="6">
        <f>IF('FUENTE NO BORRAR'!I203="","",IF('FUENTE NO BORRAR'!$A203&lt;&gt;"Resultado total",('FUENTE NO BORRAR'!I203),""))</f>
        <v>0</v>
      </c>
    </row>
    <row r="186" spans="1:9" x14ac:dyDescent="0.2">
      <c r="A186" s="5" t="str">
        <f>IF('FUENTE NO BORRAR'!A204="","",(IF('FUENTE NO BORRAR'!A204&lt;&gt;"Resultado total",'FUENTE NO BORRAR'!A204,"")))</f>
        <v/>
      </c>
      <c r="B186" s="5" t="str">
        <f>IF('FUENTE NO BORRAR'!B204="","",'FUENTE NO BORRAR'!B204)</f>
        <v/>
      </c>
      <c r="C186" s="5" t="str">
        <f>IF('FUENTE NO BORRAR'!C204="","",'FUENTE NO BORRAR'!C204)</f>
        <v>15015041M101</v>
      </c>
      <c r="D186" s="5" t="str">
        <f>IF('FUENTE NO BORRAR'!D204="","",'FUENTE NO BORRAR'!D204)</f>
        <v>15015041M101</v>
      </c>
      <c r="E186" s="5" t="str">
        <f>IF('FUENTE NO BORRAR'!E204="","",'FUENTE NO BORRAR'!E204)</f>
        <v/>
      </c>
      <c r="F186" s="6">
        <f>IF('FUENTE NO BORRAR'!F204="","",IF('FUENTE NO BORRAR'!$A204&lt;&gt;"Resultado total",('FUENTE NO BORRAR'!F204),""))</f>
        <v>3820</v>
      </c>
      <c r="G186" s="6">
        <f>IF('FUENTE NO BORRAR'!G204="","",IF('FUENTE NO BORRAR'!$A204&lt;&gt;"Resultado total",('FUENTE NO BORRAR'!G204),""))</f>
        <v>3820</v>
      </c>
      <c r="H186" s="6">
        <f>IF('FUENTE NO BORRAR'!H204="","",IF('FUENTE NO BORRAR'!$A204&lt;&gt;"Resultado total",('FUENTE NO BORRAR'!H204),""))</f>
        <v>3820</v>
      </c>
      <c r="I186" s="6">
        <f>IF('FUENTE NO BORRAR'!I204="","",IF('FUENTE NO BORRAR'!$A204&lt;&gt;"Resultado total",('FUENTE NO BORRAR'!I204),""))</f>
        <v>0</v>
      </c>
    </row>
    <row r="187" spans="1:9" x14ac:dyDescent="0.2">
      <c r="A187" s="5" t="str">
        <f>IF('FUENTE NO BORRAR'!A205="","",(IF('FUENTE NO BORRAR'!A205&lt;&gt;"Resultado total",'FUENTE NO BORRAR'!A205,"")))</f>
        <v/>
      </c>
      <c r="B187" s="5" t="str">
        <f>IF('FUENTE NO BORRAR'!B205="","",'FUENTE NO BORRAR'!B205)</f>
        <v/>
      </c>
      <c r="C187" s="5" t="str">
        <f>IF('FUENTE NO BORRAR'!C205="","",'FUENTE NO BORRAR'!C205)</f>
        <v/>
      </c>
      <c r="D187" s="5" t="str">
        <f>IF('FUENTE NO BORRAR'!D205="","",'FUENTE NO BORRAR'!D205)</f>
        <v/>
      </c>
      <c r="E187" s="5" t="str">
        <f>IF('FUENTE NO BORRAR'!E205="","",'FUENTE NO BORRAR'!E205)</f>
        <v/>
      </c>
      <c r="F187" s="6">
        <f>IF('FUENTE NO BORRAR'!F205="","",IF('FUENTE NO BORRAR'!$A205&lt;&gt;"Resultado total",('FUENTE NO BORRAR'!F205),""))</f>
        <v>23212</v>
      </c>
      <c r="G187" s="6">
        <f>IF('FUENTE NO BORRAR'!G205="","",IF('FUENTE NO BORRAR'!$A205&lt;&gt;"Resultado total",('FUENTE NO BORRAR'!G205),""))</f>
        <v>2203</v>
      </c>
      <c r="H187" s="6">
        <f>IF('FUENTE NO BORRAR'!H205="","",IF('FUENTE NO BORRAR'!$A205&lt;&gt;"Resultado total",('FUENTE NO BORRAR'!H205),""))</f>
        <v>2203</v>
      </c>
      <c r="I187" s="6">
        <f>IF('FUENTE NO BORRAR'!I205="","",IF('FUENTE NO BORRAR'!$A205&lt;&gt;"Resultado total",('FUENTE NO BORRAR'!I205),""))</f>
        <v>21009</v>
      </c>
    </row>
    <row r="188" spans="1:9" x14ac:dyDescent="0.2">
      <c r="A188" s="5" t="str">
        <f>IF('FUENTE NO BORRAR'!A206="","",(IF('FUENTE NO BORRAR'!A206&lt;&gt;"Resultado total",'FUENTE NO BORRAR'!A206,"")))</f>
        <v/>
      </c>
      <c r="B188" s="5" t="str">
        <f>IF('FUENTE NO BORRAR'!B206="","",'FUENTE NO BORRAR'!B206)</f>
        <v/>
      </c>
      <c r="C188" s="5" t="str">
        <f>IF('FUENTE NO BORRAR'!C206="","",'FUENTE NO BORRAR'!C206)</f>
        <v/>
      </c>
      <c r="D188" s="5" t="str">
        <f>IF('FUENTE NO BORRAR'!D206="","",'FUENTE NO BORRAR'!D206)</f>
        <v/>
      </c>
      <c r="E188" s="5" t="str">
        <f>IF('FUENTE NO BORRAR'!E206="","",'FUENTE NO BORRAR'!E206)</f>
        <v/>
      </c>
      <c r="F188" s="6">
        <f>IF('FUENTE NO BORRAR'!F206="","",IF('FUENTE NO BORRAR'!$A206&lt;&gt;"Resultado total",('FUENTE NO BORRAR'!F206),""))</f>
        <v>7735</v>
      </c>
      <c r="G188" s="6">
        <f>IF('FUENTE NO BORRAR'!G206="","",IF('FUENTE NO BORRAR'!$A206&lt;&gt;"Resultado total",('FUENTE NO BORRAR'!G206),""))</f>
        <v>781</v>
      </c>
      <c r="H188" s="6">
        <f>IF('FUENTE NO BORRAR'!H206="","",IF('FUENTE NO BORRAR'!$A206&lt;&gt;"Resultado total",('FUENTE NO BORRAR'!H206),""))</f>
        <v>781</v>
      </c>
      <c r="I188" s="6">
        <f>IF('FUENTE NO BORRAR'!I206="","",IF('FUENTE NO BORRAR'!$A206&lt;&gt;"Resultado total",('FUENTE NO BORRAR'!I206),""))</f>
        <v>6954</v>
      </c>
    </row>
    <row r="189" spans="1:9" x14ac:dyDescent="0.2">
      <c r="A189" s="5" t="str">
        <f>IF('FUENTE NO BORRAR'!A207="","",(IF('FUENTE NO BORRAR'!A207&lt;&gt;"Resultado total",'FUENTE NO BORRAR'!A207,"")))</f>
        <v/>
      </c>
      <c r="B189" s="5" t="str">
        <f>IF('FUENTE NO BORRAR'!B207="","",'FUENTE NO BORRAR'!B207)</f>
        <v/>
      </c>
      <c r="C189" s="5" t="str">
        <f>IF('FUENTE NO BORRAR'!C207="","",'FUENTE NO BORRAR'!C207)</f>
        <v>18015041M103</v>
      </c>
      <c r="D189" s="5" t="str">
        <f>IF('FUENTE NO BORRAR'!D207="","",'FUENTE NO BORRAR'!D207)</f>
        <v>CONTROL FIN Y ADMÓN</v>
      </c>
      <c r="E189" s="5" t="str">
        <f>IF('FUENTE NO BORRAR'!E207="","",'FUENTE NO BORRAR'!E207)</f>
        <v/>
      </c>
      <c r="F189" s="6">
        <f>IF('FUENTE NO BORRAR'!F207="","",IF('FUENTE NO BORRAR'!$A207&lt;&gt;"Resultado total",('FUENTE NO BORRAR'!F207),""))</f>
        <v>2093.2199999999998</v>
      </c>
      <c r="G189" s="6">
        <f>IF('FUENTE NO BORRAR'!G207="","",IF('FUENTE NO BORRAR'!$A207&lt;&gt;"Resultado total",('FUENTE NO BORRAR'!G207),""))</f>
        <v>2093.2199999999998</v>
      </c>
      <c r="H189" s="6">
        <f>IF('FUENTE NO BORRAR'!H207="","",IF('FUENTE NO BORRAR'!$A207&lt;&gt;"Resultado total",('FUENTE NO BORRAR'!H207),""))</f>
        <v>2093.2199999999998</v>
      </c>
      <c r="I189" s="6">
        <f>IF('FUENTE NO BORRAR'!I207="","",IF('FUENTE NO BORRAR'!$A207&lt;&gt;"Resultado total",('FUENTE NO BORRAR'!I207),""))</f>
        <v>0</v>
      </c>
    </row>
    <row r="190" spans="1:9" x14ac:dyDescent="0.2">
      <c r="A190" s="5" t="str">
        <f>IF('FUENTE NO BORRAR'!A208="","",(IF('FUENTE NO BORRAR'!A208&lt;&gt;"Resultado total",'FUENTE NO BORRAR'!A208,"")))</f>
        <v>17</v>
      </c>
      <c r="B190" s="5" t="str">
        <f>IF('FUENTE NO BORRAR'!B208="","",'FUENTE NO BORRAR'!B208)</f>
        <v>E</v>
      </c>
      <c r="C190" s="5" t="str">
        <f>IF('FUENTE NO BORRAR'!C208="","",'FUENTE NO BORRAR'!C208)</f>
        <v>12021071E209</v>
      </c>
      <c r="D190" s="5" t="str">
        <f>IF('FUENTE NO BORRAR'!D208="","",'FUENTE NO BORRAR'!D208)</f>
        <v>12021071E209</v>
      </c>
      <c r="E190" s="5" t="str">
        <f>IF('FUENTE NO BORRAR'!E208="","",'FUENTE NO BORRAR'!E208)</f>
        <v/>
      </c>
      <c r="F190" s="6">
        <f>IF('FUENTE NO BORRAR'!F208="","",IF('FUENTE NO BORRAR'!$A208&lt;&gt;"Resultado total",('FUENTE NO BORRAR'!F208),""))</f>
        <v>250102.16</v>
      </c>
      <c r="G190" s="6">
        <f>IF('FUENTE NO BORRAR'!G208="","",IF('FUENTE NO BORRAR'!$A208&lt;&gt;"Resultado total",('FUENTE NO BORRAR'!G208),""))</f>
        <v>250102.16</v>
      </c>
      <c r="H190" s="6">
        <f>IF('FUENTE NO BORRAR'!H208="","",IF('FUENTE NO BORRAR'!$A208&lt;&gt;"Resultado total",('FUENTE NO BORRAR'!H208),""))</f>
        <v>250102.16</v>
      </c>
      <c r="I190" s="6">
        <f>IF('FUENTE NO BORRAR'!I208="","",IF('FUENTE NO BORRAR'!$A208&lt;&gt;"Resultado total",('FUENTE NO BORRAR'!I208),""))</f>
        <v>0</v>
      </c>
    </row>
    <row r="191" spans="1:9" x14ac:dyDescent="0.2">
      <c r="A191" s="5" t="str">
        <f>IF('FUENTE NO BORRAR'!A209="","",(IF('FUENTE NO BORRAR'!A209&lt;&gt;"Resultado total",'FUENTE NO BORRAR'!A209,"")))</f>
        <v/>
      </c>
      <c r="B191" s="5" t="str">
        <f>IF('FUENTE NO BORRAR'!B209="","",'FUENTE NO BORRAR'!B209)</f>
        <v/>
      </c>
      <c r="C191" s="5" t="str">
        <f>IF('FUENTE NO BORRAR'!C209="","",'FUENTE NO BORRAR'!C209)</f>
        <v/>
      </c>
      <c r="D191" s="5" t="str">
        <f>IF('FUENTE NO BORRAR'!D209="","",'FUENTE NO BORRAR'!D209)</f>
        <v/>
      </c>
      <c r="E191" s="5" t="str">
        <f>IF('FUENTE NO BORRAR'!E209="","",'FUENTE NO BORRAR'!E209)</f>
        <v/>
      </c>
      <c r="F191" s="6">
        <f>IF('FUENTE NO BORRAR'!F209="","",IF('FUENTE NO BORRAR'!$A209&lt;&gt;"Resultado total",('FUENTE NO BORRAR'!F209),""))</f>
        <v>1550609.65</v>
      </c>
      <c r="G191" s="6">
        <f>IF('FUENTE NO BORRAR'!G209="","",IF('FUENTE NO BORRAR'!$A209&lt;&gt;"Resultado total",('FUENTE NO BORRAR'!G209),""))</f>
        <v>1550609.65</v>
      </c>
      <c r="H191" s="6">
        <f>IF('FUENTE NO BORRAR'!H209="","",IF('FUENTE NO BORRAR'!$A209&lt;&gt;"Resultado total",('FUENTE NO BORRAR'!H209),""))</f>
        <v>1550609.65</v>
      </c>
      <c r="I191" s="6">
        <f>IF('FUENTE NO BORRAR'!I209="","",IF('FUENTE NO BORRAR'!$A209&lt;&gt;"Resultado total",('FUENTE NO BORRAR'!I209),""))</f>
        <v>0</v>
      </c>
    </row>
    <row r="192" spans="1:9" x14ac:dyDescent="0.2">
      <c r="A192" s="5" t="str">
        <f>IF('FUENTE NO BORRAR'!A210="","",(IF('FUENTE NO BORRAR'!A210&lt;&gt;"Resultado total",'FUENTE NO BORRAR'!A210,"")))</f>
        <v/>
      </c>
      <c r="B192" s="5" t="str">
        <f>IF('FUENTE NO BORRAR'!B210="","",'FUENTE NO BORRAR'!B210)</f>
        <v/>
      </c>
      <c r="C192" s="5" t="str">
        <f>IF('FUENTE NO BORRAR'!C210="","",'FUENTE NO BORRAR'!C210)</f>
        <v/>
      </c>
      <c r="D192" s="5" t="str">
        <f>IF('FUENTE NO BORRAR'!D210="","",'FUENTE NO BORRAR'!D210)</f>
        <v/>
      </c>
      <c r="E192" s="5" t="str">
        <f>IF('FUENTE NO BORRAR'!E210="","",'FUENTE NO BORRAR'!E210)</f>
        <v/>
      </c>
      <c r="F192" s="6">
        <f>IF('FUENTE NO BORRAR'!F210="","",IF('FUENTE NO BORRAR'!$A210&lt;&gt;"Resultado total",('FUENTE NO BORRAR'!F210),""))</f>
        <v>76400.05</v>
      </c>
      <c r="G192" s="6">
        <f>IF('FUENTE NO BORRAR'!G210="","",IF('FUENTE NO BORRAR'!$A210&lt;&gt;"Resultado total",('FUENTE NO BORRAR'!G210),""))</f>
        <v>76400.05</v>
      </c>
      <c r="H192" s="6">
        <f>IF('FUENTE NO BORRAR'!H210="","",IF('FUENTE NO BORRAR'!$A210&lt;&gt;"Resultado total",('FUENTE NO BORRAR'!H210),""))</f>
        <v>76400.05</v>
      </c>
      <c r="I192" s="6">
        <f>IF('FUENTE NO BORRAR'!I210="","",IF('FUENTE NO BORRAR'!$A210&lt;&gt;"Resultado total",('FUENTE NO BORRAR'!I210),""))</f>
        <v>0</v>
      </c>
    </row>
    <row r="193" spans="1:9" x14ac:dyDescent="0.2">
      <c r="A193" s="5" t="str">
        <f>IF('FUENTE NO BORRAR'!A211="","",(IF('FUENTE NO BORRAR'!A211&lt;&gt;"Resultado total",'FUENTE NO BORRAR'!A211,"")))</f>
        <v/>
      </c>
      <c r="B193" s="5" t="str">
        <f>IF('FUENTE NO BORRAR'!B211="","",'FUENTE NO BORRAR'!B211)</f>
        <v/>
      </c>
      <c r="C193" s="5" t="str">
        <f>IF('FUENTE NO BORRAR'!C211="","",'FUENTE NO BORRAR'!C211)</f>
        <v/>
      </c>
      <c r="D193" s="5" t="str">
        <f>IF('FUENTE NO BORRAR'!D211="","",'FUENTE NO BORRAR'!D211)</f>
        <v/>
      </c>
      <c r="E193" s="5" t="str">
        <f>IF('FUENTE NO BORRAR'!E211="","",'FUENTE NO BORRAR'!E211)</f>
        <v/>
      </c>
      <c r="F193" s="6">
        <f>IF('FUENTE NO BORRAR'!F211="","",IF('FUENTE NO BORRAR'!$A211&lt;&gt;"Resultado total",('FUENTE NO BORRAR'!F211),""))</f>
        <v>59412.35</v>
      </c>
      <c r="G193" s="6">
        <f>IF('FUENTE NO BORRAR'!G211="","",IF('FUENTE NO BORRAR'!$A211&lt;&gt;"Resultado total",('FUENTE NO BORRAR'!G211),""))</f>
        <v>59412.35</v>
      </c>
      <c r="H193" s="6">
        <f>IF('FUENTE NO BORRAR'!H211="","",IF('FUENTE NO BORRAR'!$A211&lt;&gt;"Resultado total",('FUENTE NO BORRAR'!H211),""))</f>
        <v>59412.35</v>
      </c>
      <c r="I193" s="6">
        <f>IF('FUENTE NO BORRAR'!I211="","",IF('FUENTE NO BORRAR'!$A211&lt;&gt;"Resultado total",('FUENTE NO BORRAR'!I211),""))</f>
        <v>0</v>
      </c>
    </row>
    <row r="194" spans="1:9" x14ac:dyDescent="0.2">
      <c r="A194" s="5" t="str">
        <f>IF('FUENTE NO BORRAR'!A212="","",(IF('FUENTE NO BORRAR'!A212&lt;&gt;"Resultado total",'FUENTE NO BORRAR'!A212,"")))</f>
        <v/>
      </c>
      <c r="B194" s="5" t="str">
        <f>IF('FUENTE NO BORRAR'!B212="","",'FUENTE NO BORRAR'!B212)</f>
        <v/>
      </c>
      <c r="C194" s="5" t="str">
        <f>IF('FUENTE NO BORRAR'!C212="","",'FUENTE NO BORRAR'!C212)</f>
        <v/>
      </c>
      <c r="D194" s="5" t="str">
        <f>IF('FUENTE NO BORRAR'!D212="","",'FUENTE NO BORRAR'!D212)</f>
        <v/>
      </c>
      <c r="E194" s="5" t="str">
        <f>IF('FUENTE NO BORRAR'!E212="","",'FUENTE NO BORRAR'!E212)</f>
        <v/>
      </c>
      <c r="F194" s="6">
        <f>IF('FUENTE NO BORRAR'!F212="","",IF('FUENTE NO BORRAR'!$A212&lt;&gt;"Resultado total",('FUENTE NO BORRAR'!F212),""))</f>
        <v>17249.25</v>
      </c>
      <c r="G194" s="6">
        <f>IF('FUENTE NO BORRAR'!G212="","",IF('FUENTE NO BORRAR'!$A212&lt;&gt;"Resultado total",('FUENTE NO BORRAR'!G212),""))</f>
        <v>17249.25</v>
      </c>
      <c r="H194" s="6">
        <f>IF('FUENTE NO BORRAR'!H212="","",IF('FUENTE NO BORRAR'!$A212&lt;&gt;"Resultado total",('FUENTE NO BORRAR'!H212),""))</f>
        <v>17249.25</v>
      </c>
      <c r="I194" s="6">
        <f>IF('FUENTE NO BORRAR'!I212="","",IF('FUENTE NO BORRAR'!$A212&lt;&gt;"Resultado total",('FUENTE NO BORRAR'!I212),""))</f>
        <v>0</v>
      </c>
    </row>
    <row r="195" spans="1:9" x14ac:dyDescent="0.2">
      <c r="A195" s="5" t="str">
        <f>IF('FUENTE NO BORRAR'!A213="","",(IF('FUENTE NO BORRAR'!A213&lt;&gt;"Resultado total",'FUENTE NO BORRAR'!A213,"")))</f>
        <v/>
      </c>
      <c r="B195" s="5" t="str">
        <f>IF('FUENTE NO BORRAR'!B213="","",'FUENTE NO BORRAR'!B213)</f>
        <v/>
      </c>
      <c r="C195" s="5" t="str">
        <f>IF('FUENTE NO BORRAR'!C213="","",'FUENTE NO BORRAR'!C213)</f>
        <v/>
      </c>
      <c r="D195" s="5" t="str">
        <f>IF('FUENTE NO BORRAR'!D213="","",'FUENTE NO BORRAR'!D213)</f>
        <v/>
      </c>
      <c r="E195" s="5" t="str">
        <f>IF('FUENTE NO BORRAR'!E213="","",'FUENTE NO BORRAR'!E213)</f>
        <v/>
      </c>
      <c r="F195" s="6">
        <f>IF('FUENTE NO BORRAR'!F213="","",IF('FUENTE NO BORRAR'!$A213&lt;&gt;"Resultado total",('FUENTE NO BORRAR'!F213),""))</f>
        <v>71658.97</v>
      </c>
      <c r="G195" s="6">
        <f>IF('FUENTE NO BORRAR'!G213="","",IF('FUENTE NO BORRAR'!$A213&lt;&gt;"Resultado total",('FUENTE NO BORRAR'!G213),""))</f>
        <v>71658.97</v>
      </c>
      <c r="H195" s="6">
        <f>IF('FUENTE NO BORRAR'!H213="","",IF('FUENTE NO BORRAR'!$A213&lt;&gt;"Resultado total",('FUENTE NO BORRAR'!H213),""))</f>
        <v>71658.97</v>
      </c>
      <c r="I195" s="6">
        <f>IF('FUENTE NO BORRAR'!I213="","",IF('FUENTE NO BORRAR'!$A213&lt;&gt;"Resultado total",('FUENTE NO BORRAR'!I213),""))</f>
        <v>0</v>
      </c>
    </row>
    <row r="196" spans="1:9" x14ac:dyDescent="0.2">
      <c r="A196" s="5" t="str">
        <f>IF('FUENTE NO BORRAR'!A214="","",(IF('FUENTE NO BORRAR'!A214&lt;&gt;"Resultado total",'FUENTE NO BORRAR'!A214,"")))</f>
        <v/>
      </c>
      <c r="B196" s="5" t="str">
        <f>IF('FUENTE NO BORRAR'!B214="","",'FUENTE NO BORRAR'!B214)</f>
        <v/>
      </c>
      <c r="C196" s="5" t="str">
        <f>IF('FUENTE NO BORRAR'!C214="","",'FUENTE NO BORRAR'!C214)</f>
        <v/>
      </c>
      <c r="D196" s="5" t="str">
        <f>IF('FUENTE NO BORRAR'!D214="","",'FUENTE NO BORRAR'!D214)</f>
        <v/>
      </c>
      <c r="E196" s="5" t="str">
        <f>IF('FUENTE NO BORRAR'!E214="","",'FUENTE NO BORRAR'!E214)</f>
        <v/>
      </c>
      <c r="F196" s="6">
        <f>IF('FUENTE NO BORRAR'!F214="","",IF('FUENTE NO BORRAR'!$A214&lt;&gt;"Resultado total",('FUENTE NO BORRAR'!F214),""))</f>
        <v>383490.79</v>
      </c>
      <c r="G196" s="6">
        <f>IF('FUENTE NO BORRAR'!G214="","",IF('FUENTE NO BORRAR'!$A214&lt;&gt;"Resultado total",('FUENTE NO BORRAR'!G214),""))</f>
        <v>383490.79</v>
      </c>
      <c r="H196" s="6">
        <f>IF('FUENTE NO BORRAR'!H214="","",IF('FUENTE NO BORRAR'!$A214&lt;&gt;"Resultado total",('FUENTE NO BORRAR'!H214),""))</f>
        <v>383490.79</v>
      </c>
      <c r="I196" s="6">
        <f>IF('FUENTE NO BORRAR'!I214="","",IF('FUENTE NO BORRAR'!$A214&lt;&gt;"Resultado total",('FUENTE NO BORRAR'!I214),""))</f>
        <v>0</v>
      </c>
    </row>
    <row r="197" spans="1:9" x14ac:dyDescent="0.2">
      <c r="A197" s="5" t="str">
        <f>IF('FUENTE NO BORRAR'!A215="","",(IF('FUENTE NO BORRAR'!A215&lt;&gt;"Resultado total",'FUENTE NO BORRAR'!A215,"")))</f>
        <v/>
      </c>
      <c r="B197" s="5" t="str">
        <f>IF('FUENTE NO BORRAR'!B215="","",'FUENTE NO BORRAR'!B215)</f>
        <v/>
      </c>
      <c r="C197" s="5" t="str">
        <f>IF('FUENTE NO BORRAR'!C215="","",'FUENTE NO BORRAR'!C215)</f>
        <v/>
      </c>
      <c r="D197" s="5" t="str">
        <f>IF('FUENTE NO BORRAR'!D215="","",'FUENTE NO BORRAR'!D215)</f>
        <v/>
      </c>
      <c r="E197" s="5" t="str">
        <f>IF('FUENTE NO BORRAR'!E215="","",'FUENTE NO BORRAR'!E215)</f>
        <v/>
      </c>
      <c r="F197" s="6">
        <f>IF('FUENTE NO BORRAR'!F215="","",IF('FUENTE NO BORRAR'!$A215&lt;&gt;"Resultado total",('FUENTE NO BORRAR'!F215),""))</f>
        <v>280148.03999999998</v>
      </c>
      <c r="G197" s="6">
        <f>IF('FUENTE NO BORRAR'!G215="","",IF('FUENTE NO BORRAR'!$A215&lt;&gt;"Resultado total",('FUENTE NO BORRAR'!G215),""))</f>
        <v>280148.03999999998</v>
      </c>
      <c r="H197" s="6">
        <f>IF('FUENTE NO BORRAR'!H215="","",IF('FUENTE NO BORRAR'!$A215&lt;&gt;"Resultado total",('FUENTE NO BORRAR'!H215),""))</f>
        <v>283977.05</v>
      </c>
      <c r="I197" s="6">
        <f>IF('FUENTE NO BORRAR'!I215="","",IF('FUENTE NO BORRAR'!$A215&lt;&gt;"Resultado total",('FUENTE NO BORRAR'!I215),""))</f>
        <v>0</v>
      </c>
    </row>
    <row r="198" spans="1:9" x14ac:dyDescent="0.2">
      <c r="A198" s="5" t="str">
        <f>IF('FUENTE NO BORRAR'!A216="","",(IF('FUENTE NO BORRAR'!A216&lt;&gt;"Resultado total",'FUENTE NO BORRAR'!A216,"")))</f>
        <v/>
      </c>
      <c r="B198" s="5" t="str">
        <f>IF('FUENTE NO BORRAR'!B216="","",'FUENTE NO BORRAR'!B216)</f>
        <v/>
      </c>
      <c r="C198" s="5" t="str">
        <f>IF('FUENTE NO BORRAR'!C216="","",'FUENTE NO BORRAR'!C216)</f>
        <v/>
      </c>
      <c r="D198" s="5" t="str">
        <f>IF('FUENTE NO BORRAR'!D216="","",'FUENTE NO BORRAR'!D216)</f>
        <v/>
      </c>
      <c r="E198" s="5" t="str">
        <f>IF('FUENTE NO BORRAR'!E216="","",'FUENTE NO BORRAR'!E216)</f>
        <v/>
      </c>
      <c r="F198" s="6">
        <f>IF('FUENTE NO BORRAR'!F216="","",IF('FUENTE NO BORRAR'!$A216&lt;&gt;"Resultado total",('FUENTE NO BORRAR'!F216),""))</f>
        <v>641786.81999999995</v>
      </c>
      <c r="G198" s="6">
        <f>IF('FUENTE NO BORRAR'!G216="","",IF('FUENTE NO BORRAR'!$A216&lt;&gt;"Resultado total",('FUENTE NO BORRAR'!G216),""))</f>
        <v>641786.81999999995</v>
      </c>
      <c r="H198" s="6">
        <f>IF('FUENTE NO BORRAR'!H216="","",IF('FUENTE NO BORRAR'!$A216&lt;&gt;"Resultado total",('FUENTE NO BORRAR'!H216),""))</f>
        <v>641786.81999999995</v>
      </c>
      <c r="I198" s="6">
        <f>IF('FUENTE NO BORRAR'!I216="","",IF('FUENTE NO BORRAR'!$A216&lt;&gt;"Resultado total",('FUENTE NO BORRAR'!I216),""))</f>
        <v>0</v>
      </c>
    </row>
    <row r="199" spans="1:9" x14ac:dyDescent="0.2">
      <c r="A199" s="5" t="str">
        <f>IF('FUENTE NO BORRAR'!A217="","",(IF('FUENTE NO BORRAR'!A217&lt;&gt;"Resultado total",'FUENTE NO BORRAR'!A217,"")))</f>
        <v/>
      </c>
      <c r="B199" s="5" t="str">
        <f>IF('FUENTE NO BORRAR'!B217="","",'FUENTE NO BORRAR'!B217)</f>
        <v/>
      </c>
      <c r="C199" s="5" t="str">
        <f>IF('FUENTE NO BORRAR'!C217="","",'FUENTE NO BORRAR'!C217)</f>
        <v/>
      </c>
      <c r="D199" s="5" t="str">
        <f>IF('FUENTE NO BORRAR'!D217="","",'FUENTE NO BORRAR'!D217)</f>
        <v/>
      </c>
      <c r="E199" s="5" t="str">
        <f>IF('FUENTE NO BORRAR'!E217="","",'FUENTE NO BORRAR'!E217)</f>
        <v/>
      </c>
      <c r="F199" s="6">
        <f>IF('FUENTE NO BORRAR'!F217="","",IF('FUENTE NO BORRAR'!$A217&lt;&gt;"Resultado total",('FUENTE NO BORRAR'!F217),""))</f>
        <v>287611.42</v>
      </c>
      <c r="G199" s="6">
        <f>IF('FUENTE NO BORRAR'!G217="","",IF('FUENTE NO BORRAR'!$A217&lt;&gt;"Resultado total",('FUENTE NO BORRAR'!G217),""))</f>
        <v>287611.42</v>
      </c>
      <c r="H199" s="6">
        <f>IF('FUENTE NO BORRAR'!H217="","",IF('FUENTE NO BORRAR'!$A217&lt;&gt;"Resultado total",('FUENTE NO BORRAR'!H217),""))</f>
        <v>287611.42</v>
      </c>
      <c r="I199" s="6">
        <f>IF('FUENTE NO BORRAR'!I217="","",IF('FUENTE NO BORRAR'!$A217&lt;&gt;"Resultado total",('FUENTE NO BORRAR'!I217),""))</f>
        <v>0</v>
      </c>
    </row>
    <row r="200" spans="1:9" x14ac:dyDescent="0.2">
      <c r="A200" s="5" t="str">
        <f>IF('FUENTE NO BORRAR'!A218="","",(IF('FUENTE NO BORRAR'!A218&lt;&gt;"Resultado total",'FUENTE NO BORRAR'!A218,"")))</f>
        <v/>
      </c>
      <c r="B200" s="5" t="str">
        <f>IF('FUENTE NO BORRAR'!B218="","",'FUENTE NO BORRAR'!B218)</f>
        <v/>
      </c>
      <c r="C200" s="5" t="str">
        <f>IF('FUENTE NO BORRAR'!C218="","",'FUENTE NO BORRAR'!C218)</f>
        <v/>
      </c>
      <c r="D200" s="5" t="str">
        <f>IF('FUENTE NO BORRAR'!D218="","",'FUENTE NO BORRAR'!D218)</f>
        <v/>
      </c>
      <c r="E200" s="5" t="str">
        <f>IF('FUENTE NO BORRAR'!E218="","",'FUENTE NO BORRAR'!E218)</f>
        <v/>
      </c>
      <c r="F200" s="6">
        <f>IF('FUENTE NO BORRAR'!F218="","",IF('FUENTE NO BORRAR'!$A218&lt;&gt;"Resultado total",('FUENTE NO BORRAR'!F218),""))</f>
        <v>92487.52</v>
      </c>
      <c r="G200" s="6">
        <f>IF('FUENTE NO BORRAR'!G218="","",IF('FUENTE NO BORRAR'!$A218&lt;&gt;"Resultado total",('FUENTE NO BORRAR'!G218),""))</f>
        <v>92487.52</v>
      </c>
      <c r="H200" s="6">
        <f>IF('FUENTE NO BORRAR'!H218="","",IF('FUENTE NO BORRAR'!$A218&lt;&gt;"Resultado total",('FUENTE NO BORRAR'!H218),""))</f>
        <v>92487.52</v>
      </c>
      <c r="I200" s="6">
        <f>IF('FUENTE NO BORRAR'!I218="","",IF('FUENTE NO BORRAR'!$A218&lt;&gt;"Resultado total",('FUENTE NO BORRAR'!I218),""))</f>
        <v>0</v>
      </c>
    </row>
    <row r="201" spans="1:9" x14ac:dyDescent="0.2">
      <c r="A201" s="5" t="str">
        <f>IF('FUENTE NO BORRAR'!A219="","",(IF('FUENTE NO BORRAR'!A219&lt;&gt;"Resultado total",'FUENTE NO BORRAR'!A219,"")))</f>
        <v/>
      </c>
      <c r="B201" s="5" t="str">
        <f>IF('FUENTE NO BORRAR'!B219="","",'FUENTE NO BORRAR'!B219)</f>
        <v/>
      </c>
      <c r="C201" s="5" t="str">
        <f>IF('FUENTE NO BORRAR'!C219="","",'FUENTE NO BORRAR'!C219)</f>
        <v/>
      </c>
      <c r="D201" s="5" t="str">
        <f>IF('FUENTE NO BORRAR'!D219="","",'FUENTE NO BORRAR'!D219)</f>
        <v/>
      </c>
      <c r="E201" s="5" t="str">
        <f>IF('FUENTE NO BORRAR'!E219="","",'FUENTE NO BORRAR'!E219)</f>
        <v/>
      </c>
      <c r="F201" s="6">
        <f>IF('FUENTE NO BORRAR'!F219="","",IF('FUENTE NO BORRAR'!$A219&lt;&gt;"Resultado total",('FUENTE NO BORRAR'!F219),""))</f>
        <v>43299.98</v>
      </c>
      <c r="G201" s="6">
        <f>IF('FUENTE NO BORRAR'!G219="","",IF('FUENTE NO BORRAR'!$A219&lt;&gt;"Resultado total",('FUENTE NO BORRAR'!G219),""))</f>
        <v>43299.98</v>
      </c>
      <c r="H201" s="6">
        <f>IF('FUENTE NO BORRAR'!H219="","",IF('FUENTE NO BORRAR'!$A219&lt;&gt;"Resultado total",('FUENTE NO BORRAR'!H219),""))</f>
        <v>43299.98</v>
      </c>
      <c r="I201" s="6">
        <f>IF('FUENTE NO BORRAR'!I219="","",IF('FUENTE NO BORRAR'!$A219&lt;&gt;"Resultado total",('FUENTE NO BORRAR'!I219),""))</f>
        <v>0</v>
      </c>
    </row>
    <row r="202" spans="1:9" x14ac:dyDescent="0.2">
      <c r="A202" s="5" t="str">
        <f>IF('FUENTE NO BORRAR'!A220="","",(IF('FUENTE NO BORRAR'!A220&lt;&gt;"Resultado total",'FUENTE NO BORRAR'!A220,"")))</f>
        <v/>
      </c>
      <c r="B202" s="5" t="str">
        <f>IF('FUENTE NO BORRAR'!B220="","",'FUENTE NO BORRAR'!B220)</f>
        <v/>
      </c>
      <c r="C202" s="5" t="str">
        <f>IF('FUENTE NO BORRAR'!C220="","",'FUENTE NO BORRAR'!C220)</f>
        <v/>
      </c>
      <c r="D202" s="5" t="str">
        <f>IF('FUENTE NO BORRAR'!D220="","",'FUENTE NO BORRAR'!D220)</f>
        <v/>
      </c>
      <c r="E202" s="5" t="str">
        <f>IF('FUENTE NO BORRAR'!E220="","",'FUENTE NO BORRAR'!E220)</f>
        <v/>
      </c>
      <c r="F202" s="6">
        <f>IF('FUENTE NO BORRAR'!F220="","",IF('FUENTE NO BORRAR'!$A220&lt;&gt;"Resultado total",('FUENTE NO BORRAR'!F220),""))</f>
        <v>216221.16</v>
      </c>
      <c r="G202" s="6">
        <f>IF('FUENTE NO BORRAR'!G220="","",IF('FUENTE NO BORRAR'!$A220&lt;&gt;"Resultado total",('FUENTE NO BORRAR'!G220),""))</f>
        <v>216221.16</v>
      </c>
      <c r="H202" s="6">
        <f>IF('FUENTE NO BORRAR'!H220="","",IF('FUENTE NO BORRAR'!$A220&lt;&gt;"Resultado total",('FUENTE NO BORRAR'!H220),""))</f>
        <v>216221.16</v>
      </c>
      <c r="I202" s="6">
        <f>IF('FUENTE NO BORRAR'!I220="","",IF('FUENTE NO BORRAR'!$A220&lt;&gt;"Resultado total",('FUENTE NO BORRAR'!I220),""))</f>
        <v>0</v>
      </c>
    </row>
    <row r="203" spans="1:9" x14ac:dyDescent="0.2">
      <c r="A203" s="5" t="str">
        <f>IF('FUENTE NO BORRAR'!A221="","",(IF('FUENTE NO BORRAR'!A221&lt;&gt;"Resultado total",'FUENTE NO BORRAR'!A221,"")))</f>
        <v/>
      </c>
      <c r="B203" s="5" t="str">
        <f>IF('FUENTE NO BORRAR'!B221="","",'FUENTE NO BORRAR'!B221)</f>
        <v/>
      </c>
      <c r="C203" s="5" t="str">
        <f>IF('FUENTE NO BORRAR'!C221="","",'FUENTE NO BORRAR'!C221)</f>
        <v/>
      </c>
      <c r="D203" s="5" t="str">
        <f>IF('FUENTE NO BORRAR'!D221="","",'FUENTE NO BORRAR'!D221)</f>
        <v/>
      </c>
      <c r="E203" s="5" t="str">
        <f>IF('FUENTE NO BORRAR'!E221="","",'FUENTE NO BORRAR'!E221)</f>
        <v/>
      </c>
      <c r="F203" s="6">
        <f>IF('FUENTE NO BORRAR'!F221="","",IF('FUENTE NO BORRAR'!$A221&lt;&gt;"Resultado total",('FUENTE NO BORRAR'!F221),""))</f>
        <v>531146.5</v>
      </c>
      <c r="G203" s="6">
        <f>IF('FUENTE NO BORRAR'!G221="","",IF('FUENTE NO BORRAR'!$A221&lt;&gt;"Resultado total",('FUENTE NO BORRAR'!G221),""))</f>
        <v>531146.5</v>
      </c>
      <c r="H203" s="6">
        <f>IF('FUENTE NO BORRAR'!H221="","",IF('FUENTE NO BORRAR'!$A221&lt;&gt;"Resultado total",('FUENTE NO BORRAR'!H221),""))</f>
        <v>531146.5</v>
      </c>
      <c r="I203" s="6">
        <f>IF('FUENTE NO BORRAR'!I221="","",IF('FUENTE NO BORRAR'!$A221&lt;&gt;"Resultado total",('FUENTE NO BORRAR'!I221),""))</f>
        <v>0</v>
      </c>
    </row>
    <row r="204" spans="1:9" x14ac:dyDescent="0.2">
      <c r="A204" s="5" t="str">
        <f>IF('FUENTE NO BORRAR'!A222="","",(IF('FUENTE NO BORRAR'!A222&lt;&gt;"Resultado total",'FUENTE NO BORRAR'!A222,"")))</f>
        <v/>
      </c>
      <c r="B204" s="5" t="str">
        <f>IF('FUENTE NO BORRAR'!B222="","",'FUENTE NO BORRAR'!B222)</f>
        <v/>
      </c>
      <c r="C204" s="5" t="str">
        <f>IF('FUENTE NO BORRAR'!C222="","",'FUENTE NO BORRAR'!C222)</f>
        <v/>
      </c>
      <c r="D204" s="5" t="str">
        <f>IF('FUENTE NO BORRAR'!D222="","",'FUENTE NO BORRAR'!D222)</f>
        <v/>
      </c>
      <c r="E204" s="5" t="str">
        <f>IF('FUENTE NO BORRAR'!E222="","",'FUENTE NO BORRAR'!E222)</f>
        <v/>
      </c>
      <c r="F204" s="6">
        <f>IF('FUENTE NO BORRAR'!F222="","",IF('FUENTE NO BORRAR'!$A222&lt;&gt;"Resultado total",('FUENTE NO BORRAR'!F222),""))</f>
        <v>16581.84</v>
      </c>
      <c r="G204" s="6">
        <f>IF('FUENTE NO BORRAR'!G222="","",IF('FUENTE NO BORRAR'!$A222&lt;&gt;"Resultado total",('FUENTE NO BORRAR'!G222),""))</f>
        <v>16581.84</v>
      </c>
      <c r="H204" s="6">
        <f>IF('FUENTE NO BORRAR'!H222="","",IF('FUENTE NO BORRAR'!$A222&lt;&gt;"Resultado total",('FUENTE NO BORRAR'!H222),""))</f>
        <v>12511.75</v>
      </c>
      <c r="I204" s="6">
        <f>IF('FUENTE NO BORRAR'!I222="","",IF('FUENTE NO BORRAR'!$A222&lt;&gt;"Resultado total",('FUENTE NO BORRAR'!I222),""))</f>
        <v>0</v>
      </c>
    </row>
    <row r="205" spans="1:9" x14ac:dyDescent="0.2">
      <c r="A205" s="5" t="str">
        <f>IF('FUENTE NO BORRAR'!A223="","",(IF('FUENTE NO BORRAR'!A223&lt;&gt;"Resultado total",'FUENTE NO BORRAR'!A223,"")))</f>
        <v/>
      </c>
      <c r="B205" s="5" t="str">
        <f>IF('FUENTE NO BORRAR'!B223="","",'FUENTE NO BORRAR'!B223)</f>
        <v/>
      </c>
      <c r="C205" s="5" t="str">
        <f>IF('FUENTE NO BORRAR'!C223="","",'FUENTE NO BORRAR'!C223)</f>
        <v/>
      </c>
      <c r="D205" s="5" t="str">
        <f>IF('FUENTE NO BORRAR'!D223="","",'FUENTE NO BORRAR'!D223)</f>
        <v/>
      </c>
      <c r="E205" s="5" t="str">
        <f>IF('FUENTE NO BORRAR'!E223="","",'FUENTE NO BORRAR'!E223)</f>
        <v/>
      </c>
      <c r="F205" s="6">
        <f>IF('FUENTE NO BORRAR'!F223="","",IF('FUENTE NO BORRAR'!$A223&lt;&gt;"Resultado total",('FUENTE NO BORRAR'!F223),""))</f>
        <v>375.84</v>
      </c>
      <c r="G205" s="6">
        <f>IF('FUENTE NO BORRAR'!G223="","",IF('FUENTE NO BORRAR'!$A223&lt;&gt;"Resultado total",('FUENTE NO BORRAR'!G223),""))</f>
        <v>375.84</v>
      </c>
      <c r="H205" s="6">
        <f>IF('FUENTE NO BORRAR'!H223="","",IF('FUENTE NO BORRAR'!$A223&lt;&gt;"Resultado total",('FUENTE NO BORRAR'!H223),""))</f>
        <v>375.84</v>
      </c>
      <c r="I205" s="6">
        <f>IF('FUENTE NO BORRAR'!I223="","",IF('FUENTE NO BORRAR'!$A223&lt;&gt;"Resultado total",('FUENTE NO BORRAR'!I223),""))</f>
        <v>0</v>
      </c>
    </row>
    <row r="206" spans="1:9" x14ac:dyDescent="0.2">
      <c r="A206" s="5" t="str">
        <f>IF('FUENTE NO BORRAR'!A224="","",(IF('FUENTE NO BORRAR'!A224&lt;&gt;"Resultado total",'FUENTE NO BORRAR'!A224,"")))</f>
        <v/>
      </c>
      <c r="B206" s="5" t="str">
        <f>IF('FUENTE NO BORRAR'!B224="","",'FUENTE NO BORRAR'!B224)</f>
        <v/>
      </c>
      <c r="C206" s="5" t="str">
        <f>IF('FUENTE NO BORRAR'!C224="","",'FUENTE NO BORRAR'!C224)</f>
        <v/>
      </c>
      <c r="D206" s="5" t="str">
        <f>IF('FUENTE NO BORRAR'!D224="","",'FUENTE NO BORRAR'!D224)</f>
        <v/>
      </c>
      <c r="E206" s="5" t="str">
        <f>IF('FUENTE NO BORRAR'!E224="","",'FUENTE NO BORRAR'!E224)</f>
        <v/>
      </c>
      <c r="F206" s="6">
        <f>IF('FUENTE NO BORRAR'!F224="","",IF('FUENTE NO BORRAR'!$A224&lt;&gt;"Resultado total",('FUENTE NO BORRAR'!F224),""))</f>
        <v>6831.99</v>
      </c>
      <c r="G206" s="6">
        <f>IF('FUENTE NO BORRAR'!G224="","",IF('FUENTE NO BORRAR'!$A224&lt;&gt;"Resultado total",('FUENTE NO BORRAR'!G224),""))</f>
        <v>6831.99</v>
      </c>
      <c r="H206" s="6">
        <f>IF('FUENTE NO BORRAR'!H224="","",IF('FUENTE NO BORRAR'!$A224&lt;&gt;"Resultado total",('FUENTE NO BORRAR'!H224),""))</f>
        <v>4948.1499999999996</v>
      </c>
      <c r="I206" s="6">
        <f>IF('FUENTE NO BORRAR'!I224="","",IF('FUENTE NO BORRAR'!$A224&lt;&gt;"Resultado total",('FUENTE NO BORRAR'!I224),""))</f>
        <v>0</v>
      </c>
    </row>
    <row r="207" spans="1:9" x14ac:dyDescent="0.2">
      <c r="A207" s="5" t="str">
        <f>IF('FUENTE NO BORRAR'!A225="","",(IF('FUENTE NO BORRAR'!A225&lt;&gt;"Resultado total",'FUENTE NO BORRAR'!A225,"")))</f>
        <v/>
      </c>
      <c r="B207" s="5" t="str">
        <f>IF('FUENTE NO BORRAR'!B225="","",'FUENTE NO BORRAR'!B225)</f>
        <v/>
      </c>
      <c r="C207" s="5" t="str">
        <f>IF('FUENTE NO BORRAR'!C225="","",'FUENTE NO BORRAR'!C225)</f>
        <v/>
      </c>
      <c r="D207" s="5" t="str">
        <f>IF('FUENTE NO BORRAR'!D225="","",'FUENTE NO BORRAR'!D225)</f>
        <v/>
      </c>
      <c r="E207" s="5" t="str">
        <f>IF('FUENTE NO BORRAR'!E225="","",'FUENTE NO BORRAR'!E225)</f>
        <v/>
      </c>
      <c r="F207" s="6">
        <f>IF('FUENTE NO BORRAR'!F225="","",IF('FUENTE NO BORRAR'!$A225&lt;&gt;"Resultado total",('FUENTE NO BORRAR'!F225),""))</f>
        <v>1749.05</v>
      </c>
      <c r="G207" s="6">
        <f>IF('FUENTE NO BORRAR'!G225="","",IF('FUENTE NO BORRAR'!$A225&lt;&gt;"Resultado total",('FUENTE NO BORRAR'!G225),""))</f>
        <v>1749.05</v>
      </c>
      <c r="H207" s="6">
        <f>IF('FUENTE NO BORRAR'!H225="","",IF('FUENTE NO BORRAR'!$A225&lt;&gt;"Resultado total",('FUENTE NO BORRAR'!H225),""))</f>
        <v>1749.05</v>
      </c>
      <c r="I207" s="6">
        <f>IF('FUENTE NO BORRAR'!I225="","",IF('FUENTE NO BORRAR'!$A225&lt;&gt;"Resultado total",('FUENTE NO BORRAR'!I225),""))</f>
        <v>0</v>
      </c>
    </row>
    <row r="208" spans="1:9" x14ac:dyDescent="0.2">
      <c r="A208" s="5" t="str">
        <f>IF('FUENTE NO BORRAR'!A226="","",(IF('FUENTE NO BORRAR'!A226&lt;&gt;"Resultado total",'FUENTE NO BORRAR'!A226,"")))</f>
        <v/>
      </c>
      <c r="B208" s="5" t="str">
        <f>IF('FUENTE NO BORRAR'!B226="","",'FUENTE NO BORRAR'!B226)</f>
        <v/>
      </c>
      <c r="C208" s="5" t="str">
        <f>IF('FUENTE NO BORRAR'!C226="","",'FUENTE NO BORRAR'!C226)</f>
        <v/>
      </c>
      <c r="D208" s="5" t="str">
        <f>IF('FUENTE NO BORRAR'!D226="","",'FUENTE NO BORRAR'!D226)</f>
        <v/>
      </c>
      <c r="E208" s="5" t="str">
        <f>IF('FUENTE NO BORRAR'!E226="","",'FUENTE NO BORRAR'!E226)</f>
        <v/>
      </c>
      <c r="F208" s="6">
        <f>IF('FUENTE NO BORRAR'!F226="","",IF('FUENTE NO BORRAR'!$A226&lt;&gt;"Resultado total",('FUENTE NO BORRAR'!F226),""))</f>
        <v>0</v>
      </c>
      <c r="G208" s="6">
        <f>IF('FUENTE NO BORRAR'!G226="","",IF('FUENTE NO BORRAR'!$A226&lt;&gt;"Resultado total",('FUENTE NO BORRAR'!G226),""))</f>
        <v>0</v>
      </c>
      <c r="H208" s="6">
        <f>IF('FUENTE NO BORRAR'!H226="","",IF('FUENTE NO BORRAR'!$A226&lt;&gt;"Resultado total",('FUENTE NO BORRAR'!H226),""))</f>
        <v>0</v>
      </c>
      <c r="I208" s="6">
        <f>IF('FUENTE NO BORRAR'!I226="","",IF('FUENTE NO BORRAR'!$A226&lt;&gt;"Resultado total",('FUENTE NO BORRAR'!I226),""))</f>
        <v>0</v>
      </c>
    </row>
    <row r="209" spans="1:9" x14ac:dyDescent="0.2">
      <c r="A209" s="5" t="str">
        <f>IF('FUENTE NO BORRAR'!A227="","",(IF('FUENTE NO BORRAR'!A227&lt;&gt;"Resultado total",'FUENTE NO BORRAR'!A227,"")))</f>
        <v/>
      </c>
      <c r="B209" s="5" t="str">
        <f>IF('FUENTE NO BORRAR'!B227="","",'FUENTE NO BORRAR'!B227)</f>
        <v/>
      </c>
      <c r="C209" s="5" t="str">
        <f>IF('FUENTE NO BORRAR'!C227="","",'FUENTE NO BORRAR'!C227)</f>
        <v/>
      </c>
      <c r="D209" s="5" t="str">
        <f>IF('FUENTE NO BORRAR'!D227="","",'FUENTE NO BORRAR'!D227)</f>
        <v/>
      </c>
      <c r="E209" s="5" t="str">
        <f>IF('FUENTE NO BORRAR'!E227="","",'FUENTE NO BORRAR'!E227)</f>
        <v/>
      </c>
      <c r="F209" s="6">
        <f>IF('FUENTE NO BORRAR'!F227="","",IF('FUENTE NO BORRAR'!$A227&lt;&gt;"Resultado total",('FUENTE NO BORRAR'!F227),""))</f>
        <v>259.01</v>
      </c>
      <c r="G209" s="6">
        <f>IF('FUENTE NO BORRAR'!G227="","",IF('FUENTE NO BORRAR'!$A227&lt;&gt;"Resultado total",('FUENTE NO BORRAR'!G227),""))</f>
        <v>259.01</v>
      </c>
      <c r="H209" s="6">
        <f>IF('FUENTE NO BORRAR'!H227="","",IF('FUENTE NO BORRAR'!$A227&lt;&gt;"Resultado total",('FUENTE NO BORRAR'!H227),""))</f>
        <v>259.01</v>
      </c>
      <c r="I209" s="6">
        <f>IF('FUENTE NO BORRAR'!I227="","",IF('FUENTE NO BORRAR'!$A227&lt;&gt;"Resultado total",('FUENTE NO BORRAR'!I227),""))</f>
        <v>0</v>
      </c>
    </row>
    <row r="210" spans="1:9" x14ac:dyDescent="0.2">
      <c r="A210" s="5" t="str">
        <f>IF('FUENTE NO BORRAR'!A228="","",(IF('FUENTE NO BORRAR'!A228&lt;&gt;"Resultado total",'FUENTE NO BORRAR'!A228,"")))</f>
        <v/>
      </c>
      <c r="B210" s="5" t="str">
        <f>IF('FUENTE NO BORRAR'!B228="","",'FUENTE NO BORRAR'!B228)</f>
        <v/>
      </c>
      <c r="C210" s="5" t="str">
        <f>IF('FUENTE NO BORRAR'!C228="","",'FUENTE NO BORRAR'!C228)</f>
        <v/>
      </c>
      <c r="D210" s="5" t="str">
        <f>IF('FUENTE NO BORRAR'!D228="","",'FUENTE NO BORRAR'!D228)</f>
        <v/>
      </c>
      <c r="E210" s="5" t="str">
        <f>IF('FUENTE NO BORRAR'!E228="","",'FUENTE NO BORRAR'!E228)</f>
        <v/>
      </c>
      <c r="F210" s="6">
        <f>IF('FUENTE NO BORRAR'!F228="","",IF('FUENTE NO BORRAR'!$A228&lt;&gt;"Resultado total",('FUENTE NO BORRAR'!F228),""))</f>
        <v>231.98</v>
      </c>
      <c r="G210" s="6">
        <f>IF('FUENTE NO BORRAR'!G228="","",IF('FUENTE NO BORRAR'!$A228&lt;&gt;"Resultado total",('FUENTE NO BORRAR'!G228),""))</f>
        <v>231.98</v>
      </c>
      <c r="H210" s="6">
        <f>IF('FUENTE NO BORRAR'!H228="","",IF('FUENTE NO BORRAR'!$A228&lt;&gt;"Resultado total",('FUENTE NO BORRAR'!H228),""))</f>
        <v>231.98</v>
      </c>
      <c r="I210" s="6">
        <f>IF('FUENTE NO BORRAR'!I228="","",IF('FUENTE NO BORRAR'!$A228&lt;&gt;"Resultado total",('FUENTE NO BORRAR'!I228),""))</f>
        <v>0</v>
      </c>
    </row>
    <row r="211" spans="1:9" x14ac:dyDescent="0.2">
      <c r="A211" s="5" t="str">
        <f>IF('FUENTE NO BORRAR'!A229="","",(IF('FUENTE NO BORRAR'!A229&lt;&gt;"Resultado total",'FUENTE NO BORRAR'!A229,"")))</f>
        <v/>
      </c>
      <c r="B211" s="5" t="str">
        <f>IF('FUENTE NO BORRAR'!B229="","",'FUENTE NO BORRAR'!B229)</f>
        <v/>
      </c>
      <c r="C211" s="5" t="str">
        <f>IF('FUENTE NO BORRAR'!C229="","",'FUENTE NO BORRAR'!C229)</f>
        <v/>
      </c>
      <c r="D211" s="5" t="str">
        <f>IF('FUENTE NO BORRAR'!D229="","",'FUENTE NO BORRAR'!D229)</f>
        <v/>
      </c>
      <c r="E211" s="5" t="str">
        <f>IF('FUENTE NO BORRAR'!E229="","",'FUENTE NO BORRAR'!E229)</f>
        <v/>
      </c>
      <c r="F211" s="6">
        <f>IF('FUENTE NO BORRAR'!F229="","",IF('FUENTE NO BORRAR'!$A229&lt;&gt;"Resultado total",('FUENTE NO BORRAR'!F229),""))</f>
        <v>552.79</v>
      </c>
      <c r="G211" s="6">
        <f>IF('FUENTE NO BORRAR'!G229="","",IF('FUENTE NO BORRAR'!$A229&lt;&gt;"Resultado total",('FUENTE NO BORRAR'!G229),""))</f>
        <v>552.79</v>
      </c>
      <c r="H211" s="6">
        <f>IF('FUENTE NO BORRAR'!H229="","",IF('FUENTE NO BORRAR'!$A229&lt;&gt;"Resultado total",('FUENTE NO BORRAR'!H229),""))</f>
        <v>552.79</v>
      </c>
      <c r="I211" s="6">
        <f>IF('FUENTE NO BORRAR'!I229="","",IF('FUENTE NO BORRAR'!$A229&lt;&gt;"Resultado total",('FUENTE NO BORRAR'!I229),""))</f>
        <v>0</v>
      </c>
    </row>
    <row r="212" spans="1:9" x14ac:dyDescent="0.2">
      <c r="A212" s="5" t="str">
        <f>IF('FUENTE NO BORRAR'!A230="","",(IF('FUENTE NO BORRAR'!A230&lt;&gt;"Resultado total",'FUENTE NO BORRAR'!A230,"")))</f>
        <v/>
      </c>
      <c r="B212" s="5" t="str">
        <f>IF('FUENTE NO BORRAR'!B230="","",'FUENTE NO BORRAR'!B230)</f>
        <v/>
      </c>
      <c r="C212" s="5" t="str">
        <f>IF('FUENTE NO BORRAR'!C230="","",'FUENTE NO BORRAR'!C230)</f>
        <v/>
      </c>
      <c r="D212" s="5" t="str">
        <f>IF('FUENTE NO BORRAR'!D230="","",'FUENTE NO BORRAR'!D230)</f>
        <v/>
      </c>
      <c r="E212" s="5" t="str">
        <f>IF('FUENTE NO BORRAR'!E230="","",'FUENTE NO BORRAR'!E230)</f>
        <v/>
      </c>
      <c r="F212" s="6">
        <f>IF('FUENTE NO BORRAR'!F230="","",IF('FUENTE NO BORRAR'!$A230&lt;&gt;"Resultado total",('FUENTE NO BORRAR'!F230),""))</f>
        <v>786.01</v>
      </c>
      <c r="G212" s="6">
        <f>IF('FUENTE NO BORRAR'!G230="","",IF('FUENTE NO BORRAR'!$A230&lt;&gt;"Resultado total",('FUENTE NO BORRAR'!G230),""))</f>
        <v>786.01</v>
      </c>
      <c r="H212" s="6">
        <f>IF('FUENTE NO BORRAR'!H230="","",IF('FUENTE NO BORRAR'!$A230&lt;&gt;"Resultado total",('FUENTE NO BORRAR'!H230),""))</f>
        <v>786</v>
      </c>
      <c r="I212" s="6">
        <f>IF('FUENTE NO BORRAR'!I230="","",IF('FUENTE NO BORRAR'!$A230&lt;&gt;"Resultado total",('FUENTE NO BORRAR'!I230),""))</f>
        <v>0</v>
      </c>
    </row>
    <row r="213" spans="1:9" x14ac:dyDescent="0.2">
      <c r="A213" s="5" t="str">
        <f>IF('FUENTE NO BORRAR'!A231="","",(IF('FUENTE NO BORRAR'!A231&lt;&gt;"Resultado total",'FUENTE NO BORRAR'!A231,"")))</f>
        <v/>
      </c>
      <c r="B213" s="5" t="str">
        <f>IF('FUENTE NO BORRAR'!B231="","",'FUENTE NO BORRAR'!B231)</f>
        <v/>
      </c>
      <c r="C213" s="5" t="str">
        <f>IF('FUENTE NO BORRAR'!C231="","",'FUENTE NO BORRAR'!C231)</f>
        <v/>
      </c>
      <c r="D213" s="5" t="str">
        <f>IF('FUENTE NO BORRAR'!D231="","",'FUENTE NO BORRAR'!D231)</f>
        <v/>
      </c>
      <c r="E213" s="5" t="str">
        <f>IF('FUENTE NO BORRAR'!E231="","",'FUENTE NO BORRAR'!E231)</f>
        <v/>
      </c>
      <c r="F213" s="6">
        <f>IF('FUENTE NO BORRAR'!F231="","",IF('FUENTE NO BORRAR'!$A231&lt;&gt;"Resultado total",('FUENTE NO BORRAR'!F231),""))</f>
        <v>1837.36</v>
      </c>
      <c r="G213" s="6">
        <f>IF('FUENTE NO BORRAR'!G231="","",IF('FUENTE NO BORRAR'!$A231&lt;&gt;"Resultado total",('FUENTE NO BORRAR'!G231),""))</f>
        <v>1837.36</v>
      </c>
      <c r="H213" s="6">
        <f>IF('FUENTE NO BORRAR'!H231="","",IF('FUENTE NO BORRAR'!$A231&lt;&gt;"Resultado total",('FUENTE NO BORRAR'!H231),""))</f>
        <v>1837.36</v>
      </c>
      <c r="I213" s="6">
        <f>IF('FUENTE NO BORRAR'!I231="","",IF('FUENTE NO BORRAR'!$A231&lt;&gt;"Resultado total",('FUENTE NO BORRAR'!I231),""))</f>
        <v>0</v>
      </c>
    </row>
    <row r="214" spans="1:9" x14ac:dyDescent="0.2">
      <c r="A214" s="5" t="str">
        <f>IF('FUENTE NO BORRAR'!A232="","",(IF('FUENTE NO BORRAR'!A232&lt;&gt;"Resultado total",'FUENTE NO BORRAR'!A232,"")))</f>
        <v/>
      </c>
      <c r="B214" s="5" t="str">
        <f>IF('FUENTE NO BORRAR'!B232="","",'FUENTE NO BORRAR'!B232)</f>
        <v/>
      </c>
      <c r="C214" s="5" t="str">
        <f>IF('FUENTE NO BORRAR'!C232="","",'FUENTE NO BORRAR'!C232)</f>
        <v/>
      </c>
      <c r="D214" s="5" t="str">
        <f>IF('FUENTE NO BORRAR'!D232="","",'FUENTE NO BORRAR'!D232)</f>
        <v/>
      </c>
      <c r="E214" s="5" t="str">
        <f>IF('FUENTE NO BORRAR'!E232="","",'FUENTE NO BORRAR'!E232)</f>
        <v/>
      </c>
      <c r="F214" s="6">
        <f>IF('FUENTE NO BORRAR'!F232="","",IF('FUENTE NO BORRAR'!$A232&lt;&gt;"Resultado total",('FUENTE NO BORRAR'!F232),""))</f>
        <v>339</v>
      </c>
      <c r="G214" s="6">
        <f>IF('FUENTE NO BORRAR'!G232="","",IF('FUENTE NO BORRAR'!$A232&lt;&gt;"Resultado total",('FUENTE NO BORRAR'!G232),""))</f>
        <v>339</v>
      </c>
      <c r="H214" s="6">
        <f>IF('FUENTE NO BORRAR'!H232="","",IF('FUENTE NO BORRAR'!$A232&lt;&gt;"Resultado total",('FUENTE NO BORRAR'!H232),""))</f>
        <v>339</v>
      </c>
      <c r="I214" s="6">
        <f>IF('FUENTE NO BORRAR'!I232="","",IF('FUENTE NO BORRAR'!$A232&lt;&gt;"Resultado total",('FUENTE NO BORRAR'!I232),""))</f>
        <v>0</v>
      </c>
    </row>
    <row r="215" spans="1:9" x14ac:dyDescent="0.2">
      <c r="A215" s="5" t="str">
        <f>IF('FUENTE NO BORRAR'!A233="","",(IF('FUENTE NO BORRAR'!A233&lt;&gt;"Resultado total",'FUENTE NO BORRAR'!A233,"")))</f>
        <v/>
      </c>
      <c r="B215" s="5" t="str">
        <f>IF('FUENTE NO BORRAR'!B233="","",'FUENTE NO BORRAR'!B233)</f>
        <v/>
      </c>
      <c r="C215" s="5" t="str">
        <f>IF('FUENTE NO BORRAR'!C233="","",'FUENTE NO BORRAR'!C233)</f>
        <v/>
      </c>
      <c r="D215" s="5" t="str">
        <f>IF('FUENTE NO BORRAR'!D233="","",'FUENTE NO BORRAR'!D233)</f>
        <v/>
      </c>
      <c r="E215" s="5" t="str">
        <f>IF('FUENTE NO BORRAR'!E233="","",'FUENTE NO BORRAR'!E233)</f>
        <v/>
      </c>
      <c r="F215" s="6">
        <f>IF('FUENTE NO BORRAR'!F233="","",IF('FUENTE NO BORRAR'!$A233&lt;&gt;"Resultado total",('FUENTE NO BORRAR'!F233),""))</f>
        <v>620.11</v>
      </c>
      <c r="G215" s="6">
        <f>IF('FUENTE NO BORRAR'!G233="","",IF('FUENTE NO BORRAR'!$A233&lt;&gt;"Resultado total",('FUENTE NO BORRAR'!G233),""))</f>
        <v>620.11</v>
      </c>
      <c r="H215" s="6">
        <f>IF('FUENTE NO BORRAR'!H233="","",IF('FUENTE NO BORRAR'!$A233&lt;&gt;"Resultado total",('FUENTE NO BORRAR'!H233),""))</f>
        <v>620.11</v>
      </c>
      <c r="I215" s="6">
        <f>IF('FUENTE NO BORRAR'!I233="","",IF('FUENTE NO BORRAR'!$A233&lt;&gt;"Resultado total",('FUENTE NO BORRAR'!I233),""))</f>
        <v>0</v>
      </c>
    </row>
    <row r="216" spans="1:9" x14ac:dyDescent="0.2">
      <c r="A216" s="5" t="str">
        <f>IF('FUENTE NO BORRAR'!A234="","",(IF('FUENTE NO BORRAR'!A234&lt;&gt;"Resultado total",'FUENTE NO BORRAR'!A234,"")))</f>
        <v/>
      </c>
      <c r="B216" s="5" t="str">
        <f>IF('FUENTE NO BORRAR'!B234="","",'FUENTE NO BORRAR'!B234)</f>
        <v/>
      </c>
      <c r="C216" s="5" t="str">
        <f>IF('FUENTE NO BORRAR'!C234="","",'FUENTE NO BORRAR'!C234)</f>
        <v/>
      </c>
      <c r="D216" s="5" t="str">
        <f>IF('FUENTE NO BORRAR'!D234="","",'FUENTE NO BORRAR'!D234)</f>
        <v/>
      </c>
      <c r="E216" s="5" t="str">
        <f>IF('FUENTE NO BORRAR'!E234="","",'FUENTE NO BORRAR'!E234)</f>
        <v/>
      </c>
      <c r="F216" s="6">
        <f>IF('FUENTE NO BORRAR'!F234="","",IF('FUENTE NO BORRAR'!$A234&lt;&gt;"Resultado total",('FUENTE NO BORRAR'!F234),""))</f>
        <v>0</v>
      </c>
      <c r="G216" s="6">
        <f>IF('FUENTE NO BORRAR'!G234="","",IF('FUENTE NO BORRAR'!$A234&lt;&gt;"Resultado total",('FUENTE NO BORRAR'!G234),""))</f>
        <v>0</v>
      </c>
      <c r="H216" s="6">
        <f>IF('FUENTE NO BORRAR'!H234="","",IF('FUENTE NO BORRAR'!$A234&lt;&gt;"Resultado total",('FUENTE NO BORRAR'!H234),""))</f>
        <v>0</v>
      </c>
      <c r="I216" s="6">
        <f>IF('FUENTE NO BORRAR'!I234="","",IF('FUENTE NO BORRAR'!$A234&lt;&gt;"Resultado total",('FUENTE NO BORRAR'!I234),""))</f>
        <v>0</v>
      </c>
    </row>
    <row r="217" spans="1:9" x14ac:dyDescent="0.2">
      <c r="A217" s="5" t="str">
        <f>IF('FUENTE NO BORRAR'!A235="","",(IF('FUENTE NO BORRAR'!A235&lt;&gt;"Resultado total",'FUENTE NO BORRAR'!A235,"")))</f>
        <v/>
      </c>
      <c r="B217" s="5" t="str">
        <f>IF('FUENTE NO BORRAR'!B235="","",'FUENTE NO BORRAR'!B235)</f>
        <v/>
      </c>
      <c r="C217" s="5" t="str">
        <f>IF('FUENTE NO BORRAR'!C235="","",'FUENTE NO BORRAR'!C235)</f>
        <v/>
      </c>
      <c r="D217" s="5" t="str">
        <f>IF('FUENTE NO BORRAR'!D235="","",'FUENTE NO BORRAR'!D235)</f>
        <v/>
      </c>
      <c r="E217" s="5" t="str">
        <f>IF('FUENTE NO BORRAR'!E235="","",'FUENTE NO BORRAR'!E235)</f>
        <v/>
      </c>
      <c r="F217" s="6">
        <f>IF('FUENTE NO BORRAR'!F235="","",IF('FUENTE NO BORRAR'!$A235&lt;&gt;"Resultado total",('FUENTE NO BORRAR'!F235),""))</f>
        <v>105</v>
      </c>
      <c r="G217" s="6">
        <f>IF('FUENTE NO BORRAR'!G235="","",IF('FUENTE NO BORRAR'!$A235&lt;&gt;"Resultado total",('FUENTE NO BORRAR'!G235),""))</f>
        <v>105</v>
      </c>
      <c r="H217" s="6">
        <f>IF('FUENTE NO BORRAR'!H235="","",IF('FUENTE NO BORRAR'!$A235&lt;&gt;"Resultado total",('FUENTE NO BORRAR'!H235),""))</f>
        <v>105</v>
      </c>
      <c r="I217" s="6">
        <f>IF('FUENTE NO BORRAR'!I235="","",IF('FUENTE NO BORRAR'!$A235&lt;&gt;"Resultado total",('FUENTE NO BORRAR'!I235),""))</f>
        <v>0</v>
      </c>
    </row>
    <row r="218" spans="1:9" x14ac:dyDescent="0.2">
      <c r="A218" s="5" t="str">
        <f>IF('FUENTE NO BORRAR'!A236="","",(IF('FUENTE NO BORRAR'!A236&lt;&gt;"Resultado total",'FUENTE NO BORRAR'!A236,"")))</f>
        <v/>
      </c>
      <c r="B218" s="5" t="str">
        <f>IF('FUENTE NO BORRAR'!B236="","",'FUENTE NO BORRAR'!B236)</f>
        <v/>
      </c>
      <c r="C218" s="5" t="str">
        <f>IF('FUENTE NO BORRAR'!C236="","",'FUENTE NO BORRAR'!C236)</f>
        <v/>
      </c>
      <c r="D218" s="5" t="str">
        <f>IF('FUENTE NO BORRAR'!D236="","",'FUENTE NO BORRAR'!D236)</f>
        <v/>
      </c>
      <c r="E218" s="5" t="str">
        <f>IF('FUENTE NO BORRAR'!E236="","",'FUENTE NO BORRAR'!E236)</f>
        <v/>
      </c>
      <c r="F218" s="6">
        <f>IF('FUENTE NO BORRAR'!F236="","",IF('FUENTE NO BORRAR'!$A236&lt;&gt;"Resultado total",('FUENTE NO BORRAR'!F236),""))</f>
        <v>339.99</v>
      </c>
      <c r="G218" s="6">
        <f>IF('FUENTE NO BORRAR'!G236="","",IF('FUENTE NO BORRAR'!$A236&lt;&gt;"Resultado total",('FUENTE NO BORRAR'!G236),""))</f>
        <v>339.99</v>
      </c>
      <c r="H218" s="6">
        <f>IF('FUENTE NO BORRAR'!H236="","",IF('FUENTE NO BORRAR'!$A236&lt;&gt;"Resultado total",('FUENTE NO BORRAR'!H236),""))</f>
        <v>339.99</v>
      </c>
      <c r="I218" s="6">
        <f>IF('FUENTE NO BORRAR'!I236="","",IF('FUENTE NO BORRAR'!$A236&lt;&gt;"Resultado total",('FUENTE NO BORRAR'!I236),""))</f>
        <v>0</v>
      </c>
    </row>
    <row r="219" spans="1:9" x14ac:dyDescent="0.2">
      <c r="A219" s="5" t="str">
        <f>IF('FUENTE NO BORRAR'!A237="","",(IF('FUENTE NO BORRAR'!A237&lt;&gt;"Resultado total",'FUENTE NO BORRAR'!A237,"")))</f>
        <v/>
      </c>
      <c r="B219" s="5" t="str">
        <f>IF('FUENTE NO BORRAR'!B237="","",'FUENTE NO BORRAR'!B237)</f>
        <v/>
      </c>
      <c r="C219" s="5" t="str">
        <f>IF('FUENTE NO BORRAR'!C237="","",'FUENTE NO BORRAR'!C237)</f>
        <v/>
      </c>
      <c r="D219" s="5" t="str">
        <f>IF('FUENTE NO BORRAR'!D237="","",'FUENTE NO BORRAR'!D237)</f>
        <v/>
      </c>
      <c r="E219" s="5" t="str">
        <f>IF('FUENTE NO BORRAR'!E237="","",'FUENTE NO BORRAR'!E237)</f>
        <v/>
      </c>
      <c r="F219" s="6">
        <f>IF('FUENTE NO BORRAR'!F237="","",IF('FUENTE NO BORRAR'!$A237&lt;&gt;"Resultado total",('FUENTE NO BORRAR'!F237),""))</f>
        <v>2033.89</v>
      </c>
      <c r="G219" s="6">
        <f>IF('FUENTE NO BORRAR'!G237="","",IF('FUENTE NO BORRAR'!$A237&lt;&gt;"Resultado total",('FUENTE NO BORRAR'!G237),""))</f>
        <v>2033.89</v>
      </c>
      <c r="H219" s="6">
        <f>IF('FUENTE NO BORRAR'!H237="","",IF('FUENTE NO BORRAR'!$A237&lt;&gt;"Resultado total",('FUENTE NO BORRAR'!H237),""))</f>
        <v>2033.89</v>
      </c>
      <c r="I219" s="6">
        <f>IF('FUENTE NO BORRAR'!I237="","",IF('FUENTE NO BORRAR'!$A237&lt;&gt;"Resultado total",('FUENTE NO BORRAR'!I237),""))</f>
        <v>0</v>
      </c>
    </row>
    <row r="220" spans="1:9" x14ac:dyDescent="0.2">
      <c r="A220" s="5" t="str">
        <f>IF('FUENTE NO BORRAR'!A238="","",(IF('FUENTE NO BORRAR'!A238&lt;&gt;"Resultado total",'FUENTE NO BORRAR'!A238,"")))</f>
        <v/>
      </c>
      <c r="B220" s="5" t="str">
        <f>IF('FUENTE NO BORRAR'!B238="","",'FUENTE NO BORRAR'!B238)</f>
        <v/>
      </c>
      <c r="C220" s="5" t="str">
        <f>IF('FUENTE NO BORRAR'!C238="","",'FUENTE NO BORRAR'!C238)</f>
        <v/>
      </c>
      <c r="D220" s="5" t="str">
        <f>IF('FUENTE NO BORRAR'!D238="","",'FUENTE NO BORRAR'!D238)</f>
        <v/>
      </c>
      <c r="E220" s="5" t="str">
        <f>IF('FUENTE NO BORRAR'!E238="","",'FUENTE NO BORRAR'!E238)</f>
        <v/>
      </c>
      <c r="F220" s="6">
        <f>IF('FUENTE NO BORRAR'!F238="","",IF('FUENTE NO BORRAR'!$A238&lt;&gt;"Resultado total",('FUENTE NO BORRAR'!F238),""))</f>
        <v>2075.7199999999998</v>
      </c>
      <c r="G220" s="6">
        <f>IF('FUENTE NO BORRAR'!G238="","",IF('FUENTE NO BORRAR'!$A238&lt;&gt;"Resultado total",('FUENTE NO BORRAR'!G238),""))</f>
        <v>2075.7199999999998</v>
      </c>
      <c r="H220" s="6">
        <f>IF('FUENTE NO BORRAR'!H238="","",IF('FUENTE NO BORRAR'!$A238&lt;&gt;"Resultado total",('FUENTE NO BORRAR'!H238),""))</f>
        <v>2075.7199999999998</v>
      </c>
      <c r="I220" s="6">
        <f>IF('FUENTE NO BORRAR'!I238="","",IF('FUENTE NO BORRAR'!$A238&lt;&gt;"Resultado total",('FUENTE NO BORRAR'!I238),""))</f>
        <v>0</v>
      </c>
    </row>
    <row r="221" spans="1:9" x14ac:dyDescent="0.2">
      <c r="A221" s="5" t="str">
        <f>IF('FUENTE NO BORRAR'!A239="","",(IF('FUENTE NO BORRAR'!A239&lt;&gt;"Resultado total",'FUENTE NO BORRAR'!A239,"")))</f>
        <v/>
      </c>
      <c r="B221" s="5" t="str">
        <f>IF('FUENTE NO BORRAR'!B239="","",'FUENTE NO BORRAR'!B239)</f>
        <v/>
      </c>
      <c r="C221" s="5" t="str">
        <f>IF('FUENTE NO BORRAR'!C239="","",'FUENTE NO BORRAR'!C239)</f>
        <v/>
      </c>
      <c r="D221" s="5" t="str">
        <f>IF('FUENTE NO BORRAR'!D239="","",'FUENTE NO BORRAR'!D239)</f>
        <v/>
      </c>
      <c r="E221" s="5" t="str">
        <f>IF('FUENTE NO BORRAR'!E239="","",'FUENTE NO BORRAR'!E239)</f>
        <v/>
      </c>
      <c r="F221" s="6">
        <f>IF('FUENTE NO BORRAR'!F239="","",IF('FUENTE NO BORRAR'!$A239&lt;&gt;"Resultado total",('FUENTE NO BORRAR'!F239),""))</f>
        <v>0</v>
      </c>
      <c r="G221" s="6">
        <f>IF('FUENTE NO BORRAR'!G239="","",IF('FUENTE NO BORRAR'!$A239&lt;&gt;"Resultado total",('FUENTE NO BORRAR'!G239),""))</f>
        <v>0</v>
      </c>
      <c r="H221" s="6">
        <f>IF('FUENTE NO BORRAR'!H239="","",IF('FUENTE NO BORRAR'!$A239&lt;&gt;"Resultado total",('FUENTE NO BORRAR'!H239),""))</f>
        <v>0</v>
      </c>
      <c r="I221" s="6">
        <f>IF('FUENTE NO BORRAR'!I239="","",IF('FUENTE NO BORRAR'!$A239&lt;&gt;"Resultado total",('FUENTE NO BORRAR'!I239),""))</f>
        <v>0</v>
      </c>
    </row>
    <row r="222" spans="1:9" x14ac:dyDescent="0.2">
      <c r="A222" s="5" t="str">
        <f>IF('FUENTE NO BORRAR'!A240="","",(IF('FUENTE NO BORRAR'!A240&lt;&gt;"Resultado total",'FUENTE NO BORRAR'!A240,"")))</f>
        <v/>
      </c>
      <c r="B222" s="5" t="str">
        <f>IF('FUENTE NO BORRAR'!B240="","",'FUENTE NO BORRAR'!B240)</f>
        <v/>
      </c>
      <c r="C222" s="5" t="str">
        <f>IF('FUENTE NO BORRAR'!C240="","",'FUENTE NO BORRAR'!C240)</f>
        <v/>
      </c>
      <c r="D222" s="5" t="str">
        <f>IF('FUENTE NO BORRAR'!D240="","",'FUENTE NO BORRAR'!D240)</f>
        <v/>
      </c>
      <c r="E222" s="5" t="str">
        <f>IF('FUENTE NO BORRAR'!E240="","",'FUENTE NO BORRAR'!E240)</f>
        <v/>
      </c>
      <c r="F222" s="6">
        <f>IF('FUENTE NO BORRAR'!F240="","",IF('FUENTE NO BORRAR'!$A240&lt;&gt;"Resultado total",('FUENTE NO BORRAR'!F240),""))</f>
        <v>324.8</v>
      </c>
      <c r="G222" s="6">
        <f>IF('FUENTE NO BORRAR'!G240="","",IF('FUENTE NO BORRAR'!$A240&lt;&gt;"Resultado total",('FUENTE NO BORRAR'!G240),""))</f>
        <v>324.8</v>
      </c>
      <c r="H222" s="6">
        <f>IF('FUENTE NO BORRAR'!H240="","",IF('FUENTE NO BORRAR'!$A240&lt;&gt;"Resultado total",('FUENTE NO BORRAR'!H240),""))</f>
        <v>324.8</v>
      </c>
      <c r="I222" s="6">
        <f>IF('FUENTE NO BORRAR'!I240="","",IF('FUENTE NO BORRAR'!$A240&lt;&gt;"Resultado total",('FUENTE NO BORRAR'!I240),""))</f>
        <v>0</v>
      </c>
    </row>
    <row r="223" spans="1:9" x14ac:dyDescent="0.2">
      <c r="A223" s="5" t="str">
        <f>IF('FUENTE NO BORRAR'!A241="","",(IF('FUENTE NO BORRAR'!A241&lt;&gt;"Resultado total",'FUENTE NO BORRAR'!A241,"")))</f>
        <v/>
      </c>
      <c r="B223" s="5" t="str">
        <f>IF('FUENTE NO BORRAR'!B241="","",'FUENTE NO BORRAR'!B241)</f>
        <v/>
      </c>
      <c r="C223" s="5" t="str">
        <f>IF('FUENTE NO BORRAR'!C241="","",'FUENTE NO BORRAR'!C241)</f>
        <v/>
      </c>
      <c r="D223" s="5" t="str">
        <f>IF('FUENTE NO BORRAR'!D241="","",'FUENTE NO BORRAR'!D241)</f>
        <v/>
      </c>
      <c r="E223" s="5" t="str">
        <f>IF('FUENTE NO BORRAR'!E241="","",'FUENTE NO BORRAR'!E241)</f>
        <v/>
      </c>
      <c r="F223" s="6">
        <f>IF('FUENTE NO BORRAR'!F241="","",IF('FUENTE NO BORRAR'!$A241&lt;&gt;"Resultado total",('FUENTE NO BORRAR'!F241),""))</f>
        <v>0</v>
      </c>
      <c r="G223" s="6">
        <f>IF('FUENTE NO BORRAR'!G241="","",IF('FUENTE NO BORRAR'!$A241&lt;&gt;"Resultado total",('FUENTE NO BORRAR'!G241),""))</f>
        <v>0</v>
      </c>
      <c r="H223" s="6">
        <f>IF('FUENTE NO BORRAR'!H241="","",IF('FUENTE NO BORRAR'!$A241&lt;&gt;"Resultado total",('FUENTE NO BORRAR'!H241),""))</f>
        <v>0</v>
      </c>
      <c r="I223" s="6">
        <f>IF('FUENTE NO BORRAR'!I241="","",IF('FUENTE NO BORRAR'!$A241&lt;&gt;"Resultado total",('FUENTE NO BORRAR'!I241),""))</f>
        <v>0</v>
      </c>
    </row>
    <row r="224" spans="1:9" x14ac:dyDescent="0.2">
      <c r="A224" s="5" t="str">
        <f>IF('FUENTE NO BORRAR'!A242="","",(IF('FUENTE NO BORRAR'!A242&lt;&gt;"Resultado total",'FUENTE NO BORRAR'!A242,"")))</f>
        <v/>
      </c>
      <c r="B224" s="5" t="str">
        <f>IF('FUENTE NO BORRAR'!B242="","",'FUENTE NO BORRAR'!B242)</f>
        <v/>
      </c>
      <c r="C224" s="5" t="str">
        <f>IF('FUENTE NO BORRAR'!C242="","",'FUENTE NO BORRAR'!C242)</f>
        <v/>
      </c>
      <c r="D224" s="5" t="str">
        <f>IF('FUENTE NO BORRAR'!D242="","",'FUENTE NO BORRAR'!D242)</f>
        <v/>
      </c>
      <c r="E224" s="5" t="str">
        <f>IF('FUENTE NO BORRAR'!E242="","",'FUENTE NO BORRAR'!E242)</f>
        <v/>
      </c>
      <c r="F224" s="6">
        <f>IF('FUENTE NO BORRAR'!F242="","",IF('FUENTE NO BORRAR'!$A242&lt;&gt;"Resultado total",('FUENTE NO BORRAR'!F242),""))</f>
        <v>46578.64</v>
      </c>
      <c r="G224" s="6">
        <f>IF('FUENTE NO BORRAR'!G242="","",IF('FUENTE NO BORRAR'!$A242&lt;&gt;"Resultado total",('FUENTE NO BORRAR'!G242),""))</f>
        <v>46578.64</v>
      </c>
      <c r="H224" s="6">
        <f>IF('FUENTE NO BORRAR'!H242="","",IF('FUENTE NO BORRAR'!$A242&lt;&gt;"Resultado total",('FUENTE NO BORRAR'!H242),""))</f>
        <v>40439.919999999998</v>
      </c>
      <c r="I224" s="6">
        <f>IF('FUENTE NO BORRAR'!I242="","",IF('FUENTE NO BORRAR'!$A242&lt;&gt;"Resultado total",('FUENTE NO BORRAR'!I242),""))</f>
        <v>0</v>
      </c>
    </row>
    <row r="225" spans="1:9" x14ac:dyDescent="0.2">
      <c r="A225" s="5" t="str">
        <f>IF('FUENTE NO BORRAR'!A243="","",(IF('FUENTE NO BORRAR'!A243&lt;&gt;"Resultado total",'FUENTE NO BORRAR'!A243,"")))</f>
        <v/>
      </c>
      <c r="B225" s="5" t="str">
        <f>IF('FUENTE NO BORRAR'!B243="","",'FUENTE NO BORRAR'!B243)</f>
        <v/>
      </c>
      <c r="C225" s="5" t="str">
        <f>IF('FUENTE NO BORRAR'!C243="","",'FUENTE NO BORRAR'!C243)</f>
        <v/>
      </c>
      <c r="D225" s="5" t="str">
        <f>IF('FUENTE NO BORRAR'!D243="","",'FUENTE NO BORRAR'!D243)</f>
        <v/>
      </c>
      <c r="E225" s="5" t="str">
        <f>IF('FUENTE NO BORRAR'!E243="","",'FUENTE NO BORRAR'!E243)</f>
        <v/>
      </c>
      <c r="F225" s="6">
        <f>IF('FUENTE NO BORRAR'!F243="","",IF('FUENTE NO BORRAR'!$A243&lt;&gt;"Resultado total",('FUENTE NO BORRAR'!F243),""))</f>
        <v>8091</v>
      </c>
      <c r="G225" s="6">
        <f>IF('FUENTE NO BORRAR'!G243="","",IF('FUENTE NO BORRAR'!$A243&lt;&gt;"Resultado total",('FUENTE NO BORRAR'!G243),""))</f>
        <v>8091</v>
      </c>
      <c r="H225" s="6">
        <f>IF('FUENTE NO BORRAR'!H243="","",IF('FUENTE NO BORRAR'!$A243&lt;&gt;"Resultado total",('FUENTE NO BORRAR'!H243),""))</f>
        <v>8091</v>
      </c>
      <c r="I225" s="6">
        <f>IF('FUENTE NO BORRAR'!I243="","",IF('FUENTE NO BORRAR'!$A243&lt;&gt;"Resultado total",('FUENTE NO BORRAR'!I243),""))</f>
        <v>0</v>
      </c>
    </row>
    <row r="226" spans="1:9" x14ac:dyDescent="0.2">
      <c r="A226" s="5" t="str">
        <f>IF('FUENTE NO BORRAR'!A244="","",(IF('FUENTE NO BORRAR'!A244&lt;&gt;"Resultado total",'FUENTE NO BORRAR'!A244,"")))</f>
        <v/>
      </c>
      <c r="B226" s="5" t="str">
        <f>IF('FUENTE NO BORRAR'!B244="","",'FUENTE NO BORRAR'!B244)</f>
        <v/>
      </c>
      <c r="C226" s="5" t="str">
        <f>IF('FUENTE NO BORRAR'!C244="","",'FUENTE NO BORRAR'!C244)</f>
        <v/>
      </c>
      <c r="D226" s="5" t="str">
        <f>IF('FUENTE NO BORRAR'!D244="","",'FUENTE NO BORRAR'!D244)</f>
        <v/>
      </c>
      <c r="E226" s="5" t="str">
        <f>IF('FUENTE NO BORRAR'!E244="","",'FUENTE NO BORRAR'!E244)</f>
        <v/>
      </c>
      <c r="F226" s="6">
        <f>IF('FUENTE NO BORRAR'!F244="","",IF('FUENTE NO BORRAR'!$A244&lt;&gt;"Resultado total",('FUENTE NO BORRAR'!F244),""))</f>
        <v>2864</v>
      </c>
      <c r="G226" s="6">
        <f>IF('FUENTE NO BORRAR'!G244="","",IF('FUENTE NO BORRAR'!$A244&lt;&gt;"Resultado total",('FUENTE NO BORRAR'!G244),""))</f>
        <v>2864</v>
      </c>
      <c r="H226" s="6">
        <f>IF('FUENTE NO BORRAR'!H244="","",IF('FUENTE NO BORRAR'!$A244&lt;&gt;"Resultado total",('FUENTE NO BORRAR'!H244),""))</f>
        <v>2863.97</v>
      </c>
      <c r="I226" s="6">
        <f>IF('FUENTE NO BORRAR'!I244="","",IF('FUENTE NO BORRAR'!$A244&lt;&gt;"Resultado total",('FUENTE NO BORRAR'!I244),""))</f>
        <v>0</v>
      </c>
    </row>
    <row r="227" spans="1:9" x14ac:dyDescent="0.2">
      <c r="A227" s="5" t="str">
        <f>IF('FUENTE NO BORRAR'!A245="","",(IF('FUENTE NO BORRAR'!A245&lt;&gt;"Resultado total",'FUENTE NO BORRAR'!A245,"")))</f>
        <v/>
      </c>
      <c r="B227" s="5" t="str">
        <f>IF('FUENTE NO BORRAR'!B245="","",'FUENTE NO BORRAR'!B245)</f>
        <v/>
      </c>
      <c r="C227" s="5" t="str">
        <f>IF('FUENTE NO BORRAR'!C245="","",'FUENTE NO BORRAR'!C245)</f>
        <v/>
      </c>
      <c r="D227" s="5" t="str">
        <f>IF('FUENTE NO BORRAR'!D245="","",'FUENTE NO BORRAR'!D245)</f>
        <v/>
      </c>
      <c r="E227" s="5" t="str">
        <f>IF('FUENTE NO BORRAR'!E245="","",'FUENTE NO BORRAR'!E245)</f>
        <v/>
      </c>
      <c r="F227" s="6">
        <f>IF('FUENTE NO BORRAR'!F245="","",IF('FUENTE NO BORRAR'!$A245&lt;&gt;"Resultado total",('FUENTE NO BORRAR'!F245),""))</f>
        <v>4947.8100000000004</v>
      </c>
      <c r="G227" s="6">
        <f>IF('FUENTE NO BORRAR'!G245="","",IF('FUENTE NO BORRAR'!$A245&lt;&gt;"Resultado total",('FUENTE NO BORRAR'!G245),""))</f>
        <v>4947.8100000000004</v>
      </c>
      <c r="H227" s="6">
        <f>IF('FUENTE NO BORRAR'!H245="","",IF('FUENTE NO BORRAR'!$A245&lt;&gt;"Resultado total",('FUENTE NO BORRAR'!H245),""))</f>
        <v>4947.8100000000004</v>
      </c>
      <c r="I227" s="6">
        <f>IF('FUENTE NO BORRAR'!I245="","",IF('FUENTE NO BORRAR'!$A245&lt;&gt;"Resultado total",('FUENTE NO BORRAR'!I245),""))</f>
        <v>0</v>
      </c>
    </row>
    <row r="228" spans="1:9" x14ac:dyDescent="0.2">
      <c r="A228" s="5" t="str">
        <f>IF('FUENTE NO BORRAR'!A246="","",(IF('FUENTE NO BORRAR'!A246&lt;&gt;"Resultado total",'FUENTE NO BORRAR'!A246,"")))</f>
        <v/>
      </c>
      <c r="B228" s="5" t="str">
        <f>IF('FUENTE NO BORRAR'!B246="","",'FUENTE NO BORRAR'!B246)</f>
        <v/>
      </c>
      <c r="C228" s="5" t="str">
        <f>IF('FUENTE NO BORRAR'!C246="","",'FUENTE NO BORRAR'!C246)</f>
        <v>12041061E101</v>
      </c>
      <c r="D228" s="5" t="str">
        <f>IF('FUENTE NO BORRAR'!D246="","",'FUENTE NO BORRAR'!D246)</f>
        <v>12041061E101</v>
      </c>
      <c r="E228" s="5" t="str">
        <f>IF('FUENTE NO BORRAR'!E246="","",'FUENTE NO BORRAR'!E246)</f>
        <v/>
      </c>
      <c r="F228" s="6">
        <f>IF('FUENTE NO BORRAR'!F246="","",IF('FUENTE NO BORRAR'!$A246&lt;&gt;"Resultado total",('FUENTE NO BORRAR'!F246),""))</f>
        <v>0</v>
      </c>
      <c r="G228" s="6">
        <f>IF('FUENTE NO BORRAR'!G246="","",IF('FUENTE NO BORRAR'!$A246&lt;&gt;"Resultado total",('FUENTE NO BORRAR'!G246),""))</f>
        <v>0</v>
      </c>
      <c r="H228" s="6">
        <f>IF('FUENTE NO BORRAR'!H246="","",IF('FUENTE NO BORRAR'!$A246&lt;&gt;"Resultado total",('FUENTE NO BORRAR'!H246),""))</f>
        <v>0</v>
      </c>
      <c r="I228" s="6">
        <f>IF('FUENTE NO BORRAR'!I246="","",IF('FUENTE NO BORRAR'!$A246&lt;&gt;"Resultado total",('FUENTE NO BORRAR'!I246),""))</f>
        <v>0</v>
      </c>
    </row>
    <row r="229" spans="1:9" x14ac:dyDescent="0.2">
      <c r="A229" s="5" t="str">
        <f>IF('FUENTE NO BORRAR'!A247="","",(IF('FUENTE NO BORRAR'!A247&lt;&gt;"Resultado total",'FUENTE NO BORRAR'!A247,"")))</f>
        <v/>
      </c>
      <c r="B229" s="5" t="str">
        <f>IF('FUENTE NO BORRAR'!B247="","",'FUENTE NO BORRAR'!B247)</f>
        <v/>
      </c>
      <c r="C229" s="5" t="str">
        <f>IF('FUENTE NO BORRAR'!C247="","",'FUENTE NO BORRAR'!C247)</f>
        <v/>
      </c>
      <c r="D229" s="5" t="str">
        <f>IF('FUENTE NO BORRAR'!D247="","",'FUENTE NO BORRAR'!D247)</f>
        <v/>
      </c>
      <c r="E229" s="5" t="str">
        <f>IF('FUENTE NO BORRAR'!E247="","",'FUENTE NO BORRAR'!E247)</f>
        <v/>
      </c>
      <c r="F229" s="6">
        <f>IF('FUENTE NO BORRAR'!F247="","",IF('FUENTE NO BORRAR'!$A247&lt;&gt;"Resultado total",('FUENTE NO BORRAR'!F247),""))</f>
        <v>0</v>
      </c>
      <c r="G229" s="6">
        <f>IF('FUENTE NO BORRAR'!G247="","",IF('FUENTE NO BORRAR'!$A247&lt;&gt;"Resultado total",('FUENTE NO BORRAR'!G247),""))</f>
        <v>0</v>
      </c>
      <c r="H229" s="6">
        <f>IF('FUENTE NO BORRAR'!H247="","",IF('FUENTE NO BORRAR'!$A247&lt;&gt;"Resultado total",('FUENTE NO BORRAR'!H247),""))</f>
        <v>0</v>
      </c>
      <c r="I229" s="6">
        <f>IF('FUENTE NO BORRAR'!I247="","",IF('FUENTE NO BORRAR'!$A247&lt;&gt;"Resultado total",('FUENTE NO BORRAR'!I247),""))</f>
        <v>0</v>
      </c>
    </row>
    <row r="230" spans="1:9" x14ac:dyDescent="0.2">
      <c r="A230" s="5" t="str">
        <f>IF('FUENTE NO BORRAR'!A248="","",(IF('FUENTE NO BORRAR'!A248&lt;&gt;"Resultado total",'FUENTE NO BORRAR'!A248,"")))</f>
        <v/>
      </c>
      <c r="B230" s="5" t="str">
        <f>IF('FUENTE NO BORRAR'!B248="","",'FUENTE NO BORRAR'!B248)</f>
        <v/>
      </c>
      <c r="C230" s="5" t="str">
        <f>IF('FUENTE NO BORRAR'!C248="","",'FUENTE NO BORRAR'!C248)</f>
        <v/>
      </c>
      <c r="D230" s="5" t="str">
        <f>IF('FUENTE NO BORRAR'!D248="","",'FUENTE NO BORRAR'!D248)</f>
        <v/>
      </c>
      <c r="E230" s="5" t="str">
        <f>IF('FUENTE NO BORRAR'!E248="","",'FUENTE NO BORRAR'!E248)</f>
        <v/>
      </c>
      <c r="F230" s="6">
        <f>IF('FUENTE NO BORRAR'!F248="","",IF('FUENTE NO BORRAR'!$A248&lt;&gt;"Resultado total",('FUENTE NO BORRAR'!F248),""))</f>
        <v>0</v>
      </c>
      <c r="G230" s="6">
        <f>IF('FUENTE NO BORRAR'!G248="","",IF('FUENTE NO BORRAR'!$A248&lt;&gt;"Resultado total",('FUENTE NO BORRAR'!G248),""))</f>
        <v>0</v>
      </c>
      <c r="H230" s="6">
        <f>IF('FUENTE NO BORRAR'!H248="","",IF('FUENTE NO BORRAR'!$A248&lt;&gt;"Resultado total",('FUENTE NO BORRAR'!H248),""))</f>
        <v>0</v>
      </c>
      <c r="I230" s="6">
        <f>IF('FUENTE NO BORRAR'!I248="","",IF('FUENTE NO BORRAR'!$A248&lt;&gt;"Resultado total",('FUENTE NO BORRAR'!I248),""))</f>
        <v>0</v>
      </c>
    </row>
    <row r="231" spans="1:9" x14ac:dyDescent="0.2">
      <c r="A231" s="5" t="str">
        <f>IF('FUENTE NO BORRAR'!A249="","",(IF('FUENTE NO BORRAR'!A249&lt;&gt;"Resultado total",'FUENTE NO BORRAR'!A249,"")))</f>
        <v/>
      </c>
      <c r="B231" s="5" t="str">
        <f>IF('FUENTE NO BORRAR'!B249="","",'FUENTE NO BORRAR'!B249)</f>
        <v/>
      </c>
      <c r="C231" s="5" t="str">
        <f>IF('FUENTE NO BORRAR'!C249="","",'FUENTE NO BORRAR'!C249)</f>
        <v/>
      </c>
      <c r="D231" s="5" t="str">
        <f>IF('FUENTE NO BORRAR'!D249="","",'FUENTE NO BORRAR'!D249)</f>
        <v/>
      </c>
      <c r="E231" s="5" t="str">
        <f>IF('FUENTE NO BORRAR'!E249="","",'FUENTE NO BORRAR'!E249)</f>
        <v/>
      </c>
      <c r="F231" s="6">
        <f>IF('FUENTE NO BORRAR'!F249="","",IF('FUENTE NO BORRAR'!$A249&lt;&gt;"Resultado total",('FUENTE NO BORRAR'!F249),""))</f>
        <v>0</v>
      </c>
      <c r="G231" s="6">
        <f>IF('FUENTE NO BORRAR'!G249="","",IF('FUENTE NO BORRAR'!$A249&lt;&gt;"Resultado total",('FUENTE NO BORRAR'!G249),""))</f>
        <v>0</v>
      </c>
      <c r="H231" s="6">
        <f>IF('FUENTE NO BORRAR'!H249="","",IF('FUENTE NO BORRAR'!$A249&lt;&gt;"Resultado total",('FUENTE NO BORRAR'!H249),""))</f>
        <v>0</v>
      </c>
      <c r="I231" s="6">
        <f>IF('FUENTE NO BORRAR'!I249="","",IF('FUENTE NO BORRAR'!$A249&lt;&gt;"Resultado total",('FUENTE NO BORRAR'!I249),""))</f>
        <v>0</v>
      </c>
    </row>
    <row r="232" spans="1:9" x14ac:dyDescent="0.2">
      <c r="A232" s="5" t="str">
        <f>IF('FUENTE NO BORRAR'!A250="","",(IF('FUENTE NO BORRAR'!A250&lt;&gt;"Resultado total",'FUENTE NO BORRAR'!A250,"")))</f>
        <v/>
      </c>
      <c r="B232" s="5" t="str">
        <f>IF('FUENTE NO BORRAR'!B250="","",'FUENTE NO BORRAR'!B250)</f>
        <v/>
      </c>
      <c r="C232" s="5" t="str">
        <f>IF('FUENTE NO BORRAR'!C250="","",'FUENTE NO BORRAR'!C250)</f>
        <v/>
      </c>
      <c r="D232" s="5" t="str">
        <f>IF('FUENTE NO BORRAR'!D250="","",'FUENTE NO BORRAR'!D250)</f>
        <v/>
      </c>
      <c r="E232" s="5" t="str">
        <f>IF('FUENTE NO BORRAR'!E250="","",'FUENTE NO BORRAR'!E250)</f>
        <v/>
      </c>
      <c r="F232" s="6">
        <f>IF('FUENTE NO BORRAR'!F250="","",IF('FUENTE NO BORRAR'!$A250&lt;&gt;"Resultado total",('FUENTE NO BORRAR'!F250),""))</f>
        <v>0</v>
      </c>
      <c r="G232" s="6">
        <f>IF('FUENTE NO BORRAR'!G250="","",IF('FUENTE NO BORRAR'!$A250&lt;&gt;"Resultado total",('FUENTE NO BORRAR'!G250),""))</f>
        <v>0</v>
      </c>
      <c r="H232" s="6">
        <f>IF('FUENTE NO BORRAR'!H250="","",IF('FUENTE NO BORRAR'!$A250&lt;&gt;"Resultado total",('FUENTE NO BORRAR'!H250),""))</f>
        <v>0</v>
      </c>
      <c r="I232" s="6">
        <f>IF('FUENTE NO BORRAR'!I250="","",IF('FUENTE NO BORRAR'!$A250&lt;&gt;"Resultado total",('FUENTE NO BORRAR'!I250),""))</f>
        <v>0</v>
      </c>
    </row>
    <row r="233" spans="1:9" x14ac:dyDescent="0.2">
      <c r="A233" s="5" t="str">
        <f>IF('FUENTE NO BORRAR'!A251="","",(IF('FUENTE NO BORRAR'!A251&lt;&gt;"Resultado total",'FUENTE NO BORRAR'!A251,"")))</f>
        <v/>
      </c>
      <c r="B233" s="5" t="str">
        <f>IF('FUENTE NO BORRAR'!B251="","",'FUENTE NO BORRAR'!B251)</f>
        <v/>
      </c>
      <c r="C233" s="5" t="str">
        <f>IF('FUENTE NO BORRAR'!C251="","",'FUENTE NO BORRAR'!C251)</f>
        <v/>
      </c>
      <c r="D233" s="5" t="str">
        <f>IF('FUENTE NO BORRAR'!D251="","",'FUENTE NO BORRAR'!D251)</f>
        <v/>
      </c>
      <c r="E233" s="5" t="str">
        <f>IF('FUENTE NO BORRAR'!E251="","",'FUENTE NO BORRAR'!E251)</f>
        <v/>
      </c>
      <c r="F233" s="6">
        <f>IF('FUENTE NO BORRAR'!F251="","",IF('FUENTE NO BORRAR'!$A251&lt;&gt;"Resultado total",('FUENTE NO BORRAR'!F251),""))</f>
        <v>0</v>
      </c>
      <c r="G233" s="6">
        <f>IF('FUENTE NO BORRAR'!G251="","",IF('FUENTE NO BORRAR'!$A251&lt;&gt;"Resultado total",('FUENTE NO BORRAR'!G251),""))</f>
        <v>0</v>
      </c>
      <c r="H233" s="6">
        <f>IF('FUENTE NO BORRAR'!H251="","",IF('FUENTE NO BORRAR'!$A251&lt;&gt;"Resultado total",('FUENTE NO BORRAR'!H251),""))</f>
        <v>0</v>
      </c>
      <c r="I233" s="6">
        <f>IF('FUENTE NO BORRAR'!I251="","",IF('FUENTE NO BORRAR'!$A251&lt;&gt;"Resultado total",('FUENTE NO BORRAR'!I251),""))</f>
        <v>0</v>
      </c>
    </row>
    <row r="234" spans="1:9" x14ac:dyDescent="0.2">
      <c r="A234" s="5" t="str">
        <f>IF('FUENTE NO BORRAR'!A252="","",(IF('FUENTE NO BORRAR'!A252&lt;&gt;"Resultado total",'FUENTE NO BORRAR'!A252,"")))</f>
        <v/>
      </c>
      <c r="B234" s="5" t="str">
        <f>IF('FUENTE NO BORRAR'!B252="","",'FUENTE NO BORRAR'!B252)</f>
        <v/>
      </c>
      <c r="C234" s="5" t="str">
        <f>IF('FUENTE NO BORRAR'!C252="","",'FUENTE NO BORRAR'!C252)</f>
        <v/>
      </c>
      <c r="D234" s="5" t="str">
        <f>IF('FUENTE NO BORRAR'!D252="","",'FUENTE NO BORRAR'!D252)</f>
        <v/>
      </c>
      <c r="E234" s="5" t="str">
        <f>IF('FUENTE NO BORRAR'!E252="","",'FUENTE NO BORRAR'!E252)</f>
        <v/>
      </c>
      <c r="F234" s="6">
        <f>IF('FUENTE NO BORRAR'!F252="","",IF('FUENTE NO BORRAR'!$A252&lt;&gt;"Resultado total",('FUENTE NO BORRAR'!F252),""))</f>
        <v>0</v>
      </c>
      <c r="G234" s="6">
        <f>IF('FUENTE NO BORRAR'!G252="","",IF('FUENTE NO BORRAR'!$A252&lt;&gt;"Resultado total",('FUENTE NO BORRAR'!G252),""))</f>
        <v>0</v>
      </c>
      <c r="H234" s="6">
        <f>IF('FUENTE NO BORRAR'!H252="","",IF('FUENTE NO BORRAR'!$A252&lt;&gt;"Resultado total",('FUENTE NO BORRAR'!H252),""))</f>
        <v>0</v>
      </c>
      <c r="I234" s="6">
        <f>IF('FUENTE NO BORRAR'!I252="","",IF('FUENTE NO BORRAR'!$A252&lt;&gt;"Resultado total",('FUENTE NO BORRAR'!I252),""))</f>
        <v>0</v>
      </c>
    </row>
    <row r="235" spans="1:9" x14ac:dyDescent="0.2">
      <c r="A235" s="5" t="str">
        <f>IF('FUENTE NO BORRAR'!A253="","",(IF('FUENTE NO BORRAR'!A253&lt;&gt;"Resultado total",'FUENTE NO BORRAR'!A253,"")))</f>
        <v/>
      </c>
      <c r="B235" s="5" t="str">
        <f>IF('FUENTE NO BORRAR'!B253="","",'FUENTE NO BORRAR'!B253)</f>
        <v/>
      </c>
      <c r="C235" s="5" t="str">
        <f>IF('FUENTE NO BORRAR'!C253="","",'FUENTE NO BORRAR'!C253)</f>
        <v/>
      </c>
      <c r="D235" s="5" t="str">
        <f>IF('FUENTE NO BORRAR'!D253="","",'FUENTE NO BORRAR'!D253)</f>
        <v/>
      </c>
      <c r="E235" s="5" t="str">
        <f>IF('FUENTE NO BORRAR'!E253="","",'FUENTE NO BORRAR'!E253)</f>
        <v/>
      </c>
      <c r="F235" s="6">
        <f>IF('FUENTE NO BORRAR'!F253="","",IF('FUENTE NO BORRAR'!$A253&lt;&gt;"Resultado total",('FUENTE NO BORRAR'!F253),""))</f>
        <v>0</v>
      </c>
      <c r="G235" s="6">
        <f>IF('FUENTE NO BORRAR'!G253="","",IF('FUENTE NO BORRAR'!$A253&lt;&gt;"Resultado total",('FUENTE NO BORRAR'!G253),""))</f>
        <v>0</v>
      </c>
      <c r="H235" s="6">
        <f>IF('FUENTE NO BORRAR'!H253="","",IF('FUENTE NO BORRAR'!$A253&lt;&gt;"Resultado total",('FUENTE NO BORRAR'!H253),""))</f>
        <v>0</v>
      </c>
      <c r="I235" s="6">
        <f>IF('FUENTE NO BORRAR'!I253="","",IF('FUENTE NO BORRAR'!$A253&lt;&gt;"Resultado total",('FUENTE NO BORRAR'!I253),""))</f>
        <v>0</v>
      </c>
    </row>
    <row r="236" spans="1:9" x14ac:dyDescent="0.2">
      <c r="A236" s="5" t="str">
        <f>IF('FUENTE NO BORRAR'!A254="","",(IF('FUENTE NO BORRAR'!A254&lt;&gt;"Resultado total",'FUENTE NO BORRAR'!A254,"")))</f>
        <v/>
      </c>
      <c r="B236" s="5" t="str">
        <f>IF('FUENTE NO BORRAR'!B254="","",'FUENTE NO BORRAR'!B254)</f>
        <v/>
      </c>
      <c r="C236" s="5" t="str">
        <f>IF('FUENTE NO BORRAR'!C254="","",'FUENTE NO BORRAR'!C254)</f>
        <v/>
      </c>
      <c r="D236" s="5" t="str">
        <f>IF('FUENTE NO BORRAR'!D254="","",'FUENTE NO BORRAR'!D254)</f>
        <v/>
      </c>
      <c r="E236" s="5" t="str">
        <f>IF('FUENTE NO BORRAR'!E254="","",'FUENTE NO BORRAR'!E254)</f>
        <v/>
      </c>
      <c r="F236" s="6">
        <f>IF('FUENTE NO BORRAR'!F254="","",IF('FUENTE NO BORRAR'!$A254&lt;&gt;"Resultado total",('FUENTE NO BORRAR'!F254),""))</f>
        <v>0</v>
      </c>
      <c r="G236" s="6">
        <f>IF('FUENTE NO BORRAR'!G254="","",IF('FUENTE NO BORRAR'!$A254&lt;&gt;"Resultado total",('FUENTE NO BORRAR'!G254),""))</f>
        <v>0</v>
      </c>
      <c r="H236" s="6">
        <f>IF('FUENTE NO BORRAR'!H254="","",IF('FUENTE NO BORRAR'!$A254&lt;&gt;"Resultado total",('FUENTE NO BORRAR'!H254),""))</f>
        <v>0</v>
      </c>
      <c r="I236" s="6">
        <f>IF('FUENTE NO BORRAR'!I254="","",IF('FUENTE NO BORRAR'!$A254&lt;&gt;"Resultado total",('FUENTE NO BORRAR'!I254),""))</f>
        <v>0</v>
      </c>
    </row>
    <row r="237" spans="1:9" x14ac:dyDescent="0.2">
      <c r="A237" s="5" t="str">
        <f>IF('FUENTE NO BORRAR'!A255="","",(IF('FUENTE NO BORRAR'!A255&lt;&gt;"Resultado total",'FUENTE NO BORRAR'!A255,"")))</f>
        <v/>
      </c>
      <c r="B237" s="5" t="str">
        <f>IF('FUENTE NO BORRAR'!B255="","",'FUENTE NO BORRAR'!B255)</f>
        <v/>
      </c>
      <c r="C237" s="5" t="str">
        <f>IF('FUENTE NO BORRAR'!C255="","",'FUENTE NO BORRAR'!C255)</f>
        <v/>
      </c>
      <c r="D237" s="5" t="str">
        <f>IF('FUENTE NO BORRAR'!D255="","",'FUENTE NO BORRAR'!D255)</f>
        <v/>
      </c>
      <c r="E237" s="5" t="str">
        <f>IF('FUENTE NO BORRAR'!E255="","",'FUENTE NO BORRAR'!E255)</f>
        <v/>
      </c>
      <c r="F237" s="6">
        <f>IF('FUENTE NO BORRAR'!F255="","",IF('FUENTE NO BORRAR'!$A255&lt;&gt;"Resultado total",('FUENTE NO BORRAR'!F255),""))</f>
        <v>0</v>
      </c>
      <c r="G237" s="6">
        <f>IF('FUENTE NO BORRAR'!G255="","",IF('FUENTE NO BORRAR'!$A255&lt;&gt;"Resultado total",('FUENTE NO BORRAR'!G255),""))</f>
        <v>0</v>
      </c>
      <c r="H237" s="6">
        <f>IF('FUENTE NO BORRAR'!H255="","",IF('FUENTE NO BORRAR'!$A255&lt;&gt;"Resultado total",('FUENTE NO BORRAR'!H255),""))</f>
        <v>0</v>
      </c>
      <c r="I237" s="6">
        <f>IF('FUENTE NO BORRAR'!I255="","",IF('FUENTE NO BORRAR'!$A255&lt;&gt;"Resultado total",('FUENTE NO BORRAR'!I255),""))</f>
        <v>0</v>
      </c>
    </row>
    <row r="238" spans="1:9" x14ac:dyDescent="0.2">
      <c r="A238" s="5" t="str">
        <f>IF('FUENTE NO BORRAR'!A256="","",(IF('FUENTE NO BORRAR'!A256&lt;&gt;"Resultado total",'FUENTE NO BORRAR'!A256,"")))</f>
        <v/>
      </c>
      <c r="B238" s="5" t="str">
        <f>IF('FUENTE NO BORRAR'!B256="","",'FUENTE NO BORRAR'!B256)</f>
        <v/>
      </c>
      <c r="C238" s="5" t="str">
        <f>IF('FUENTE NO BORRAR'!C256="","",'FUENTE NO BORRAR'!C256)</f>
        <v/>
      </c>
      <c r="D238" s="5" t="str">
        <f>IF('FUENTE NO BORRAR'!D256="","",'FUENTE NO BORRAR'!D256)</f>
        <v/>
      </c>
      <c r="E238" s="5" t="str">
        <f>IF('FUENTE NO BORRAR'!E256="","",'FUENTE NO BORRAR'!E256)</f>
        <v/>
      </c>
      <c r="F238" s="6">
        <f>IF('FUENTE NO BORRAR'!F256="","",IF('FUENTE NO BORRAR'!$A256&lt;&gt;"Resultado total",('FUENTE NO BORRAR'!F256),""))</f>
        <v>0</v>
      </c>
      <c r="G238" s="6">
        <f>IF('FUENTE NO BORRAR'!G256="","",IF('FUENTE NO BORRAR'!$A256&lt;&gt;"Resultado total",('FUENTE NO BORRAR'!G256),""))</f>
        <v>0</v>
      </c>
      <c r="H238" s="6">
        <f>IF('FUENTE NO BORRAR'!H256="","",IF('FUENTE NO BORRAR'!$A256&lt;&gt;"Resultado total",('FUENTE NO BORRAR'!H256),""))</f>
        <v>0</v>
      </c>
      <c r="I238" s="6">
        <f>IF('FUENTE NO BORRAR'!I256="","",IF('FUENTE NO BORRAR'!$A256&lt;&gt;"Resultado total",('FUENTE NO BORRAR'!I256),""))</f>
        <v>0</v>
      </c>
    </row>
    <row r="239" spans="1:9" x14ac:dyDescent="0.2">
      <c r="A239" s="5" t="str">
        <f>IF('FUENTE NO BORRAR'!A257="","",(IF('FUENTE NO BORRAR'!A257&lt;&gt;"Resultado total",'FUENTE NO BORRAR'!A257,"")))</f>
        <v/>
      </c>
      <c r="B239" s="5" t="str">
        <f>IF('FUENTE NO BORRAR'!B257="","",'FUENTE NO BORRAR'!B257)</f>
        <v/>
      </c>
      <c r="C239" s="5" t="str">
        <f>IF('FUENTE NO BORRAR'!C257="","",'FUENTE NO BORRAR'!C257)</f>
        <v/>
      </c>
      <c r="D239" s="5" t="str">
        <f>IF('FUENTE NO BORRAR'!D257="","",'FUENTE NO BORRAR'!D257)</f>
        <v/>
      </c>
      <c r="E239" s="5" t="str">
        <f>IF('FUENTE NO BORRAR'!E257="","",'FUENTE NO BORRAR'!E257)</f>
        <v/>
      </c>
      <c r="F239" s="6">
        <f>IF('FUENTE NO BORRAR'!F257="","",IF('FUENTE NO BORRAR'!$A257&lt;&gt;"Resultado total",('FUENTE NO BORRAR'!F257),""))</f>
        <v>0</v>
      </c>
      <c r="G239" s="6">
        <f>IF('FUENTE NO BORRAR'!G257="","",IF('FUENTE NO BORRAR'!$A257&lt;&gt;"Resultado total",('FUENTE NO BORRAR'!G257),""))</f>
        <v>0</v>
      </c>
      <c r="H239" s="6">
        <f>IF('FUENTE NO BORRAR'!H257="","",IF('FUENTE NO BORRAR'!$A257&lt;&gt;"Resultado total",('FUENTE NO BORRAR'!H257),""))</f>
        <v>0</v>
      </c>
      <c r="I239" s="6">
        <f>IF('FUENTE NO BORRAR'!I257="","",IF('FUENTE NO BORRAR'!$A257&lt;&gt;"Resultado total",('FUENTE NO BORRAR'!I257),""))</f>
        <v>0</v>
      </c>
    </row>
    <row r="240" spans="1:9" x14ac:dyDescent="0.2">
      <c r="A240" s="5" t="str">
        <f>IF('FUENTE NO BORRAR'!A258="","",(IF('FUENTE NO BORRAR'!A258&lt;&gt;"Resultado total",'FUENTE NO BORRAR'!A258,"")))</f>
        <v/>
      </c>
      <c r="B240" s="5" t="str">
        <f>IF('FUENTE NO BORRAR'!B258="","",'FUENTE NO BORRAR'!B258)</f>
        <v/>
      </c>
      <c r="C240" s="5" t="str">
        <f>IF('FUENTE NO BORRAR'!C258="","",'FUENTE NO BORRAR'!C258)</f>
        <v/>
      </c>
      <c r="D240" s="5" t="str">
        <f>IF('FUENTE NO BORRAR'!D258="","",'FUENTE NO BORRAR'!D258)</f>
        <v/>
      </c>
      <c r="E240" s="5" t="str">
        <f>IF('FUENTE NO BORRAR'!E258="","",'FUENTE NO BORRAR'!E258)</f>
        <v/>
      </c>
      <c r="F240" s="6">
        <f>IF('FUENTE NO BORRAR'!F258="","",IF('FUENTE NO BORRAR'!$A258&lt;&gt;"Resultado total",('FUENTE NO BORRAR'!F258),""))</f>
        <v>0</v>
      </c>
      <c r="G240" s="6">
        <f>IF('FUENTE NO BORRAR'!G258="","",IF('FUENTE NO BORRAR'!$A258&lt;&gt;"Resultado total",('FUENTE NO BORRAR'!G258),""))</f>
        <v>0</v>
      </c>
      <c r="H240" s="6">
        <f>IF('FUENTE NO BORRAR'!H258="","",IF('FUENTE NO BORRAR'!$A258&lt;&gt;"Resultado total",('FUENTE NO BORRAR'!H258),""))</f>
        <v>0</v>
      </c>
      <c r="I240" s="6">
        <f>IF('FUENTE NO BORRAR'!I258="","",IF('FUENTE NO BORRAR'!$A258&lt;&gt;"Resultado total",('FUENTE NO BORRAR'!I258),""))</f>
        <v>0</v>
      </c>
    </row>
    <row r="241" spans="1:9" x14ac:dyDescent="0.2">
      <c r="A241" s="5" t="str">
        <f>IF('FUENTE NO BORRAR'!A259="","",(IF('FUENTE NO BORRAR'!A259&lt;&gt;"Resultado total",'FUENTE NO BORRAR'!A259,"")))</f>
        <v/>
      </c>
      <c r="B241" s="5" t="str">
        <f>IF('FUENTE NO BORRAR'!B259="","",'FUENTE NO BORRAR'!B259)</f>
        <v/>
      </c>
      <c r="C241" s="5" t="str">
        <f>IF('FUENTE NO BORRAR'!C259="","",'FUENTE NO BORRAR'!C259)</f>
        <v/>
      </c>
      <c r="D241" s="5" t="str">
        <f>IF('FUENTE NO BORRAR'!D259="","",'FUENTE NO BORRAR'!D259)</f>
        <v/>
      </c>
      <c r="E241" s="5" t="str">
        <f>IF('FUENTE NO BORRAR'!E259="","",'FUENTE NO BORRAR'!E259)</f>
        <v/>
      </c>
      <c r="F241" s="6">
        <f>IF('FUENTE NO BORRAR'!F259="","",IF('FUENTE NO BORRAR'!$A259&lt;&gt;"Resultado total",('FUENTE NO BORRAR'!F259),""))</f>
        <v>0</v>
      </c>
      <c r="G241" s="6">
        <f>IF('FUENTE NO BORRAR'!G259="","",IF('FUENTE NO BORRAR'!$A259&lt;&gt;"Resultado total",('FUENTE NO BORRAR'!G259),""))</f>
        <v>0</v>
      </c>
      <c r="H241" s="6">
        <f>IF('FUENTE NO BORRAR'!H259="","",IF('FUENTE NO BORRAR'!$A259&lt;&gt;"Resultado total",('FUENTE NO BORRAR'!H259),""))</f>
        <v>0</v>
      </c>
      <c r="I241" s="6">
        <f>IF('FUENTE NO BORRAR'!I259="","",IF('FUENTE NO BORRAR'!$A259&lt;&gt;"Resultado total",('FUENTE NO BORRAR'!I259),""))</f>
        <v>0</v>
      </c>
    </row>
    <row r="242" spans="1:9" x14ac:dyDescent="0.2">
      <c r="A242" s="5" t="str">
        <f>IF('FUENTE NO BORRAR'!A260="","",(IF('FUENTE NO BORRAR'!A260&lt;&gt;"Resultado total",'FUENTE NO BORRAR'!A260,"")))</f>
        <v/>
      </c>
      <c r="B242" s="5" t="str">
        <f>IF('FUENTE NO BORRAR'!B260="","",'FUENTE NO BORRAR'!B260)</f>
        <v/>
      </c>
      <c r="C242" s="5" t="str">
        <f>IF('FUENTE NO BORRAR'!C260="","",'FUENTE NO BORRAR'!C260)</f>
        <v/>
      </c>
      <c r="D242" s="5" t="str">
        <f>IF('FUENTE NO BORRAR'!D260="","",'FUENTE NO BORRAR'!D260)</f>
        <v/>
      </c>
      <c r="E242" s="5" t="str">
        <f>IF('FUENTE NO BORRAR'!E260="","",'FUENTE NO BORRAR'!E260)</f>
        <v/>
      </c>
      <c r="F242" s="6">
        <f>IF('FUENTE NO BORRAR'!F260="","",IF('FUENTE NO BORRAR'!$A260&lt;&gt;"Resultado total",('FUENTE NO BORRAR'!F260),""))</f>
        <v>0</v>
      </c>
      <c r="G242" s="6">
        <f>IF('FUENTE NO BORRAR'!G260="","",IF('FUENTE NO BORRAR'!$A260&lt;&gt;"Resultado total",('FUENTE NO BORRAR'!G260),""))</f>
        <v>0</v>
      </c>
      <c r="H242" s="6">
        <f>IF('FUENTE NO BORRAR'!H260="","",IF('FUENTE NO BORRAR'!$A260&lt;&gt;"Resultado total",('FUENTE NO BORRAR'!H260),""))</f>
        <v>0</v>
      </c>
      <c r="I242" s="6">
        <f>IF('FUENTE NO BORRAR'!I260="","",IF('FUENTE NO BORRAR'!$A260&lt;&gt;"Resultado total",('FUENTE NO BORRAR'!I260),""))</f>
        <v>0</v>
      </c>
    </row>
    <row r="243" spans="1:9" x14ac:dyDescent="0.2">
      <c r="A243" s="5" t="str">
        <f>IF('FUENTE NO BORRAR'!A261="","",(IF('FUENTE NO BORRAR'!A261&lt;&gt;"Resultado total",'FUENTE NO BORRAR'!A261,"")))</f>
        <v/>
      </c>
      <c r="B243" s="5" t="str">
        <f>IF('FUENTE NO BORRAR'!B261="","",'FUENTE NO BORRAR'!B261)</f>
        <v/>
      </c>
      <c r="C243" s="5" t="str">
        <f>IF('FUENTE NO BORRAR'!C261="","",'FUENTE NO BORRAR'!C261)</f>
        <v>13012121E209</v>
      </c>
      <c r="D243" s="5" t="str">
        <f>IF('FUENTE NO BORRAR'!D261="","",'FUENTE NO BORRAR'!D261)</f>
        <v>13012121E209</v>
      </c>
      <c r="E243" s="5" t="str">
        <f>IF('FUENTE NO BORRAR'!E261="","",'FUENTE NO BORRAR'!E261)</f>
        <v/>
      </c>
      <c r="F243" s="6">
        <f>IF('FUENTE NO BORRAR'!F261="","",IF('FUENTE NO BORRAR'!$A261&lt;&gt;"Resultado total",('FUENTE NO BORRAR'!F261),""))</f>
        <v>530070.02</v>
      </c>
      <c r="G243" s="6">
        <f>IF('FUENTE NO BORRAR'!G261="","",IF('FUENTE NO BORRAR'!$A261&lt;&gt;"Resultado total",('FUENTE NO BORRAR'!G261),""))</f>
        <v>530070.02</v>
      </c>
      <c r="H243" s="6">
        <f>IF('FUENTE NO BORRAR'!H261="","",IF('FUENTE NO BORRAR'!$A261&lt;&gt;"Resultado total",('FUENTE NO BORRAR'!H261),""))</f>
        <v>530070.02</v>
      </c>
      <c r="I243" s="6">
        <f>IF('FUENTE NO BORRAR'!I261="","",IF('FUENTE NO BORRAR'!$A261&lt;&gt;"Resultado total",('FUENTE NO BORRAR'!I261),""))</f>
        <v>0</v>
      </c>
    </row>
    <row r="244" spans="1:9" x14ac:dyDescent="0.2">
      <c r="A244" s="5" t="str">
        <f>IF('FUENTE NO BORRAR'!A262="","",(IF('FUENTE NO BORRAR'!A262&lt;&gt;"Resultado total",'FUENTE NO BORRAR'!A262,"")))</f>
        <v/>
      </c>
      <c r="B244" s="5" t="str">
        <f>IF('FUENTE NO BORRAR'!B262="","",'FUENTE NO BORRAR'!B262)</f>
        <v/>
      </c>
      <c r="C244" s="5" t="str">
        <f>IF('FUENTE NO BORRAR'!C262="","",'FUENTE NO BORRAR'!C262)</f>
        <v/>
      </c>
      <c r="D244" s="5" t="str">
        <f>IF('FUENTE NO BORRAR'!D262="","",'FUENTE NO BORRAR'!D262)</f>
        <v/>
      </c>
      <c r="E244" s="5" t="str">
        <f>IF('FUENTE NO BORRAR'!E262="","",'FUENTE NO BORRAR'!E262)</f>
        <v/>
      </c>
      <c r="F244" s="6">
        <f>IF('FUENTE NO BORRAR'!F262="","",IF('FUENTE NO BORRAR'!$A262&lt;&gt;"Resultado total",('FUENTE NO BORRAR'!F262),""))</f>
        <v>1925589.3</v>
      </c>
      <c r="G244" s="6">
        <f>IF('FUENTE NO BORRAR'!G262="","",IF('FUENTE NO BORRAR'!$A262&lt;&gt;"Resultado total",('FUENTE NO BORRAR'!G262),""))</f>
        <v>1925589.3</v>
      </c>
      <c r="H244" s="6">
        <f>IF('FUENTE NO BORRAR'!H262="","",IF('FUENTE NO BORRAR'!$A262&lt;&gt;"Resultado total",('FUENTE NO BORRAR'!H262),""))</f>
        <v>1925589.3</v>
      </c>
      <c r="I244" s="6">
        <f>IF('FUENTE NO BORRAR'!I262="","",IF('FUENTE NO BORRAR'!$A262&lt;&gt;"Resultado total",('FUENTE NO BORRAR'!I262),""))</f>
        <v>0</v>
      </c>
    </row>
    <row r="245" spans="1:9" x14ac:dyDescent="0.2">
      <c r="A245" s="5" t="str">
        <f>IF('FUENTE NO BORRAR'!A263="","",(IF('FUENTE NO BORRAR'!A263&lt;&gt;"Resultado total",'FUENTE NO BORRAR'!A263,"")))</f>
        <v/>
      </c>
      <c r="B245" s="5" t="str">
        <f>IF('FUENTE NO BORRAR'!B263="","",'FUENTE NO BORRAR'!B263)</f>
        <v/>
      </c>
      <c r="C245" s="5" t="str">
        <f>IF('FUENTE NO BORRAR'!C263="","",'FUENTE NO BORRAR'!C263)</f>
        <v/>
      </c>
      <c r="D245" s="5" t="str">
        <f>IF('FUENTE NO BORRAR'!D263="","",'FUENTE NO BORRAR'!D263)</f>
        <v/>
      </c>
      <c r="E245" s="5" t="str">
        <f>IF('FUENTE NO BORRAR'!E263="","",'FUENTE NO BORRAR'!E263)</f>
        <v/>
      </c>
      <c r="F245" s="6">
        <f>IF('FUENTE NO BORRAR'!F263="","",IF('FUENTE NO BORRAR'!$A263&lt;&gt;"Resultado total",('FUENTE NO BORRAR'!F263),""))</f>
        <v>3353173.32</v>
      </c>
      <c r="G245" s="6">
        <f>IF('FUENTE NO BORRAR'!G263="","",IF('FUENTE NO BORRAR'!$A263&lt;&gt;"Resultado total",('FUENTE NO BORRAR'!G263),""))</f>
        <v>3353173.32</v>
      </c>
      <c r="H245" s="6">
        <f>IF('FUENTE NO BORRAR'!H263="","",IF('FUENTE NO BORRAR'!$A263&lt;&gt;"Resultado total",('FUENTE NO BORRAR'!H263),""))</f>
        <v>3353173.32</v>
      </c>
      <c r="I245" s="6">
        <f>IF('FUENTE NO BORRAR'!I263="","",IF('FUENTE NO BORRAR'!$A263&lt;&gt;"Resultado total",('FUENTE NO BORRAR'!I263),""))</f>
        <v>1.0000000000000001E-9</v>
      </c>
    </row>
    <row r="246" spans="1:9" x14ac:dyDescent="0.2">
      <c r="A246" s="5" t="str">
        <f>IF('FUENTE NO BORRAR'!A264="","",(IF('FUENTE NO BORRAR'!A264&lt;&gt;"Resultado total",'FUENTE NO BORRAR'!A264,"")))</f>
        <v/>
      </c>
      <c r="B246" s="5" t="str">
        <f>IF('FUENTE NO BORRAR'!B264="","",'FUENTE NO BORRAR'!B264)</f>
        <v/>
      </c>
      <c r="C246" s="5" t="str">
        <f>IF('FUENTE NO BORRAR'!C264="","",'FUENTE NO BORRAR'!C264)</f>
        <v/>
      </c>
      <c r="D246" s="5" t="str">
        <f>IF('FUENTE NO BORRAR'!D264="","",'FUENTE NO BORRAR'!D264)</f>
        <v/>
      </c>
      <c r="E246" s="5" t="str">
        <f>IF('FUENTE NO BORRAR'!E264="","",'FUENTE NO BORRAR'!E264)</f>
        <v/>
      </c>
      <c r="F246" s="6">
        <f>IF('FUENTE NO BORRAR'!F264="","",IF('FUENTE NO BORRAR'!$A264&lt;&gt;"Resultado total",('FUENTE NO BORRAR'!F264),""))</f>
        <v>37105.42</v>
      </c>
      <c r="G246" s="6">
        <f>IF('FUENTE NO BORRAR'!G264="","",IF('FUENTE NO BORRAR'!$A264&lt;&gt;"Resultado total",('FUENTE NO BORRAR'!G264),""))</f>
        <v>37105.42</v>
      </c>
      <c r="H246" s="6">
        <f>IF('FUENTE NO BORRAR'!H264="","",IF('FUENTE NO BORRAR'!$A264&lt;&gt;"Resultado total",('FUENTE NO BORRAR'!H264),""))</f>
        <v>37105.42</v>
      </c>
      <c r="I246" s="6">
        <f>IF('FUENTE NO BORRAR'!I264="","",IF('FUENTE NO BORRAR'!$A264&lt;&gt;"Resultado total",('FUENTE NO BORRAR'!I264),""))</f>
        <v>0</v>
      </c>
    </row>
    <row r="247" spans="1:9" x14ac:dyDescent="0.2">
      <c r="A247" s="5" t="str">
        <f>IF('FUENTE NO BORRAR'!A265="","",(IF('FUENTE NO BORRAR'!A265&lt;&gt;"Resultado total",'FUENTE NO BORRAR'!A265,"")))</f>
        <v/>
      </c>
      <c r="B247" s="5" t="str">
        <f>IF('FUENTE NO BORRAR'!B265="","",'FUENTE NO BORRAR'!B265)</f>
        <v/>
      </c>
      <c r="C247" s="5" t="str">
        <f>IF('FUENTE NO BORRAR'!C265="","",'FUENTE NO BORRAR'!C265)</f>
        <v/>
      </c>
      <c r="D247" s="5" t="str">
        <f>IF('FUENTE NO BORRAR'!D265="","",'FUENTE NO BORRAR'!D265)</f>
        <v/>
      </c>
      <c r="E247" s="5" t="str">
        <f>IF('FUENTE NO BORRAR'!E265="","",'FUENTE NO BORRAR'!E265)</f>
        <v/>
      </c>
      <c r="F247" s="6">
        <f>IF('FUENTE NO BORRAR'!F265="","",IF('FUENTE NO BORRAR'!$A265&lt;&gt;"Resultado total",('FUENTE NO BORRAR'!F265),""))</f>
        <v>48419.44</v>
      </c>
      <c r="G247" s="6">
        <f>IF('FUENTE NO BORRAR'!G265="","",IF('FUENTE NO BORRAR'!$A265&lt;&gt;"Resultado total",('FUENTE NO BORRAR'!G265),""))</f>
        <v>48419.44</v>
      </c>
      <c r="H247" s="6">
        <f>IF('FUENTE NO BORRAR'!H265="","",IF('FUENTE NO BORRAR'!$A265&lt;&gt;"Resultado total",('FUENTE NO BORRAR'!H265),""))</f>
        <v>48419.44</v>
      </c>
      <c r="I247" s="6">
        <f>IF('FUENTE NO BORRAR'!I265="","",IF('FUENTE NO BORRAR'!$A265&lt;&gt;"Resultado total",('FUENTE NO BORRAR'!I265),""))</f>
        <v>0</v>
      </c>
    </row>
    <row r="248" spans="1:9" x14ac:dyDescent="0.2">
      <c r="A248" s="5" t="str">
        <f>IF('FUENTE NO BORRAR'!A266="","",(IF('FUENTE NO BORRAR'!A266&lt;&gt;"Resultado total",'FUENTE NO BORRAR'!A266,"")))</f>
        <v/>
      </c>
      <c r="B248" s="5" t="str">
        <f>IF('FUENTE NO BORRAR'!B266="","",'FUENTE NO BORRAR'!B266)</f>
        <v/>
      </c>
      <c r="C248" s="5" t="str">
        <f>IF('FUENTE NO BORRAR'!C266="","",'FUENTE NO BORRAR'!C266)</f>
        <v/>
      </c>
      <c r="D248" s="5" t="str">
        <f>IF('FUENTE NO BORRAR'!D266="","",'FUENTE NO BORRAR'!D266)</f>
        <v/>
      </c>
      <c r="E248" s="5" t="str">
        <f>IF('FUENTE NO BORRAR'!E266="","",'FUENTE NO BORRAR'!E266)</f>
        <v/>
      </c>
      <c r="F248" s="6">
        <f>IF('FUENTE NO BORRAR'!F266="","",IF('FUENTE NO BORRAR'!$A266&lt;&gt;"Resultado total",('FUENTE NO BORRAR'!F266),""))</f>
        <v>90904.68</v>
      </c>
      <c r="G248" s="6">
        <f>IF('FUENTE NO BORRAR'!G266="","",IF('FUENTE NO BORRAR'!$A266&lt;&gt;"Resultado total",('FUENTE NO BORRAR'!G266),""))</f>
        <v>90904.68</v>
      </c>
      <c r="H248" s="6">
        <f>IF('FUENTE NO BORRAR'!H266="","",IF('FUENTE NO BORRAR'!$A266&lt;&gt;"Resultado total",('FUENTE NO BORRAR'!H266),""))</f>
        <v>90904.68</v>
      </c>
      <c r="I248" s="6">
        <f>IF('FUENTE NO BORRAR'!I266="","",IF('FUENTE NO BORRAR'!$A266&lt;&gt;"Resultado total",('FUENTE NO BORRAR'!I266),""))</f>
        <v>0</v>
      </c>
    </row>
    <row r="249" spans="1:9" x14ac:dyDescent="0.2">
      <c r="A249" s="5" t="str">
        <f>IF('FUENTE NO BORRAR'!A267="","",(IF('FUENTE NO BORRAR'!A267&lt;&gt;"Resultado total",'FUENTE NO BORRAR'!A267,"")))</f>
        <v/>
      </c>
      <c r="B249" s="5" t="str">
        <f>IF('FUENTE NO BORRAR'!B267="","",'FUENTE NO BORRAR'!B267)</f>
        <v/>
      </c>
      <c r="C249" s="5" t="str">
        <f>IF('FUENTE NO BORRAR'!C267="","",'FUENTE NO BORRAR'!C267)</f>
        <v/>
      </c>
      <c r="D249" s="5" t="str">
        <f>IF('FUENTE NO BORRAR'!D267="","",'FUENTE NO BORRAR'!D267)</f>
        <v/>
      </c>
      <c r="E249" s="5" t="str">
        <f>IF('FUENTE NO BORRAR'!E267="","",'FUENTE NO BORRAR'!E267)</f>
        <v/>
      </c>
      <c r="F249" s="6">
        <f>IF('FUENTE NO BORRAR'!F267="","",IF('FUENTE NO BORRAR'!$A267&lt;&gt;"Resultado total",('FUENTE NO BORRAR'!F267),""))</f>
        <v>628114.76</v>
      </c>
      <c r="G249" s="6">
        <f>IF('FUENTE NO BORRAR'!G267="","",IF('FUENTE NO BORRAR'!$A267&lt;&gt;"Resultado total",('FUENTE NO BORRAR'!G267),""))</f>
        <v>628114.76</v>
      </c>
      <c r="H249" s="6">
        <f>IF('FUENTE NO BORRAR'!H267="","",IF('FUENTE NO BORRAR'!$A267&lt;&gt;"Resultado total",('FUENTE NO BORRAR'!H267),""))</f>
        <v>628114.76</v>
      </c>
      <c r="I249" s="6">
        <f>IF('FUENTE NO BORRAR'!I267="","",IF('FUENTE NO BORRAR'!$A267&lt;&gt;"Resultado total",('FUENTE NO BORRAR'!I267),""))</f>
        <v>0</v>
      </c>
    </row>
    <row r="250" spans="1:9" x14ac:dyDescent="0.2">
      <c r="A250" s="5" t="str">
        <f>IF('FUENTE NO BORRAR'!A268="","",(IF('FUENTE NO BORRAR'!A268&lt;&gt;"Resultado total",'FUENTE NO BORRAR'!A268,"")))</f>
        <v/>
      </c>
      <c r="B250" s="5" t="str">
        <f>IF('FUENTE NO BORRAR'!B268="","",'FUENTE NO BORRAR'!B268)</f>
        <v/>
      </c>
      <c r="C250" s="5" t="str">
        <f>IF('FUENTE NO BORRAR'!C268="","",'FUENTE NO BORRAR'!C268)</f>
        <v/>
      </c>
      <c r="D250" s="5" t="str">
        <f>IF('FUENTE NO BORRAR'!D268="","",'FUENTE NO BORRAR'!D268)</f>
        <v/>
      </c>
      <c r="E250" s="5" t="str">
        <f>IF('FUENTE NO BORRAR'!E268="","",'FUENTE NO BORRAR'!E268)</f>
        <v/>
      </c>
      <c r="F250" s="6">
        <f>IF('FUENTE NO BORRAR'!F268="","",IF('FUENTE NO BORRAR'!$A268&lt;&gt;"Resultado total",('FUENTE NO BORRAR'!F268),""))</f>
        <v>8783068.0800000001</v>
      </c>
      <c r="G250" s="6">
        <f>IF('FUENTE NO BORRAR'!G268="","",IF('FUENTE NO BORRAR'!$A268&lt;&gt;"Resultado total",('FUENTE NO BORRAR'!G268),""))</f>
        <v>8783068.0800000001</v>
      </c>
      <c r="H250" s="6">
        <f>IF('FUENTE NO BORRAR'!H268="","",IF('FUENTE NO BORRAR'!$A268&lt;&gt;"Resultado total",('FUENTE NO BORRAR'!H268),""))</f>
        <v>8818276.9100000001</v>
      </c>
      <c r="I250" s="6">
        <f>IF('FUENTE NO BORRAR'!I268="","",IF('FUENTE NO BORRAR'!$A268&lt;&gt;"Resultado total",('FUENTE NO BORRAR'!I268),""))</f>
        <v>2.0000000000000001E-9</v>
      </c>
    </row>
    <row r="251" spans="1:9" x14ac:dyDescent="0.2">
      <c r="A251" s="5" t="str">
        <f>IF('FUENTE NO BORRAR'!A269="","",(IF('FUENTE NO BORRAR'!A269&lt;&gt;"Resultado total",'FUENTE NO BORRAR'!A269,"")))</f>
        <v/>
      </c>
      <c r="B251" s="5" t="str">
        <f>IF('FUENTE NO BORRAR'!B269="","",'FUENTE NO BORRAR'!B269)</f>
        <v/>
      </c>
      <c r="C251" s="5" t="str">
        <f>IF('FUENTE NO BORRAR'!C269="","",'FUENTE NO BORRAR'!C269)</f>
        <v/>
      </c>
      <c r="D251" s="5" t="str">
        <f>IF('FUENTE NO BORRAR'!D269="","",'FUENTE NO BORRAR'!D269)</f>
        <v/>
      </c>
      <c r="E251" s="5" t="str">
        <f>IF('FUENTE NO BORRAR'!E269="","",'FUENTE NO BORRAR'!E269)</f>
        <v/>
      </c>
      <c r="F251" s="6">
        <f>IF('FUENTE NO BORRAR'!F269="","",IF('FUENTE NO BORRAR'!$A269&lt;&gt;"Resultado total",('FUENTE NO BORRAR'!F269),""))</f>
        <v>2532114.4700000002</v>
      </c>
      <c r="G251" s="6">
        <f>IF('FUENTE NO BORRAR'!G269="","",IF('FUENTE NO BORRAR'!$A269&lt;&gt;"Resultado total",('FUENTE NO BORRAR'!G269),""))</f>
        <v>2532114.4700000002</v>
      </c>
      <c r="H251" s="6">
        <f>IF('FUENTE NO BORRAR'!H269="","",IF('FUENTE NO BORRAR'!$A269&lt;&gt;"Resultado total",('FUENTE NO BORRAR'!H269),""))</f>
        <v>2532114.4700000002</v>
      </c>
      <c r="I251" s="6">
        <f>IF('FUENTE NO BORRAR'!I269="","",IF('FUENTE NO BORRAR'!$A269&lt;&gt;"Resultado total",('FUENTE NO BORRAR'!I269),""))</f>
        <v>0</v>
      </c>
    </row>
    <row r="252" spans="1:9" x14ac:dyDescent="0.2">
      <c r="A252" s="5" t="str">
        <f>IF('FUENTE NO BORRAR'!A270="","",(IF('FUENTE NO BORRAR'!A270&lt;&gt;"Resultado total",'FUENTE NO BORRAR'!A270,"")))</f>
        <v/>
      </c>
      <c r="B252" s="5" t="str">
        <f>IF('FUENTE NO BORRAR'!B270="","",'FUENTE NO BORRAR'!B270)</f>
        <v/>
      </c>
      <c r="C252" s="5" t="str">
        <f>IF('FUENTE NO BORRAR'!C270="","",'FUENTE NO BORRAR'!C270)</f>
        <v/>
      </c>
      <c r="D252" s="5" t="str">
        <f>IF('FUENTE NO BORRAR'!D270="","",'FUENTE NO BORRAR'!D270)</f>
        <v/>
      </c>
      <c r="E252" s="5" t="str">
        <f>IF('FUENTE NO BORRAR'!E270="","",'FUENTE NO BORRAR'!E270)</f>
        <v/>
      </c>
      <c r="F252" s="6">
        <f>IF('FUENTE NO BORRAR'!F270="","",IF('FUENTE NO BORRAR'!$A270&lt;&gt;"Resultado total",('FUENTE NO BORRAR'!F270),""))</f>
        <v>912351.13</v>
      </c>
      <c r="G252" s="6">
        <f>IF('FUENTE NO BORRAR'!G270="","",IF('FUENTE NO BORRAR'!$A270&lt;&gt;"Resultado total",('FUENTE NO BORRAR'!G270),""))</f>
        <v>912351.13</v>
      </c>
      <c r="H252" s="6">
        <f>IF('FUENTE NO BORRAR'!H270="","",IF('FUENTE NO BORRAR'!$A270&lt;&gt;"Resultado total",('FUENTE NO BORRAR'!H270),""))</f>
        <v>912351.13</v>
      </c>
      <c r="I252" s="6">
        <f>IF('FUENTE NO BORRAR'!I270="","",IF('FUENTE NO BORRAR'!$A270&lt;&gt;"Resultado total",('FUENTE NO BORRAR'!I270),""))</f>
        <v>0</v>
      </c>
    </row>
    <row r="253" spans="1:9" x14ac:dyDescent="0.2">
      <c r="A253" s="5" t="str">
        <f>IF('FUENTE NO BORRAR'!A271="","",(IF('FUENTE NO BORRAR'!A271&lt;&gt;"Resultado total",'FUENTE NO BORRAR'!A271,"")))</f>
        <v/>
      </c>
      <c r="B253" s="5" t="str">
        <f>IF('FUENTE NO BORRAR'!B271="","",'FUENTE NO BORRAR'!B271)</f>
        <v/>
      </c>
      <c r="C253" s="5" t="str">
        <f>IF('FUENTE NO BORRAR'!C271="","",'FUENTE NO BORRAR'!C271)</f>
        <v/>
      </c>
      <c r="D253" s="5" t="str">
        <f>IF('FUENTE NO BORRAR'!D271="","",'FUENTE NO BORRAR'!D271)</f>
        <v/>
      </c>
      <c r="E253" s="5" t="str">
        <f>IF('FUENTE NO BORRAR'!E271="","",'FUENTE NO BORRAR'!E271)</f>
        <v/>
      </c>
      <c r="F253" s="6">
        <f>IF('FUENTE NO BORRAR'!F271="","",IF('FUENTE NO BORRAR'!$A271&lt;&gt;"Resultado total",('FUENTE NO BORRAR'!F271),""))</f>
        <v>291963.33</v>
      </c>
      <c r="G253" s="6">
        <f>IF('FUENTE NO BORRAR'!G271="","",IF('FUENTE NO BORRAR'!$A271&lt;&gt;"Resultado total",('FUENTE NO BORRAR'!G271),""))</f>
        <v>291963.33</v>
      </c>
      <c r="H253" s="6">
        <f>IF('FUENTE NO BORRAR'!H271="","",IF('FUENTE NO BORRAR'!$A271&lt;&gt;"Resultado total",('FUENTE NO BORRAR'!H271),""))</f>
        <v>291963.33</v>
      </c>
      <c r="I253" s="6">
        <f>IF('FUENTE NO BORRAR'!I271="","",IF('FUENTE NO BORRAR'!$A271&lt;&gt;"Resultado total",('FUENTE NO BORRAR'!I271),""))</f>
        <v>0</v>
      </c>
    </row>
    <row r="254" spans="1:9" x14ac:dyDescent="0.2">
      <c r="A254" s="5" t="str">
        <f>IF('FUENTE NO BORRAR'!A272="","",(IF('FUENTE NO BORRAR'!A272&lt;&gt;"Resultado total",'FUENTE NO BORRAR'!A272,"")))</f>
        <v/>
      </c>
      <c r="B254" s="5" t="str">
        <f>IF('FUENTE NO BORRAR'!B272="","",'FUENTE NO BORRAR'!B272)</f>
        <v/>
      </c>
      <c r="C254" s="5" t="str">
        <f>IF('FUENTE NO BORRAR'!C272="","",'FUENTE NO BORRAR'!C272)</f>
        <v/>
      </c>
      <c r="D254" s="5" t="str">
        <f>IF('FUENTE NO BORRAR'!D272="","",'FUENTE NO BORRAR'!D272)</f>
        <v/>
      </c>
      <c r="E254" s="5" t="str">
        <f>IF('FUENTE NO BORRAR'!E272="","",'FUENTE NO BORRAR'!E272)</f>
        <v/>
      </c>
      <c r="F254" s="6">
        <f>IF('FUENTE NO BORRAR'!F272="","",IF('FUENTE NO BORRAR'!$A272&lt;&gt;"Resultado total",('FUENTE NO BORRAR'!F272),""))</f>
        <v>137146.12</v>
      </c>
      <c r="G254" s="6">
        <f>IF('FUENTE NO BORRAR'!G272="","",IF('FUENTE NO BORRAR'!$A272&lt;&gt;"Resultado total",('FUENTE NO BORRAR'!G272),""))</f>
        <v>137146.12</v>
      </c>
      <c r="H254" s="6">
        <f>IF('FUENTE NO BORRAR'!H272="","",IF('FUENTE NO BORRAR'!$A272&lt;&gt;"Resultado total",('FUENTE NO BORRAR'!H272),""))</f>
        <v>137146.12</v>
      </c>
      <c r="I254" s="6">
        <f>IF('FUENTE NO BORRAR'!I272="","",IF('FUENTE NO BORRAR'!$A272&lt;&gt;"Resultado total",('FUENTE NO BORRAR'!I272),""))</f>
        <v>0</v>
      </c>
    </row>
    <row r="255" spans="1:9" x14ac:dyDescent="0.2">
      <c r="A255" s="5" t="str">
        <f>IF('FUENTE NO BORRAR'!A273="","",(IF('FUENTE NO BORRAR'!A273&lt;&gt;"Resultado total",'FUENTE NO BORRAR'!A273,"")))</f>
        <v/>
      </c>
      <c r="B255" s="5" t="str">
        <f>IF('FUENTE NO BORRAR'!B273="","",'FUENTE NO BORRAR'!B273)</f>
        <v/>
      </c>
      <c r="C255" s="5" t="str">
        <f>IF('FUENTE NO BORRAR'!C273="","",'FUENTE NO BORRAR'!C273)</f>
        <v/>
      </c>
      <c r="D255" s="5" t="str">
        <f>IF('FUENTE NO BORRAR'!D273="","",'FUENTE NO BORRAR'!D273)</f>
        <v/>
      </c>
      <c r="E255" s="5" t="str">
        <f>IF('FUENTE NO BORRAR'!E273="","",'FUENTE NO BORRAR'!E273)</f>
        <v/>
      </c>
      <c r="F255" s="6">
        <f>IF('FUENTE NO BORRAR'!F273="","",IF('FUENTE NO BORRAR'!$A273&lt;&gt;"Resultado total",('FUENTE NO BORRAR'!F273),""))</f>
        <v>282512.64000000001</v>
      </c>
      <c r="G255" s="6">
        <f>IF('FUENTE NO BORRAR'!G273="","",IF('FUENTE NO BORRAR'!$A273&lt;&gt;"Resultado total",('FUENTE NO BORRAR'!G273),""))</f>
        <v>282512.64000000001</v>
      </c>
      <c r="H255" s="6">
        <f>IF('FUENTE NO BORRAR'!H273="","",IF('FUENTE NO BORRAR'!$A273&lt;&gt;"Resultado total",('FUENTE NO BORRAR'!H273),""))</f>
        <v>282512.64000000001</v>
      </c>
      <c r="I255" s="6">
        <f>IF('FUENTE NO BORRAR'!I273="","",IF('FUENTE NO BORRAR'!$A273&lt;&gt;"Resultado total",('FUENTE NO BORRAR'!I273),""))</f>
        <v>0</v>
      </c>
    </row>
    <row r="256" spans="1:9" x14ac:dyDescent="0.2">
      <c r="A256" s="5" t="str">
        <f>IF('FUENTE NO BORRAR'!A274="","",(IF('FUENTE NO BORRAR'!A274&lt;&gt;"Resultado total",'FUENTE NO BORRAR'!A274,"")))</f>
        <v/>
      </c>
      <c r="B256" s="5" t="str">
        <f>IF('FUENTE NO BORRAR'!B274="","",'FUENTE NO BORRAR'!B274)</f>
        <v/>
      </c>
      <c r="C256" s="5" t="str">
        <f>IF('FUENTE NO BORRAR'!C274="","",'FUENTE NO BORRAR'!C274)</f>
        <v/>
      </c>
      <c r="D256" s="5" t="str">
        <f>IF('FUENTE NO BORRAR'!D274="","",'FUENTE NO BORRAR'!D274)</f>
        <v/>
      </c>
      <c r="E256" s="5" t="str">
        <f>IF('FUENTE NO BORRAR'!E274="","",'FUENTE NO BORRAR'!E274)</f>
        <v/>
      </c>
      <c r="F256" s="6">
        <f>IF('FUENTE NO BORRAR'!F274="","",IF('FUENTE NO BORRAR'!$A274&lt;&gt;"Resultado total",('FUENTE NO BORRAR'!F274),""))</f>
        <v>882077.35</v>
      </c>
      <c r="G256" s="6">
        <f>IF('FUENTE NO BORRAR'!G274="","",IF('FUENTE NO BORRAR'!$A274&lt;&gt;"Resultado total",('FUENTE NO BORRAR'!G274),""))</f>
        <v>882077.35</v>
      </c>
      <c r="H256" s="6">
        <f>IF('FUENTE NO BORRAR'!H274="","",IF('FUENTE NO BORRAR'!$A274&lt;&gt;"Resultado total",('FUENTE NO BORRAR'!H274),""))</f>
        <v>880127.35</v>
      </c>
      <c r="I256" s="6">
        <f>IF('FUENTE NO BORRAR'!I274="","",IF('FUENTE NO BORRAR'!$A274&lt;&gt;"Resultado total",('FUENTE NO BORRAR'!I274),""))</f>
        <v>0</v>
      </c>
    </row>
    <row r="257" spans="1:9" x14ac:dyDescent="0.2">
      <c r="A257" s="5" t="str">
        <f>IF('FUENTE NO BORRAR'!A275="","",(IF('FUENTE NO BORRAR'!A275&lt;&gt;"Resultado total",'FUENTE NO BORRAR'!A275,"")))</f>
        <v/>
      </c>
      <c r="B257" s="5" t="str">
        <f>IF('FUENTE NO BORRAR'!B275="","",'FUENTE NO BORRAR'!B275)</f>
        <v/>
      </c>
      <c r="C257" s="5" t="str">
        <f>IF('FUENTE NO BORRAR'!C275="","",'FUENTE NO BORRAR'!C275)</f>
        <v/>
      </c>
      <c r="D257" s="5" t="str">
        <f>IF('FUENTE NO BORRAR'!D275="","",'FUENTE NO BORRAR'!D275)</f>
        <v/>
      </c>
      <c r="E257" s="5" t="str">
        <f>IF('FUENTE NO BORRAR'!E275="","",'FUENTE NO BORRAR'!E275)</f>
        <v/>
      </c>
      <c r="F257" s="6">
        <f>IF('FUENTE NO BORRAR'!F275="","",IF('FUENTE NO BORRAR'!$A275&lt;&gt;"Resultado total",('FUENTE NO BORRAR'!F275),""))</f>
        <v>37942.699999999997</v>
      </c>
      <c r="G257" s="6">
        <f>IF('FUENTE NO BORRAR'!G275="","",IF('FUENTE NO BORRAR'!$A275&lt;&gt;"Resultado total",('FUENTE NO BORRAR'!G275),""))</f>
        <v>37942.699999999997</v>
      </c>
      <c r="H257" s="6">
        <f>IF('FUENTE NO BORRAR'!H275="","",IF('FUENTE NO BORRAR'!$A275&lt;&gt;"Resultado total",('FUENTE NO BORRAR'!H275),""))</f>
        <v>37942.699999999997</v>
      </c>
      <c r="I257" s="6">
        <f>IF('FUENTE NO BORRAR'!I275="","",IF('FUENTE NO BORRAR'!$A275&lt;&gt;"Resultado total",('FUENTE NO BORRAR'!I275),""))</f>
        <v>0</v>
      </c>
    </row>
    <row r="258" spans="1:9" x14ac:dyDescent="0.2">
      <c r="A258" s="5" t="str">
        <f>IF('FUENTE NO BORRAR'!A276="","",(IF('FUENTE NO BORRAR'!A276&lt;&gt;"Resultado total",'FUENTE NO BORRAR'!A276,"")))</f>
        <v/>
      </c>
      <c r="B258" s="5" t="str">
        <f>IF('FUENTE NO BORRAR'!B276="","",'FUENTE NO BORRAR'!B276)</f>
        <v/>
      </c>
      <c r="C258" s="5" t="str">
        <f>IF('FUENTE NO BORRAR'!C276="","",'FUENTE NO BORRAR'!C276)</f>
        <v/>
      </c>
      <c r="D258" s="5" t="str">
        <f>IF('FUENTE NO BORRAR'!D276="","",'FUENTE NO BORRAR'!D276)</f>
        <v/>
      </c>
      <c r="E258" s="5" t="str">
        <f>IF('FUENTE NO BORRAR'!E276="","",'FUENTE NO BORRAR'!E276)</f>
        <v/>
      </c>
      <c r="F258" s="6">
        <f>IF('FUENTE NO BORRAR'!F276="","",IF('FUENTE NO BORRAR'!$A276&lt;&gt;"Resultado total",('FUENTE NO BORRAR'!F276),""))</f>
        <v>18319.689999999999</v>
      </c>
      <c r="G258" s="6">
        <f>IF('FUENTE NO BORRAR'!G276="","",IF('FUENTE NO BORRAR'!$A276&lt;&gt;"Resultado total",('FUENTE NO BORRAR'!G276),""))</f>
        <v>18319.689999999999</v>
      </c>
      <c r="H258" s="6">
        <f>IF('FUENTE NO BORRAR'!H276="","",IF('FUENTE NO BORRAR'!$A276&lt;&gt;"Resultado total",('FUENTE NO BORRAR'!H276),""))</f>
        <v>13981.08</v>
      </c>
      <c r="I258" s="6">
        <f>IF('FUENTE NO BORRAR'!I276="","",IF('FUENTE NO BORRAR'!$A276&lt;&gt;"Resultado total",('FUENTE NO BORRAR'!I276),""))</f>
        <v>0</v>
      </c>
    </row>
    <row r="259" spans="1:9" x14ac:dyDescent="0.2">
      <c r="A259" s="5" t="str">
        <f>IF('FUENTE NO BORRAR'!A277="","",(IF('FUENTE NO BORRAR'!A277&lt;&gt;"Resultado total",'FUENTE NO BORRAR'!A277,"")))</f>
        <v/>
      </c>
      <c r="B259" s="5" t="str">
        <f>IF('FUENTE NO BORRAR'!B277="","",'FUENTE NO BORRAR'!B277)</f>
        <v/>
      </c>
      <c r="C259" s="5" t="str">
        <f>IF('FUENTE NO BORRAR'!C277="","",'FUENTE NO BORRAR'!C277)</f>
        <v/>
      </c>
      <c r="D259" s="5" t="str">
        <f>IF('FUENTE NO BORRAR'!D277="","",'FUENTE NO BORRAR'!D277)</f>
        <v/>
      </c>
      <c r="E259" s="5" t="str">
        <f>IF('FUENTE NO BORRAR'!E277="","",'FUENTE NO BORRAR'!E277)</f>
        <v/>
      </c>
      <c r="F259" s="6">
        <f>IF('FUENTE NO BORRAR'!F277="","",IF('FUENTE NO BORRAR'!$A277&lt;&gt;"Resultado total",('FUENTE NO BORRAR'!F277),""))</f>
        <v>390.21</v>
      </c>
      <c r="G259" s="6">
        <f>IF('FUENTE NO BORRAR'!G277="","",IF('FUENTE NO BORRAR'!$A277&lt;&gt;"Resultado total",('FUENTE NO BORRAR'!G277),""))</f>
        <v>390.21</v>
      </c>
      <c r="H259" s="6">
        <f>IF('FUENTE NO BORRAR'!H277="","",IF('FUENTE NO BORRAR'!$A277&lt;&gt;"Resultado total",('FUENTE NO BORRAR'!H277),""))</f>
        <v>390.21</v>
      </c>
      <c r="I259" s="6">
        <f>IF('FUENTE NO BORRAR'!I277="","",IF('FUENTE NO BORRAR'!$A277&lt;&gt;"Resultado total",('FUENTE NO BORRAR'!I277),""))</f>
        <v>0</v>
      </c>
    </row>
    <row r="260" spans="1:9" x14ac:dyDescent="0.2">
      <c r="A260" s="5" t="str">
        <f>IF('FUENTE NO BORRAR'!A278="","",(IF('FUENTE NO BORRAR'!A278&lt;&gt;"Resultado total",'FUENTE NO BORRAR'!A278,"")))</f>
        <v/>
      </c>
      <c r="B260" s="5" t="str">
        <f>IF('FUENTE NO BORRAR'!B278="","",'FUENTE NO BORRAR'!B278)</f>
        <v/>
      </c>
      <c r="C260" s="5" t="str">
        <f>IF('FUENTE NO BORRAR'!C278="","",'FUENTE NO BORRAR'!C278)</f>
        <v/>
      </c>
      <c r="D260" s="5" t="str">
        <f>IF('FUENTE NO BORRAR'!D278="","",'FUENTE NO BORRAR'!D278)</f>
        <v/>
      </c>
      <c r="E260" s="5" t="str">
        <f>IF('FUENTE NO BORRAR'!E278="","",'FUENTE NO BORRAR'!E278)</f>
        <v/>
      </c>
      <c r="F260" s="6">
        <f>IF('FUENTE NO BORRAR'!F278="","",IF('FUENTE NO BORRAR'!$A278&lt;&gt;"Resultado total",('FUENTE NO BORRAR'!F278),""))</f>
        <v>75.52</v>
      </c>
      <c r="G260" s="6">
        <f>IF('FUENTE NO BORRAR'!G278="","",IF('FUENTE NO BORRAR'!$A278&lt;&gt;"Resultado total",('FUENTE NO BORRAR'!G278),""))</f>
        <v>75.52</v>
      </c>
      <c r="H260" s="6">
        <f>IF('FUENTE NO BORRAR'!H278="","",IF('FUENTE NO BORRAR'!$A278&lt;&gt;"Resultado total",('FUENTE NO BORRAR'!H278),""))</f>
        <v>75.52</v>
      </c>
      <c r="I260" s="6">
        <f>IF('FUENTE NO BORRAR'!I278="","",IF('FUENTE NO BORRAR'!$A278&lt;&gt;"Resultado total",('FUENTE NO BORRAR'!I278),""))</f>
        <v>0</v>
      </c>
    </row>
    <row r="261" spans="1:9" x14ac:dyDescent="0.2">
      <c r="A261" s="5" t="str">
        <f>IF('FUENTE NO BORRAR'!A279="","",(IF('FUENTE NO BORRAR'!A279&lt;&gt;"Resultado total",'FUENTE NO BORRAR'!A279,"")))</f>
        <v/>
      </c>
      <c r="B261" s="5" t="str">
        <f>IF('FUENTE NO BORRAR'!B279="","",'FUENTE NO BORRAR'!B279)</f>
        <v/>
      </c>
      <c r="C261" s="5" t="str">
        <f>IF('FUENTE NO BORRAR'!C279="","",'FUENTE NO BORRAR'!C279)</f>
        <v/>
      </c>
      <c r="D261" s="5" t="str">
        <f>IF('FUENTE NO BORRAR'!D279="","",'FUENTE NO BORRAR'!D279)</f>
        <v/>
      </c>
      <c r="E261" s="5" t="str">
        <f>IF('FUENTE NO BORRAR'!E279="","",'FUENTE NO BORRAR'!E279)</f>
        <v/>
      </c>
      <c r="F261" s="6">
        <f>IF('FUENTE NO BORRAR'!F279="","",IF('FUENTE NO BORRAR'!$A279&lt;&gt;"Resultado total",('FUENTE NO BORRAR'!F279),""))</f>
        <v>15860.16</v>
      </c>
      <c r="G261" s="6">
        <f>IF('FUENTE NO BORRAR'!G279="","",IF('FUENTE NO BORRAR'!$A279&lt;&gt;"Resultado total",('FUENTE NO BORRAR'!G279),""))</f>
        <v>15860.16</v>
      </c>
      <c r="H261" s="6">
        <f>IF('FUENTE NO BORRAR'!H279="","",IF('FUENTE NO BORRAR'!$A279&lt;&gt;"Resultado total",('FUENTE NO BORRAR'!H279),""))</f>
        <v>10500.17</v>
      </c>
      <c r="I261" s="6">
        <f>IF('FUENTE NO BORRAR'!I279="","",IF('FUENTE NO BORRAR'!$A279&lt;&gt;"Resultado total",('FUENTE NO BORRAR'!I279),""))</f>
        <v>0</v>
      </c>
    </row>
    <row r="262" spans="1:9" x14ac:dyDescent="0.2">
      <c r="A262" s="5" t="str">
        <f>IF('FUENTE NO BORRAR'!A280="","",(IF('FUENTE NO BORRAR'!A280&lt;&gt;"Resultado total",'FUENTE NO BORRAR'!A280,"")))</f>
        <v/>
      </c>
      <c r="B262" s="5" t="str">
        <f>IF('FUENTE NO BORRAR'!B280="","",'FUENTE NO BORRAR'!B280)</f>
        <v/>
      </c>
      <c r="C262" s="5" t="str">
        <f>IF('FUENTE NO BORRAR'!C280="","",'FUENTE NO BORRAR'!C280)</f>
        <v/>
      </c>
      <c r="D262" s="5" t="str">
        <f>IF('FUENTE NO BORRAR'!D280="","",'FUENTE NO BORRAR'!D280)</f>
        <v/>
      </c>
      <c r="E262" s="5" t="str">
        <f>IF('FUENTE NO BORRAR'!E280="","",'FUENTE NO BORRAR'!E280)</f>
        <v/>
      </c>
      <c r="F262" s="6">
        <f>IF('FUENTE NO BORRAR'!F280="","",IF('FUENTE NO BORRAR'!$A280&lt;&gt;"Resultado total",('FUENTE NO BORRAR'!F280),""))</f>
        <v>49105.1</v>
      </c>
      <c r="G262" s="6">
        <f>IF('FUENTE NO BORRAR'!G280="","",IF('FUENTE NO BORRAR'!$A280&lt;&gt;"Resultado total",('FUENTE NO BORRAR'!G280),""))</f>
        <v>49105.1</v>
      </c>
      <c r="H262" s="6">
        <f>IF('FUENTE NO BORRAR'!H280="","",IF('FUENTE NO BORRAR'!$A280&lt;&gt;"Resultado total",('FUENTE NO BORRAR'!H280),""))</f>
        <v>36195.589999999997</v>
      </c>
      <c r="I262" s="6">
        <f>IF('FUENTE NO BORRAR'!I280="","",IF('FUENTE NO BORRAR'!$A280&lt;&gt;"Resultado total",('FUENTE NO BORRAR'!I280),""))</f>
        <v>0</v>
      </c>
    </row>
    <row r="263" spans="1:9" x14ac:dyDescent="0.2">
      <c r="A263" s="5" t="str">
        <f>IF('FUENTE NO BORRAR'!A281="","",(IF('FUENTE NO BORRAR'!A281&lt;&gt;"Resultado total",'FUENTE NO BORRAR'!A281,"")))</f>
        <v/>
      </c>
      <c r="B263" s="5" t="str">
        <f>IF('FUENTE NO BORRAR'!B281="","",'FUENTE NO BORRAR'!B281)</f>
        <v/>
      </c>
      <c r="C263" s="5" t="str">
        <f>IF('FUENTE NO BORRAR'!C281="","",'FUENTE NO BORRAR'!C281)</f>
        <v/>
      </c>
      <c r="D263" s="5" t="str">
        <f>IF('FUENTE NO BORRAR'!D281="","",'FUENTE NO BORRAR'!D281)</f>
        <v/>
      </c>
      <c r="E263" s="5" t="str">
        <f>IF('FUENTE NO BORRAR'!E281="","",'FUENTE NO BORRAR'!E281)</f>
        <v/>
      </c>
      <c r="F263" s="6">
        <f>IF('FUENTE NO BORRAR'!F281="","",IF('FUENTE NO BORRAR'!$A281&lt;&gt;"Resultado total",('FUENTE NO BORRAR'!F281),""))</f>
        <v>7901.95</v>
      </c>
      <c r="G263" s="6">
        <f>IF('FUENTE NO BORRAR'!G281="","",IF('FUENTE NO BORRAR'!$A281&lt;&gt;"Resultado total",('FUENTE NO BORRAR'!G281),""))</f>
        <v>7901.95</v>
      </c>
      <c r="H263" s="6">
        <f>IF('FUENTE NO BORRAR'!H281="","",IF('FUENTE NO BORRAR'!$A281&lt;&gt;"Resultado total",('FUENTE NO BORRAR'!H281),""))</f>
        <v>4537.95</v>
      </c>
      <c r="I263" s="6">
        <f>IF('FUENTE NO BORRAR'!I281="","",IF('FUENTE NO BORRAR'!$A281&lt;&gt;"Resultado total",('FUENTE NO BORRAR'!I281),""))</f>
        <v>0</v>
      </c>
    </row>
    <row r="264" spans="1:9" x14ac:dyDescent="0.2">
      <c r="A264" s="5" t="str">
        <f>IF('FUENTE NO BORRAR'!A282="","",(IF('FUENTE NO BORRAR'!A282&lt;&gt;"Resultado total",'FUENTE NO BORRAR'!A282,"")))</f>
        <v/>
      </c>
      <c r="B264" s="5" t="str">
        <f>IF('FUENTE NO BORRAR'!B282="","",'FUENTE NO BORRAR'!B282)</f>
        <v/>
      </c>
      <c r="C264" s="5" t="str">
        <f>IF('FUENTE NO BORRAR'!C282="","",'FUENTE NO BORRAR'!C282)</f>
        <v/>
      </c>
      <c r="D264" s="5" t="str">
        <f>IF('FUENTE NO BORRAR'!D282="","",'FUENTE NO BORRAR'!D282)</f>
        <v/>
      </c>
      <c r="E264" s="5" t="str">
        <f>IF('FUENTE NO BORRAR'!E282="","",'FUENTE NO BORRAR'!E282)</f>
        <v/>
      </c>
      <c r="F264" s="6">
        <f>IF('FUENTE NO BORRAR'!F282="","",IF('FUENTE NO BORRAR'!$A282&lt;&gt;"Resultado total",('FUENTE NO BORRAR'!F282),""))</f>
        <v>1661</v>
      </c>
      <c r="G264" s="6">
        <f>IF('FUENTE NO BORRAR'!G282="","",IF('FUENTE NO BORRAR'!$A282&lt;&gt;"Resultado total",('FUENTE NO BORRAR'!G282),""))</f>
        <v>1661</v>
      </c>
      <c r="H264" s="6">
        <f>IF('FUENTE NO BORRAR'!H282="","",IF('FUENTE NO BORRAR'!$A282&lt;&gt;"Resultado total",('FUENTE NO BORRAR'!H282),""))</f>
        <v>1661</v>
      </c>
      <c r="I264" s="6">
        <f>IF('FUENTE NO BORRAR'!I282="","",IF('FUENTE NO BORRAR'!$A282&lt;&gt;"Resultado total",('FUENTE NO BORRAR'!I282),""))</f>
        <v>0</v>
      </c>
    </row>
    <row r="265" spans="1:9" x14ac:dyDescent="0.2">
      <c r="A265" s="5" t="str">
        <f>IF('FUENTE NO BORRAR'!A283="","",(IF('FUENTE NO BORRAR'!A283&lt;&gt;"Resultado total",'FUENTE NO BORRAR'!A283,"")))</f>
        <v/>
      </c>
      <c r="B265" s="5" t="str">
        <f>IF('FUENTE NO BORRAR'!B283="","",'FUENTE NO BORRAR'!B283)</f>
        <v/>
      </c>
      <c r="C265" s="5" t="str">
        <f>IF('FUENTE NO BORRAR'!C283="","",'FUENTE NO BORRAR'!C283)</f>
        <v/>
      </c>
      <c r="D265" s="5" t="str">
        <f>IF('FUENTE NO BORRAR'!D283="","",'FUENTE NO BORRAR'!D283)</f>
        <v/>
      </c>
      <c r="E265" s="5" t="str">
        <f>IF('FUENTE NO BORRAR'!E283="","",'FUENTE NO BORRAR'!E283)</f>
        <v/>
      </c>
      <c r="F265" s="6">
        <f>IF('FUENTE NO BORRAR'!F283="","",IF('FUENTE NO BORRAR'!$A283&lt;&gt;"Resultado total",('FUENTE NO BORRAR'!F283),""))</f>
        <v>56840</v>
      </c>
      <c r="G265" s="6">
        <f>IF('FUENTE NO BORRAR'!G283="","",IF('FUENTE NO BORRAR'!$A283&lt;&gt;"Resultado total",('FUENTE NO BORRAR'!G283),""))</f>
        <v>56840</v>
      </c>
      <c r="H265" s="6">
        <f>IF('FUENTE NO BORRAR'!H283="","",IF('FUENTE NO BORRAR'!$A283&lt;&gt;"Resultado total",('FUENTE NO BORRAR'!H283),""))</f>
        <v>0</v>
      </c>
      <c r="I265" s="6">
        <f>IF('FUENTE NO BORRAR'!I283="","",IF('FUENTE NO BORRAR'!$A283&lt;&gt;"Resultado total",('FUENTE NO BORRAR'!I283),""))</f>
        <v>0</v>
      </c>
    </row>
    <row r="266" spans="1:9" x14ac:dyDescent="0.2">
      <c r="A266" s="5" t="str">
        <f>IF('FUENTE NO BORRAR'!A284="","",(IF('FUENTE NO BORRAR'!A284&lt;&gt;"Resultado total",'FUENTE NO BORRAR'!A284,"")))</f>
        <v/>
      </c>
      <c r="B266" s="5" t="str">
        <f>IF('FUENTE NO BORRAR'!B284="","",'FUENTE NO BORRAR'!B284)</f>
        <v/>
      </c>
      <c r="C266" s="5" t="str">
        <f>IF('FUENTE NO BORRAR'!C284="","",'FUENTE NO BORRAR'!C284)</f>
        <v/>
      </c>
      <c r="D266" s="5" t="str">
        <f>IF('FUENTE NO BORRAR'!D284="","",'FUENTE NO BORRAR'!D284)</f>
        <v/>
      </c>
      <c r="E266" s="5" t="str">
        <f>IF('FUENTE NO BORRAR'!E284="","",'FUENTE NO BORRAR'!E284)</f>
        <v/>
      </c>
      <c r="F266" s="6">
        <f>IF('FUENTE NO BORRAR'!F284="","",IF('FUENTE NO BORRAR'!$A284&lt;&gt;"Resultado total",('FUENTE NO BORRAR'!F284),""))</f>
        <v>4523.9799999999996</v>
      </c>
      <c r="G266" s="6">
        <f>IF('FUENTE NO BORRAR'!G284="","",IF('FUENTE NO BORRAR'!$A284&lt;&gt;"Resultado total",('FUENTE NO BORRAR'!G284),""))</f>
        <v>4523.9799999999996</v>
      </c>
      <c r="H266" s="6">
        <f>IF('FUENTE NO BORRAR'!H284="","",IF('FUENTE NO BORRAR'!$A284&lt;&gt;"Resultado total",('FUENTE NO BORRAR'!H284),""))</f>
        <v>4523.9799999999996</v>
      </c>
      <c r="I266" s="6">
        <f>IF('FUENTE NO BORRAR'!I284="","",IF('FUENTE NO BORRAR'!$A284&lt;&gt;"Resultado total",('FUENTE NO BORRAR'!I284),""))</f>
        <v>0</v>
      </c>
    </row>
    <row r="267" spans="1:9" x14ac:dyDescent="0.2">
      <c r="A267" s="5" t="str">
        <f>IF('FUENTE NO BORRAR'!A285="","",(IF('FUENTE NO BORRAR'!A285&lt;&gt;"Resultado total",'FUENTE NO BORRAR'!A285,"")))</f>
        <v/>
      </c>
      <c r="B267" s="5" t="str">
        <f>IF('FUENTE NO BORRAR'!B285="","",'FUENTE NO BORRAR'!B285)</f>
        <v/>
      </c>
      <c r="C267" s="5" t="str">
        <f>IF('FUENTE NO BORRAR'!C285="","",'FUENTE NO BORRAR'!C285)</f>
        <v/>
      </c>
      <c r="D267" s="5" t="str">
        <f>IF('FUENTE NO BORRAR'!D285="","",'FUENTE NO BORRAR'!D285)</f>
        <v/>
      </c>
      <c r="E267" s="5" t="str">
        <f>IF('FUENTE NO BORRAR'!E285="","",'FUENTE NO BORRAR'!E285)</f>
        <v/>
      </c>
      <c r="F267" s="6">
        <f>IF('FUENTE NO BORRAR'!F285="","",IF('FUENTE NO BORRAR'!$A285&lt;&gt;"Resultado total",('FUENTE NO BORRAR'!F285),""))</f>
        <v>2233.31</v>
      </c>
      <c r="G267" s="6">
        <f>IF('FUENTE NO BORRAR'!G285="","",IF('FUENTE NO BORRAR'!$A285&lt;&gt;"Resultado total",('FUENTE NO BORRAR'!G285),""))</f>
        <v>2233.31</v>
      </c>
      <c r="H267" s="6">
        <f>IF('FUENTE NO BORRAR'!H285="","",IF('FUENTE NO BORRAR'!$A285&lt;&gt;"Resultado total",('FUENTE NO BORRAR'!H285),""))</f>
        <v>2233.31</v>
      </c>
      <c r="I267" s="6">
        <f>IF('FUENTE NO BORRAR'!I285="","",IF('FUENTE NO BORRAR'!$A285&lt;&gt;"Resultado total",('FUENTE NO BORRAR'!I285),""))</f>
        <v>0</v>
      </c>
    </row>
    <row r="268" spans="1:9" x14ac:dyDescent="0.2">
      <c r="A268" s="5" t="str">
        <f>IF('FUENTE NO BORRAR'!A286="","",(IF('FUENTE NO BORRAR'!A286&lt;&gt;"Resultado total",'FUENTE NO BORRAR'!A286,"")))</f>
        <v/>
      </c>
      <c r="B268" s="5" t="str">
        <f>IF('FUENTE NO BORRAR'!B286="","",'FUENTE NO BORRAR'!B286)</f>
        <v/>
      </c>
      <c r="C268" s="5" t="str">
        <f>IF('FUENTE NO BORRAR'!C286="","",'FUENTE NO BORRAR'!C286)</f>
        <v/>
      </c>
      <c r="D268" s="5" t="str">
        <f>IF('FUENTE NO BORRAR'!D286="","",'FUENTE NO BORRAR'!D286)</f>
        <v/>
      </c>
      <c r="E268" s="5" t="str">
        <f>IF('FUENTE NO BORRAR'!E286="","",'FUENTE NO BORRAR'!E286)</f>
        <v/>
      </c>
      <c r="F268" s="6">
        <f>IF('FUENTE NO BORRAR'!F286="","",IF('FUENTE NO BORRAR'!$A286&lt;&gt;"Resultado total",('FUENTE NO BORRAR'!F286),""))</f>
        <v>30924.33</v>
      </c>
      <c r="G268" s="6">
        <f>IF('FUENTE NO BORRAR'!G286="","",IF('FUENTE NO BORRAR'!$A286&lt;&gt;"Resultado total",('FUENTE NO BORRAR'!G286),""))</f>
        <v>30924.33</v>
      </c>
      <c r="H268" s="6">
        <f>IF('FUENTE NO BORRAR'!H286="","",IF('FUENTE NO BORRAR'!$A286&lt;&gt;"Resultado total",('FUENTE NO BORRAR'!H286),""))</f>
        <v>30924.33</v>
      </c>
      <c r="I268" s="6">
        <f>IF('FUENTE NO BORRAR'!I286="","",IF('FUENTE NO BORRAR'!$A286&lt;&gt;"Resultado total",('FUENTE NO BORRAR'!I286),""))</f>
        <v>0</v>
      </c>
    </row>
    <row r="269" spans="1:9" x14ac:dyDescent="0.2">
      <c r="A269" s="5" t="str">
        <f>IF('FUENTE NO BORRAR'!A287="","",(IF('FUENTE NO BORRAR'!A287&lt;&gt;"Resultado total",'FUENTE NO BORRAR'!A287,"")))</f>
        <v/>
      </c>
      <c r="B269" s="5" t="str">
        <f>IF('FUENTE NO BORRAR'!B287="","",'FUENTE NO BORRAR'!B287)</f>
        <v/>
      </c>
      <c r="C269" s="5" t="str">
        <f>IF('FUENTE NO BORRAR'!C287="","",'FUENTE NO BORRAR'!C287)</f>
        <v/>
      </c>
      <c r="D269" s="5" t="str">
        <f>IF('FUENTE NO BORRAR'!D287="","",'FUENTE NO BORRAR'!D287)</f>
        <v/>
      </c>
      <c r="E269" s="5" t="str">
        <f>IF('FUENTE NO BORRAR'!E287="","",'FUENTE NO BORRAR'!E287)</f>
        <v/>
      </c>
      <c r="F269" s="6">
        <f>IF('FUENTE NO BORRAR'!F287="","",IF('FUENTE NO BORRAR'!$A287&lt;&gt;"Resultado total",('FUENTE NO BORRAR'!F287),""))</f>
        <v>15427.71</v>
      </c>
      <c r="G269" s="6">
        <f>IF('FUENTE NO BORRAR'!G287="","",IF('FUENTE NO BORRAR'!$A287&lt;&gt;"Resultado total",('FUENTE NO BORRAR'!G287),""))</f>
        <v>15427.71</v>
      </c>
      <c r="H269" s="6">
        <f>IF('FUENTE NO BORRAR'!H287="","",IF('FUENTE NO BORRAR'!$A287&lt;&gt;"Resultado total",('FUENTE NO BORRAR'!H287),""))</f>
        <v>15427.71</v>
      </c>
      <c r="I269" s="6">
        <f>IF('FUENTE NO BORRAR'!I287="","",IF('FUENTE NO BORRAR'!$A287&lt;&gt;"Resultado total",('FUENTE NO BORRAR'!I287),""))</f>
        <v>0</v>
      </c>
    </row>
    <row r="270" spans="1:9" x14ac:dyDescent="0.2">
      <c r="A270" s="5" t="str">
        <f>IF('FUENTE NO BORRAR'!A288="","",(IF('FUENTE NO BORRAR'!A288&lt;&gt;"Resultado total",'FUENTE NO BORRAR'!A288,"")))</f>
        <v/>
      </c>
      <c r="B270" s="5" t="str">
        <f>IF('FUENTE NO BORRAR'!B288="","",'FUENTE NO BORRAR'!B288)</f>
        <v/>
      </c>
      <c r="C270" s="5" t="str">
        <f>IF('FUENTE NO BORRAR'!C288="","",'FUENTE NO BORRAR'!C288)</f>
        <v/>
      </c>
      <c r="D270" s="5" t="str">
        <f>IF('FUENTE NO BORRAR'!D288="","",'FUENTE NO BORRAR'!D288)</f>
        <v/>
      </c>
      <c r="E270" s="5" t="str">
        <f>IF('FUENTE NO BORRAR'!E288="","",'FUENTE NO BORRAR'!E288)</f>
        <v/>
      </c>
      <c r="F270" s="6">
        <f>IF('FUENTE NO BORRAR'!F288="","",IF('FUENTE NO BORRAR'!$A288&lt;&gt;"Resultado total",('FUENTE NO BORRAR'!F288),""))</f>
        <v>938</v>
      </c>
      <c r="G270" s="6">
        <f>IF('FUENTE NO BORRAR'!G288="","",IF('FUENTE NO BORRAR'!$A288&lt;&gt;"Resultado total",('FUENTE NO BORRAR'!G288),""))</f>
        <v>938</v>
      </c>
      <c r="H270" s="6">
        <f>IF('FUENTE NO BORRAR'!H288="","",IF('FUENTE NO BORRAR'!$A288&lt;&gt;"Resultado total",('FUENTE NO BORRAR'!H288),""))</f>
        <v>938</v>
      </c>
      <c r="I270" s="6">
        <f>IF('FUENTE NO BORRAR'!I288="","",IF('FUENTE NO BORRAR'!$A288&lt;&gt;"Resultado total",('FUENTE NO BORRAR'!I288),""))</f>
        <v>0</v>
      </c>
    </row>
    <row r="271" spans="1:9" x14ac:dyDescent="0.2">
      <c r="A271" s="5" t="str">
        <f>IF('FUENTE NO BORRAR'!A289="","",(IF('FUENTE NO BORRAR'!A289&lt;&gt;"Resultado total",'FUENTE NO BORRAR'!A289,"")))</f>
        <v/>
      </c>
      <c r="B271" s="5" t="str">
        <f>IF('FUENTE NO BORRAR'!B289="","",'FUENTE NO BORRAR'!B289)</f>
        <v/>
      </c>
      <c r="C271" s="5" t="str">
        <f>IF('FUENTE NO BORRAR'!C289="","",'FUENTE NO BORRAR'!C289)</f>
        <v/>
      </c>
      <c r="D271" s="5" t="str">
        <f>IF('FUENTE NO BORRAR'!D289="","",'FUENTE NO BORRAR'!D289)</f>
        <v/>
      </c>
      <c r="E271" s="5" t="str">
        <f>IF('FUENTE NO BORRAR'!E289="","",'FUENTE NO BORRAR'!E289)</f>
        <v/>
      </c>
      <c r="F271" s="6">
        <f>IF('FUENTE NO BORRAR'!F289="","",IF('FUENTE NO BORRAR'!$A289&lt;&gt;"Resultado total",('FUENTE NO BORRAR'!F289),""))</f>
        <v>2039.8</v>
      </c>
      <c r="G271" s="6">
        <f>IF('FUENTE NO BORRAR'!G289="","",IF('FUENTE NO BORRAR'!$A289&lt;&gt;"Resultado total",('FUENTE NO BORRAR'!G289),""))</f>
        <v>2039.8</v>
      </c>
      <c r="H271" s="6">
        <f>IF('FUENTE NO BORRAR'!H289="","",IF('FUENTE NO BORRAR'!$A289&lt;&gt;"Resultado total",('FUENTE NO BORRAR'!H289),""))</f>
        <v>2039.8</v>
      </c>
      <c r="I271" s="6">
        <f>IF('FUENTE NO BORRAR'!I289="","",IF('FUENTE NO BORRAR'!$A289&lt;&gt;"Resultado total",('FUENTE NO BORRAR'!I289),""))</f>
        <v>0</v>
      </c>
    </row>
    <row r="272" spans="1:9" x14ac:dyDescent="0.2">
      <c r="A272" s="5" t="str">
        <f>IF('FUENTE NO BORRAR'!A290="","",(IF('FUENTE NO BORRAR'!A290&lt;&gt;"Resultado total",'FUENTE NO BORRAR'!A290,"")))</f>
        <v/>
      </c>
      <c r="B272" s="5" t="str">
        <f>IF('FUENTE NO BORRAR'!B290="","",'FUENTE NO BORRAR'!B290)</f>
        <v/>
      </c>
      <c r="C272" s="5" t="str">
        <f>IF('FUENTE NO BORRAR'!C290="","",'FUENTE NO BORRAR'!C290)</f>
        <v/>
      </c>
      <c r="D272" s="5" t="str">
        <f>IF('FUENTE NO BORRAR'!D290="","",'FUENTE NO BORRAR'!D290)</f>
        <v/>
      </c>
      <c r="E272" s="5" t="str">
        <f>IF('FUENTE NO BORRAR'!E290="","",'FUENTE NO BORRAR'!E290)</f>
        <v/>
      </c>
      <c r="F272" s="6">
        <f>IF('FUENTE NO BORRAR'!F290="","",IF('FUENTE NO BORRAR'!$A290&lt;&gt;"Resultado total",('FUENTE NO BORRAR'!F290),""))</f>
        <v>199.01</v>
      </c>
      <c r="G272" s="6">
        <f>IF('FUENTE NO BORRAR'!G290="","",IF('FUENTE NO BORRAR'!$A290&lt;&gt;"Resultado total",('FUENTE NO BORRAR'!G290),""))</f>
        <v>199.01</v>
      </c>
      <c r="H272" s="6">
        <f>IF('FUENTE NO BORRAR'!H290="","",IF('FUENTE NO BORRAR'!$A290&lt;&gt;"Resultado total",('FUENTE NO BORRAR'!H290),""))</f>
        <v>199.01</v>
      </c>
      <c r="I272" s="6">
        <f>IF('FUENTE NO BORRAR'!I290="","",IF('FUENTE NO BORRAR'!$A290&lt;&gt;"Resultado total",('FUENTE NO BORRAR'!I290),""))</f>
        <v>0</v>
      </c>
    </row>
    <row r="273" spans="1:9" x14ac:dyDescent="0.2">
      <c r="A273" s="5" t="str">
        <f>IF('FUENTE NO BORRAR'!A291="","",(IF('FUENTE NO BORRAR'!A291&lt;&gt;"Resultado total",'FUENTE NO BORRAR'!A291,"")))</f>
        <v/>
      </c>
      <c r="B273" s="5" t="str">
        <f>IF('FUENTE NO BORRAR'!B291="","",'FUENTE NO BORRAR'!B291)</f>
        <v/>
      </c>
      <c r="C273" s="5" t="str">
        <f>IF('FUENTE NO BORRAR'!C291="","",'FUENTE NO BORRAR'!C291)</f>
        <v/>
      </c>
      <c r="D273" s="5" t="str">
        <f>IF('FUENTE NO BORRAR'!D291="","",'FUENTE NO BORRAR'!D291)</f>
        <v/>
      </c>
      <c r="E273" s="5" t="str">
        <f>IF('FUENTE NO BORRAR'!E291="","",'FUENTE NO BORRAR'!E291)</f>
        <v/>
      </c>
      <c r="F273" s="6">
        <f>IF('FUENTE NO BORRAR'!F291="","",IF('FUENTE NO BORRAR'!$A291&lt;&gt;"Resultado total",('FUENTE NO BORRAR'!F291),""))</f>
        <v>300</v>
      </c>
      <c r="G273" s="6">
        <f>IF('FUENTE NO BORRAR'!G291="","",IF('FUENTE NO BORRAR'!$A291&lt;&gt;"Resultado total",('FUENTE NO BORRAR'!G291),""))</f>
        <v>300</v>
      </c>
      <c r="H273" s="6">
        <f>IF('FUENTE NO BORRAR'!H291="","",IF('FUENTE NO BORRAR'!$A291&lt;&gt;"Resultado total",('FUENTE NO BORRAR'!H291),""))</f>
        <v>300</v>
      </c>
      <c r="I273" s="6">
        <f>IF('FUENTE NO BORRAR'!I291="","",IF('FUENTE NO BORRAR'!$A291&lt;&gt;"Resultado total",('FUENTE NO BORRAR'!I291),""))</f>
        <v>0</v>
      </c>
    </row>
    <row r="274" spans="1:9" x14ac:dyDescent="0.2">
      <c r="A274" s="5" t="str">
        <f>IF('FUENTE NO BORRAR'!A292="","",(IF('FUENTE NO BORRAR'!A292&lt;&gt;"Resultado total",'FUENTE NO BORRAR'!A292,"")))</f>
        <v/>
      </c>
      <c r="B274" s="5" t="str">
        <f>IF('FUENTE NO BORRAR'!B292="","",'FUENTE NO BORRAR'!B292)</f>
        <v/>
      </c>
      <c r="C274" s="5" t="str">
        <f>IF('FUENTE NO BORRAR'!C292="","",'FUENTE NO BORRAR'!C292)</f>
        <v/>
      </c>
      <c r="D274" s="5" t="str">
        <f>IF('FUENTE NO BORRAR'!D292="","",'FUENTE NO BORRAR'!D292)</f>
        <v/>
      </c>
      <c r="E274" s="5" t="str">
        <f>IF('FUENTE NO BORRAR'!E292="","",'FUENTE NO BORRAR'!E292)</f>
        <v/>
      </c>
      <c r="F274" s="6">
        <f>IF('FUENTE NO BORRAR'!F292="","",IF('FUENTE NO BORRAR'!$A292&lt;&gt;"Resultado total",('FUENTE NO BORRAR'!F292),""))</f>
        <v>4333.07</v>
      </c>
      <c r="G274" s="6">
        <f>IF('FUENTE NO BORRAR'!G292="","",IF('FUENTE NO BORRAR'!$A292&lt;&gt;"Resultado total",('FUENTE NO BORRAR'!G292),""))</f>
        <v>4333.07</v>
      </c>
      <c r="H274" s="6">
        <f>IF('FUENTE NO BORRAR'!H292="","",IF('FUENTE NO BORRAR'!$A292&lt;&gt;"Resultado total",('FUENTE NO BORRAR'!H292),""))</f>
        <v>4333.07</v>
      </c>
      <c r="I274" s="6">
        <f>IF('FUENTE NO BORRAR'!I292="","",IF('FUENTE NO BORRAR'!$A292&lt;&gt;"Resultado total",('FUENTE NO BORRAR'!I292),""))</f>
        <v>0</v>
      </c>
    </row>
    <row r="275" spans="1:9" x14ac:dyDescent="0.2">
      <c r="A275" s="5" t="str">
        <f>IF('FUENTE NO BORRAR'!A293="","",(IF('FUENTE NO BORRAR'!A293&lt;&gt;"Resultado total",'FUENTE NO BORRAR'!A293,"")))</f>
        <v/>
      </c>
      <c r="B275" s="5" t="str">
        <f>IF('FUENTE NO BORRAR'!B293="","",'FUENTE NO BORRAR'!B293)</f>
        <v/>
      </c>
      <c r="C275" s="5" t="str">
        <f>IF('FUENTE NO BORRAR'!C293="","",'FUENTE NO BORRAR'!C293)</f>
        <v/>
      </c>
      <c r="D275" s="5" t="str">
        <f>IF('FUENTE NO BORRAR'!D293="","",'FUENTE NO BORRAR'!D293)</f>
        <v/>
      </c>
      <c r="E275" s="5" t="str">
        <f>IF('FUENTE NO BORRAR'!E293="","",'FUENTE NO BORRAR'!E293)</f>
        <v/>
      </c>
      <c r="F275" s="6">
        <f>IF('FUENTE NO BORRAR'!F293="","",IF('FUENTE NO BORRAR'!$A293&lt;&gt;"Resultado total",('FUENTE NO BORRAR'!F293),""))</f>
        <v>602.84</v>
      </c>
      <c r="G275" s="6">
        <f>IF('FUENTE NO BORRAR'!G293="","",IF('FUENTE NO BORRAR'!$A293&lt;&gt;"Resultado total",('FUENTE NO BORRAR'!G293),""))</f>
        <v>602.84</v>
      </c>
      <c r="H275" s="6">
        <f>IF('FUENTE NO BORRAR'!H293="","",IF('FUENTE NO BORRAR'!$A293&lt;&gt;"Resultado total",('FUENTE NO BORRAR'!H293),""))</f>
        <v>602.84</v>
      </c>
      <c r="I275" s="6">
        <f>IF('FUENTE NO BORRAR'!I293="","",IF('FUENTE NO BORRAR'!$A293&lt;&gt;"Resultado total",('FUENTE NO BORRAR'!I293),""))</f>
        <v>0</v>
      </c>
    </row>
    <row r="276" spans="1:9" x14ac:dyDescent="0.2">
      <c r="A276" s="5" t="str">
        <f>IF('FUENTE NO BORRAR'!A294="","",(IF('FUENTE NO BORRAR'!A294&lt;&gt;"Resultado total",'FUENTE NO BORRAR'!A294,"")))</f>
        <v/>
      </c>
      <c r="B276" s="5" t="str">
        <f>IF('FUENTE NO BORRAR'!B294="","",'FUENTE NO BORRAR'!B294)</f>
        <v/>
      </c>
      <c r="C276" s="5" t="str">
        <f>IF('FUENTE NO BORRAR'!C294="","",'FUENTE NO BORRAR'!C294)</f>
        <v/>
      </c>
      <c r="D276" s="5" t="str">
        <f>IF('FUENTE NO BORRAR'!D294="","",'FUENTE NO BORRAR'!D294)</f>
        <v/>
      </c>
      <c r="E276" s="5" t="str">
        <f>IF('FUENTE NO BORRAR'!E294="","",'FUENTE NO BORRAR'!E294)</f>
        <v/>
      </c>
      <c r="F276" s="6">
        <f>IF('FUENTE NO BORRAR'!F294="","",IF('FUENTE NO BORRAR'!$A294&lt;&gt;"Resultado total",('FUENTE NO BORRAR'!F294),""))</f>
        <v>638</v>
      </c>
      <c r="G276" s="6">
        <f>IF('FUENTE NO BORRAR'!G294="","",IF('FUENTE NO BORRAR'!$A294&lt;&gt;"Resultado total",('FUENTE NO BORRAR'!G294),""))</f>
        <v>638</v>
      </c>
      <c r="H276" s="6">
        <f>IF('FUENTE NO BORRAR'!H294="","",IF('FUENTE NO BORRAR'!$A294&lt;&gt;"Resultado total",('FUENTE NO BORRAR'!H294),""))</f>
        <v>638</v>
      </c>
      <c r="I276" s="6">
        <f>IF('FUENTE NO BORRAR'!I294="","",IF('FUENTE NO BORRAR'!$A294&lt;&gt;"Resultado total",('FUENTE NO BORRAR'!I294),""))</f>
        <v>0</v>
      </c>
    </row>
    <row r="277" spans="1:9" x14ac:dyDescent="0.2">
      <c r="A277" s="5" t="str">
        <f>IF('FUENTE NO BORRAR'!A295="","",(IF('FUENTE NO BORRAR'!A295&lt;&gt;"Resultado total",'FUENTE NO BORRAR'!A295,"")))</f>
        <v/>
      </c>
      <c r="B277" s="5" t="str">
        <f>IF('FUENTE NO BORRAR'!B295="","",'FUENTE NO BORRAR'!B295)</f>
        <v/>
      </c>
      <c r="C277" s="5" t="str">
        <f>IF('FUENTE NO BORRAR'!C295="","",'FUENTE NO BORRAR'!C295)</f>
        <v/>
      </c>
      <c r="D277" s="5" t="str">
        <f>IF('FUENTE NO BORRAR'!D295="","",'FUENTE NO BORRAR'!D295)</f>
        <v/>
      </c>
      <c r="E277" s="5" t="str">
        <f>IF('FUENTE NO BORRAR'!E295="","",'FUENTE NO BORRAR'!E295)</f>
        <v/>
      </c>
      <c r="F277" s="6">
        <f>IF('FUENTE NO BORRAR'!F295="","",IF('FUENTE NO BORRAR'!$A295&lt;&gt;"Resultado total",('FUENTE NO BORRAR'!F295),""))</f>
        <v>18208.5</v>
      </c>
      <c r="G277" s="6">
        <f>IF('FUENTE NO BORRAR'!G295="","",IF('FUENTE NO BORRAR'!$A295&lt;&gt;"Resultado total",('FUENTE NO BORRAR'!G295),""))</f>
        <v>18208.5</v>
      </c>
      <c r="H277" s="6">
        <f>IF('FUENTE NO BORRAR'!H295="","",IF('FUENTE NO BORRAR'!$A295&lt;&gt;"Resultado total",('FUENTE NO BORRAR'!H295),""))</f>
        <v>18208.5</v>
      </c>
      <c r="I277" s="6">
        <f>IF('FUENTE NO BORRAR'!I295="","",IF('FUENTE NO BORRAR'!$A295&lt;&gt;"Resultado total",('FUENTE NO BORRAR'!I295),""))</f>
        <v>0</v>
      </c>
    </row>
    <row r="278" spans="1:9" x14ac:dyDescent="0.2">
      <c r="A278" s="5" t="str">
        <f>IF('FUENTE NO BORRAR'!A296="","",(IF('FUENTE NO BORRAR'!A296&lt;&gt;"Resultado total",'FUENTE NO BORRAR'!A296,"")))</f>
        <v/>
      </c>
      <c r="B278" s="5" t="str">
        <f>IF('FUENTE NO BORRAR'!B296="","",'FUENTE NO BORRAR'!B296)</f>
        <v/>
      </c>
      <c r="C278" s="5" t="str">
        <f>IF('FUENTE NO BORRAR'!C296="","",'FUENTE NO BORRAR'!C296)</f>
        <v/>
      </c>
      <c r="D278" s="5" t="str">
        <f>IF('FUENTE NO BORRAR'!D296="","",'FUENTE NO BORRAR'!D296)</f>
        <v/>
      </c>
      <c r="E278" s="5" t="str">
        <f>IF('FUENTE NO BORRAR'!E296="","",'FUENTE NO BORRAR'!E296)</f>
        <v/>
      </c>
      <c r="F278" s="6">
        <f>IF('FUENTE NO BORRAR'!F296="","",IF('FUENTE NO BORRAR'!$A296&lt;&gt;"Resultado total",('FUENTE NO BORRAR'!F296),""))</f>
        <v>582.75</v>
      </c>
      <c r="G278" s="6">
        <f>IF('FUENTE NO BORRAR'!G296="","",IF('FUENTE NO BORRAR'!$A296&lt;&gt;"Resultado total",('FUENTE NO BORRAR'!G296),""))</f>
        <v>582.75</v>
      </c>
      <c r="H278" s="6">
        <f>IF('FUENTE NO BORRAR'!H296="","",IF('FUENTE NO BORRAR'!$A296&lt;&gt;"Resultado total",('FUENTE NO BORRAR'!H296),""))</f>
        <v>582.75</v>
      </c>
      <c r="I278" s="6">
        <f>IF('FUENTE NO BORRAR'!I296="","",IF('FUENTE NO BORRAR'!$A296&lt;&gt;"Resultado total",('FUENTE NO BORRAR'!I296),""))</f>
        <v>0</v>
      </c>
    </row>
    <row r="279" spans="1:9" x14ac:dyDescent="0.2">
      <c r="A279" s="5" t="str">
        <f>IF('FUENTE NO BORRAR'!A297="","",(IF('FUENTE NO BORRAR'!A297&lt;&gt;"Resultado total",'FUENTE NO BORRAR'!A297,"")))</f>
        <v/>
      </c>
      <c r="B279" s="5" t="str">
        <f>IF('FUENTE NO BORRAR'!B297="","",'FUENTE NO BORRAR'!B297)</f>
        <v/>
      </c>
      <c r="C279" s="5" t="str">
        <f>IF('FUENTE NO BORRAR'!C297="","",'FUENTE NO BORRAR'!C297)</f>
        <v/>
      </c>
      <c r="D279" s="5" t="str">
        <f>IF('FUENTE NO BORRAR'!D297="","",'FUENTE NO BORRAR'!D297)</f>
        <v/>
      </c>
      <c r="E279" s="5" t="str">
        <f>IF('FUENTE NO BORRAR'!E297="","",'FUENTE NO BORRAR'!E297)</f>
        <v/>
      </c>
      <c r="F279" s="6">
        <f>IF('FUENTE NO BORRAR'!F297="","",IF('FUENTE NO BORRAR'!$A297&lt;&gt;"Resultado total",('FUENTE NO BORRAR'!F297),""))</f>
        <v>808.36</v>
      </c>
      <c r="G279" s="6">
        <f>IF('FUENTE NO BORRAR'!G297="","",IF('FUENTE NO BORRAR'!$A297&lt;&gt;"Resultado total",('FUENTE NO BORRAR'!G297),""))</f>
        <v>808.36</v>
      </c>
      <c r="H279" s="6">
        <f>IF('FUENTE NO BORRAR'!H297="","",IF('FUENTE NO BORRAR'!$A297&lt;&gt;"Resultado total",('FUENTE NO BORRAR'!H297),""))</f>
        <v>808.36</v>
      </c>
      <c r="I279" s="6">
        <f>IF('FUENTE NO BORRAR'!I297="","",IF('FUENTE NO BORRAR'!$A297&lt;&gt;"Resultado total",('FUENTE NO BORRAR'!I297),""))</f>
        <v>0</v>
      </c>
    </row>
    <row r="280" spans="1:9" x14ac:dyDescent="0.2">
      <c r="A280" s="5" t="str">
        <f>IF('FUENTE NO BORRAR'!A298="","",(IF('FUENTE NO BORRAR'!A298&lt;&gt;"Resultado total",'FUENTE NO BORRAR'!A298,"")))</f>
        <v/>
      </c>
      <c r="B280" s="5" t="str">
        <f>IF('FUENTE NO BORRAR'!B298="","",'FUENTE NO BORRAR'!B298)</f>
        <v/>
      </c>
      <c r="C280" s="5" t="str">
        <f>IF('FUENTE NO BORRAR'!C298="","",'FUENTE NO BORRAR'!C298)</f>
        <v/>
      </c>
      <c r="D280" s="5" t="str">
        <f>IF('FUENTE NO BORRAR'!D298="","",'FUENTE NO BORRAR'!D298)</f>
        <v/>
      </c>
      <c r="E280" s="5" t="str">
        <f>IF('FUENTE NO BORRAR'!E298="","",'FUENTE NO BORRAR'!E298)</f>
        <v/>
      </c>
      <c r="F280" s="6">
        <f>IF('FUENTE NO BORRAR'!F298="","",IF('FUENTE NO BORRAR'!$A298&lt;&gt;"Resultado total",('FUENTE NO BORRAR'!F298),""))</f>
        <v>18136.37</v>
      </c>
      <c r="G280" s="6">
        <f>IF('FUENTE NO BORRAR'!G298="","",IF('FUENTE NO BORRAR'!$A298&lt;&gt;"Resultado total",('FUENTE NO BORRAR'!G298),""))</f>
        <v>18136.37</v>
      </c>
      <c r="H280" s="6">
        <f>IF('FUENTE NO BORRAR'!H298="","",IF('FUENTE NO BORRAR'!$A298&lt;&gt;"Resultado total",('FUENTE NO BORRAR'!H298),""))</f>
        <v>13136.37</v>
      </c>
      <c r="I280" s="6">
        <f>IF('FUENTE NO BORRAR'!I298="","",IF('FUENTE NO BORRAR'!$A298&lt;&gt;"Resultado total",('FUENTE NO BORRAR'!I298),""))</f>
        <v>0</v>
      </c>
    </row>
    <row r="281" spans="1:9" x14ac:dyDescent="0.2">
      <c r="A281" s="5" t="str">
        <f>IF('FUENTE NO BORRAR'!A299="","",(IF('FUENTE NO BORRAR'!A299&lt;&gt;"Resultado total",'FUENTE NO BORRAR'!A299,"")))</f>
        <v/>
      </c>
      <c r="B281" s="5" t="str">
        <f>IF('FUENTE NO BORRAR'!B299="","",'FUENTE NO BORRAR'!B299)</f>
        <v/>
      </c>
      <c r="C281" s="5" t="str">
        <f>IF('FUENTE NO BORRAR'!C299="","",'FUENTE NO BORRAR'!C299)</f>
        <v/>
      </c>
      <c r="D281" s="5" t="str">
        <f>IF('FUENTE NO BORRAR'!D299="","",'FUENTE NO BORRAR'!D299)</f>
        <v/>
      </c>
      <c r="E281" s="5" t="str">
        <f>IF('FUENTE NO BORRAR'!E299="","",'FUENTE NO BORRAR'!E299)</f>
        <v/>
      </c>
      <c r="F281" s="6">
        <f>IF('FUENTE NO BORRAR'!F299="","",IF('FUENTE NO BORRAR'!$A299&lt;&gt;"Resultado total",('FUENTE NO BORRAR'!F299),""))</f>
        <v>2751</v>
      </c>
      <c r="G281" s="6">
        <f>IF('FUENTE NO BORRAR'!G299="","",IF('FUENTE NO BORRAR'!$A299&lt;&gt;"Resultado total",('FUENTE NO BORRAR'!G299),""))</f>
        <v>2751</v>
      </c>
      <c r="H281" s="6">
        <f>IF('FUENTE NO BORRAR'!H299="","",IF('FUENTE NO BORRAR'!$A299&lt;&gt;"Resultado total",('FUENTE NO BORRAR'!H299),""))</f>
        <v>2751</v>
      </c>
      <c r="I281" s="6">
        <f>IF('FUENTE NO BORRAR'!I299="","",IF('FUENTE NO BORRAR'!$A299&lt;&gt;"Resultado total",('FUENTE NO BORRAR'!I299),""))</f>
        <v>0</v>
      </c>
    </row>
    <row r="282" spans="1:9" x14ac:dyDescent="0.2">
      <c r="A282" s="5" t="str">
        <f>IF('FUENTE NO BORRAR'!A300="","",(IF('FUENTE NO BORRAR'!A300&lt;&gt;"Resultado total",'FUENTE NO BORRAR'!A300,"")))</f>
        <v/>
      </c>
      <c r="B282" s="5" t="str">
        <f>IF('FUENTE NO BORRAR'!B300="","",'FUENTE NO BORRAR'!B300)</f>
        <v/>
      </c>
      <c r="C282" s="5" t="str">
        <f>IF('FUENTE NO BORRAR'!C300="","",'FUENTE NO BORRAR'!C300)</f>
        <v/>
      </c>
      <c r="D282" s="5" t="str">
        <f>IF('FUENTE NO BORRAR'!D300="","",'FUENTE NO BORRAR'!D300)</f>
        <v/>
      </c>
      <c r="E282" s="5" t="str">
        <f>IF('FUENTE NO BORRAR'!E300="","",'FUENTE NO BORRAR'!E300)</f>
        <v/>
      </c>
      <c r="F282" s="6">
        <f>IF('FUENTE NO BORRAR'!F300="","",IF('FUENTE NO BORRAR'!$A300&lt;&gt;"Resultado total",('FUENTE NO BORRAR'!F300),""))</f>
        <v>495</v>
      </c>
      <c r="G282" s="6">
        <f>IF('FUENTE NO BORRAR'!G300="","",IF('FUENTE NO BORRAR'!$A300&lt;&gt;"Resultado total",('FUENTE NO BORRAR'!G300),""))</f>
        <v>495</v>
      </c>
      <c r="H282" s="6">
        <f>IF('FUENTE NO BORRAR'!H300="","",IF('FUENTE NO BORRAR'!$A300&lt;&gt;"Resultado total",('FUENTE NO BORRAR'!H300),""))</f>
        <v>495</v>
      </c>
      <c r="I282" s="6">
        <f>IF('FUENTE NO BORRAR'!I300="","",IF('FUENTE NO BORRAR'!$A300&lt;&gt;"Resultado total",('FUENTE NO BORRAR'!I300),""))</f>
        <v>0</v>
      </c>
    </row>
    <row r="283" spans="1:9" x14ac:dyDescent="0.2">
      <c r="A283" s="5" t="str">
        <f>IF('FUENTE NO BORRAR'!A301="","",(IF('FUENTE NO BORRAR'!A301&lt;&gt;"Resultado total",'FUENTE NO BORRAR'!A301,"")))</f>
        <v/>
      </c>
      <c r="B283" s="5" t="str">
        <f>IF('FUENTE NO BORRAR'!B301="","",'FUENTE NO BORRAR'!B301)</f>
        <v/>
      </c>
      <c r="C283" s="5" t="str">
        <f>IF('FUENTE NO BORRAR'!C301="","",'FUENTE NO BORRAR'!C301)</f>
        <v/>
      </c>
      <c r="D283" s="5" t="str">
        <f>IF('FUENTE NO BORRAR'!D301="","",'FUENTE NO BORRAR'!D301)</f>
        <v/>
      </c>
      <c r="E283" s="5" t="str">
        <f>IF('FUENTE NO BORRAR'!E301="","",'FUENTE NO BORRAR'!E301)</f>
        <v/>
      </c>
      <c r="F283" s="6">
        <f>IF('FUENTE NO BORRAR'!F301="","",IF('FUENTE NO BORRAR'!$A301&lt;&gt;"Resultado total",('FUENTE NO BORRAR'!F301),""))</f>
        <v>7825.85</v>
      </c>
      <c r="G283" s="6">
        <f>IF('FUENTE NO BORRAR'!G301="","",IF('FUENTE NO BORRAR'!$A301&lt;&gt;"Resultado total",('FUENTE NO BORRAR'!G301),""))</f>
        <v>7825.85</v>
      </c>
      <c r="H283" s="6">
        <f>IF('FUENTE NO BORRAR'!H301="","",IF('FUENTE NO BORRAR'!$A301&lt;&gt;"Resultado total",('FUENTE NO BORRAR'!H301),""))</f>
        <v>7825.85</v>
      </c>
      <c r="I283" s="6">
        <f>IF('FUENTE NO BORRAR'!I301="","",IF('FUENTE NO BORRAR'!$A301&lt;&gt;"Resultado total",('FUENTE NO BORRAR'!I301),""))</f>
        <v>0</v>
      </c>
    </row>
    <row r="284" spans="1:9" x14ac:dyDescent="0.2">
      <c r="A284" s="5" t="str">
        <f>IF('FUENTE NO BORRAR'!A302="","",(IF('FUENTE NO BORRAR'!A302&lt;&gt;"Resultado total",'FUENTE NO BORRAR'!A302,"")))</f>
        <v/>
      </c>
      <c r="B284" s="5" t="str">
        <f>IF('FUENTE NO BORRAR'!B302="","",'FUENTE NO BORRAR'!B302)</f>
        <v/>
      </c>
      <c r="C284" s="5" t="str">
        <f>IF('FUENTE NO BORRAR'!C302="","",'FUENTE NO BORRAR'!C302)</f>
        <v/>
      </c>
      <c r="D284" s="5" t="str">
        <f>IF('FUENTE NO BORRAR'!D302="","",'FUENTE NO BORRAR'!D302)</f>
        <v/>
      </c>
      <c r="E284" s="5" t="str">
        <f>IF('FUENTE NO BORRAR'!E302="","",'FUENTE NO BORRAR'!E302)</f>
        <v/>
      </c>
      <c r="F284" s="6">
        <f>IF('FUENTE NO BORRAR'!F302="","",IF('FUENTE NO BORRAR'!$A302&lt;&gt;"Resultado total",('FUENTE NO BORRAR'!F302),""))</f>
        <v>258.01</v>
      </c>
      <c r="G284" s="6">
        <f>IF('FUENTE NO BORRAR'!G302="","",IF('FUENTE NO BORRAR'!$A302&lt;&gt;"Resultado total",('FUENTE NO BORRAR'!G302),""))</f>
        <v>258.01</v>
      </c>
      <c r="H284" s="6">
        <f>IF('FUENTE NO BORRAR'!H302="","",IF('FUENTE NO BORRAR'!$A302&lt;&gt;"Resultado total",('FUENTE NO BORRAR'!H302),""))</f>
        <v>258.01</v>
      </c>
      <c r="I284" s="6">
        <f>IF('FUENTE NO BORRAR'!I302="","",IF('FUENTE NO BORRAR'!$A302&lt;&gt;"Resultado total",('FUENTE NO BORRAR'!I302),""))</f>
        <v>0</v>
      </c>
    </row>
    <row r="285" spans="1:9" x14ac:dyDescent="0.2">
      <c r="A285" s="5" t="str">
        <f>IF('FUENTE NO BORRAR'!A303="","",(IF('FUENTE NO BORRAR'!A303&lt;&gt;"Resultado total",'FUENTE NO BORRAR'!A303,"")))</f>
        <v/>
      </c>
      <c r="B285" s="5" t="str">
        <f>IF('FUENTE NO BORRAR'!B303="","",'FUENTE NO BORRAR'!B303)</f>
        <v/>
      </c>
      <c r="C285" s="5" t="str">
        <f>IF('FUENTE NO BORRAR'!C303="","",'FUENTE NO BORRAR'!C303)</f>
        <v/>
      </c>
      <c r="D285" s="5" t="str">
        <f>IF('FUENTE NO BORRAR'!D303="","",'FUENTE NO BORRAR'!D303)</f>
        <v/>
      </c>
      <c r="E285" s="5" t="str">
        <f>IF('FUENTE NO BORRAR'!E303="","",'FUENTE NO BORRAR'!E303)</f>
        <v/>
      </c>
      <c r="F285" s="6">
        <f>IF('FUENTE NO BORRAR'!F303="","",IF('FUENTE NO BORRAR'!$A303&lt;&gt;"Resultado total",('FUENTE NO BORRAR'!F303),""))</f>
        <v>7.9</v>
      </c>
      <c r="G285" s="6">
        <f>IF('FUENTE NO BORRAR'!G303="","",IF('FUENTE NO BORRAR'!$A303&lt;&gt;"Resultado total",('FUENTE NO BORRAR'!G303),""))</f>
        <v>7.9</v>
      </c>
      <c r="H285" s="6">
        <f>IF('FUENTE NO BORRAR'!H303="","",IF('FUENTE NO BORRAR'!$A303&lt;&gt;"Resultado total",('FUENTE NO BORRAR'!H303),""))</f>
        <v>7.9</v>
      </c>
      <c r="I285" s="6">
        <f>IF('FUENTE NO BORRAR'!I303="","",IF('FUENTE NO BORRAR'!$A303&lt;&gt;"Resultado total",('FUENTE NO BORRAR'!I303),""))</f>
        <v>0</v>
      </c>
    </row>
    <row r="286" spans="1:9" x14ac:dyDescent="0.2">
      <c r="A286" s="5" t="str">
        <f>IF('FUENTE NO BORRAR'!A304="","",(IF('FUENTE NO BORRAR'!A304&lt;&gt;"Resultado total",'FUENTE NO BORRAR'!A304,"")))</f>
        <v/>
      </c>
      <c r="B286" s="5" t="str">
        <f>IF('FUENTE NO BORRAR'!B304="","",'FUENTE NO BORRAR'!B304)</f>
        <v/>
      </c>
      <c r="C286" s="5" t="str">
        <f>IF('FUENTE NO BORRAR'!C304="","",'FUENTE NO BORRAR'!C304)</f>
        <v/>
      </c>
      <c r="D286" s="5" t="str">
        <f>IF('FUENTE NO BORRAR'!D304="","",'FUENTE NO BORRAR'!D304)</f>
        <v/>
      </c>
      <c r="E286" s="5" t="str">
        <f>IF('FUENTE NO BORRAR'!E304="","",'FUENTE NO BORRAR'!E304)</f>
        <v/>
      </c>
      <c r="F286" s="6">
        <f>IF('FUENTE NO BORRAR'!F304="","",IF('FUENTE NO BORRAR'!$A304&lt;&gt;"Resultado total",('FUENTE NO BORRAR'!F304),""))</f>
        <v>2112.12</v>
      </c>
      <c r="G286" s="6">
        <f>IF('FUENTE NO BORRAR'!G304="","",IF('FUENTE NO BORRAR'!$A304&lt;&gt;"Resultado total",('FUENTE NO BORRAR'!G304),""))</f>
        <v>2112.12</v>
      </c>
      <c r="H286" s="6">
        <f>IF('FUENTE NO BORRAR'!H304="","",IF('FUENTE NO BORRAR'!$A304&lt;&gt;"Resultado total",('FUENTE NO BORRAR'!H304),""))</f>
        <v>2112.12</v>
      </c>
      <c r="I286" s="6">
        <f>IF('FUENTE NO BORRAR'!I304="","",IF('FUENTE NO BORRAR'!$A304&lt;&gt;"Resultado total",('FUENTE NO BORRAR'!I304),""))</f>
        <v>0</v>
      </c>
    </row>
    <row r="287" spans="1:9" x14ac:dyDescent="0.2">
      <c r="A287" s="5" t="str">
        <f>IF('FUENTE NO BORRAR'!A305="","",(IF('FUENTE NO BORRAR'!A305&lt;&gt;"Resultado total",'FUENTE NO BORRAR'!A305,"")))</f>
        <v/>
      </c>
      <c r="B287" s="5" t="str">
        <f>IF('FUENTE NO BORRAR'!B305="","",'FUENTE NO BORRAR'!B305)</f>
        <v/>
      </c>
      <c r="C287" s="5" t="str">
        <f>IF('FUENTE NO BORRAR'!C305="","",'FUENTE NO BORRAR'!C305)</f>
        <v/>
      </c>
      <c r="D287" s="5" t="str">
        <f>IF('FUENTE NO BORRAR'!D305="","",'FUENTE NO BORRAR'!D305)</f>
        <v/>
      </c>
      <c r="E287" s="5" t="str">
        <f>IF('FUENTE NO BORRAR'!E305="","",'FUENTE NO BORRAR'!E305)</f>
        <v/>
      </c>
      <c r="F287" s="6">
        <f>IF('FUENTE NO BORRAR'!F305="","",IF('FUENTE NO BORRAR'!$A305&lt;&gt;"Resultado total",('FUENTE NO BORRAR'!F305),""))</f>
        <v>194.6</v>
      </c>
      <c r="G287" s="6">
        <f>IF('FUENTE NO BORRAR'!G305="","",IF('FUENTE NO BORRAR'!$A305&lt;&gt;"Resultado total",('FUENTE NO BORRAR'!G305),""))</f>
        <v>194.6</v>
      </c>
      <c r="H287" s="6">
        <f>IF('FUENTE NO BORRAR'!H305="","",IF('FUENTE NO BORRAR'!$A305&lt;&gt;"Resultado total",('FUENTE NO BORRAR'!H305),""))</f>
        <v>194.6</v>
      </c>
      <c r="I287" s="6">
        <f>IF('FUENTE NO BORRAR'!I305="","",IF('FUENTE NO BORRAR'!$A305&lt;&gt;"Resultado total",('FUENTE NO BORRAR'!I305),""))</f>
        <v>0</v>
      </c>
    </row>
    <row r="288" spans="1:9" x14ac:dyDescent="0.2">
      <c r="A288" s="5" t="str">
        <f>IF('FUENTE NO BORRAR'!A306="","",(IF('FUENTE NO BORRAR'!A306&lt;&gt;"Resultado total",'FUENTE NO BORRAR'!A306,"")))</f>
        <v/>
      </c>
      <c r="B288" s="5" t="str">
        <f>IF('FUENTE NO BORRAR'!B306="","",'FUENTE NO BORRAR'!B306)</f>
        <v/>
      </c>
      <c r="C288" s="5" t="str">
        <f>IF('FUENTE NO BORRAR'!C306="","",'FUENTE NO BORRAR'!C306)</f>
        <v/>
      </c>
      <c r="D288" s="5" t="str">
        <f>IF('FUENTE NO BORRAR'!D306="","",'FUENTE NO BORRAR'!D306)</f>
        <v/>
      </c>
      <c r="E288" s="5" t="str">
        <f>IF('FUENTE NO BORRAR'!E306="","",'FUENTE NO BORRAR'!E306)</f>
        <v/>
      </c>
      <c r="F288" s="6">
        <f>IF('FUENTE NO BORRAR'!F306="","",IF('FUENTE NO BORRAR'!$A306&lt;&gt;"Resultado total",('FUENTE NO BORRAR'!F306),""))</f>
        <v>357</v>
      </c>
      <c r="G288" s="6">
        <f>IF('FUENTE NO BORRAR'!G306="","",IF('FUENTE NO BORRAR'!$A306&lt;&gt;"Resultado total",('FUENTE NO BORRAR'!G306),""))</f>
        <v>357</v>
      </c>
      <c r="H288" s="6">
        <f>IF('FUENTE NO BORRAR'!H306="","",IF('FUENTE NO BORRAR'!$A306&lt;&gt;"Resultado total",('FUENTE NO BORRAR'!H306),""))</f>
        <v>357</v>
      </c>
      <c r="I288" s="6">
        <f>IF('FUENTE NO BORRAR'!I306="","",IF('FUENTE NO BORRAR'!$A306&lt;&gt;"Resultado total",('FUENTE NO BORRAR'!I306),""))</f>
        <v>0</v>
      </c>
    </row>
    <row r="289" spans="1:9" x14ac:dyDescent="0.2">
      <c r="A289" s="5" t="str">
        <f>IF('FUENTE NO BORRAR'!A307="","",(IF('FUENTE NO BORRAR'!A307&lt;&gt;"Resultado total",'FUENTE NO BORRAR'!A307,"")))</f>
        <v/>
      </c>
      <c r="B289" s="5" t="str">
        <f>IF('FUENTE NO BORRAR'!B307="","",'FUENTE NO BORRAR'!B307)</f>
        <v/>
      </c>
      <c r="C289" s="5" t="str">
        <f>IF('FUENTE NO BORRAR'!C307="","",'FUENTE NO BORRAR'!C307)</f>
        <v/>
      </c>
      <c r="D289" s="5" t="str">
        <f>IF('FUENTE NO BORRAR'!D307="","",'FUENTE NO BORRAR'!D307)</f>
        <v/>
      </c>
      <c r="E289" s="5" t="str">
        <f>IF('FUENTE NO BORRAR'!E307="","",'FUENTE NO BORRAR'!E307)</f>
        <v/>
      </c>
      <c r="F289" s="6">
        <f>IF('FUENTE NO BORRAR'!F307="","",IF('FUENTE NO BORRAR'!$A307&lt;&gt;"Resultado total",('FUENTE NO BORRAR'!F307),""))</f>
        <v>38348.050000000003</v>
      </c>
      <c r="G289" s="6">
        <f>IF('FUENTE NO BORRAR'!G307="","",IF('FUENTE NO BORRAR'!$A307&lt;&gt;"Resultado total",('FUENTE NO BORRAR'!G307),""))</f>
        <v>38348.050000000003</v>
      </c>
      <c r="H289" s="6">
        <f>IF('FUENTE NO BORRAR'!H307="","",IF('FUENTE NO BORRAR'!$A307&lt;&gt;"Resultado total",('FUENTE NO BORRAR'!H307),""))</f>
        <v>38348.050000000003</v>
      </c>
      <c r="I289" s="6">
        <f>IF('FUENTE NO BORRAR'!I307="","",IF('FUENTE NO BORRAR'!$A307&lt;&gt;"Resultado total",('FUENTE NO BORRAR'!I307),""))</f>
        <v>0</v>
      </c>
    </row>
    <row r="290" spans="1:9" x14ac:dyDescent="0.2">
      <c r="A290" s="5" t="str">
        <f>IF('FUENTE NO BORRAR'!A308="","",(IF('FUENTE NO BORRAR'!A308&lt;&gt;"Resultado total",'FUENTE NO BORRAR'!A308,"")))</f>
        <v/>
      </c>
      <c r="B290" s="5" t="str">
        <f>IF('FUENTE NO BORRAR'!B308="","",'FUENTE NO BORRAR'!B308)</f>
        <v/>
      </c>
      <c r="C290" s="5" t="str">
        <f>IF('FUENTE NO BORRAR'!C308="","",'FUENTE NO BORRAR'!C308)</f>
        <v/>
      </c>
      <c r="D290" s="5" t="str">
        <f>IF('FUENTE NO BORRAR'!D308="","",'FUENTE NO BORRAR'!D308)</f>
        <v/>
      </c>
      <c r="E290" s="5" t="str">
        <f>IF('FUENTE NO BORRAR'!E308="","",'FUENTE NO BORRAR'!E308)</f>
        <v/>
      </c>
      <c r="F290" s="6">
        <f>IF('FUENTE NO BORRAR'!F308="","",IF('FUENTE NO BORRAR'!$A308&lt;&gt;"Resultado total",('FUENTE NO BORRAR'!F308),""))</f>
        <v>748.13</v>
      </c>
      <c r="G290" s="6">
        <f>IF('FUENTE NO BORRAR'!G308="","",IF('FUENTE NO BORRAR'!$A308&lt;&gt;"Resultado total",('FUENTE NO BORRAR'!G308),""))</f>
        <v>748.13</v>
      </c>
      <c r="H290" s="6">
        <f>IF('FUENTE NO BORRAR'!H308="","",IF('FUENTE NO BORRAR'!$A308&lt;&gt;"Resultado total",('FUENTE NO BORRAR'!H308),""))</f>
        <v>748.13</v>
      </c>
      <c r="I290" s="6">
        <f>IF('FUENTE NO BORRAR'!I308="","",IF('FUENTE NO BORRAR'!$A308&lt;&gt;"Resultado total",('FUENTE NO BORRAR'!I308),""))</f>
        <v>0</v>
      </c>
    </row>
    <row r="291" spans="1:9" x14ac:dyDescent="0.2">
      <c r="A291" s="5" t="str">
        <f>IF('FUENTE NO BORRAR'!A309="","",(IF('FUENTE NO BORRAR'!A309&lt;&gt;"Resultado total",'FUENTE NO BORRAR'!A309,"")))</f>
        <v/>
      </c>
      <c r="B291" s="5" t="str">
        <f>IF('FUENTE NO BORRAR'!B309="","",'FUENTE NO BORRAR'!B309)</f>
        <v/>
      </c>
      <c r="C291" s="5" t="str">
        <f>IF('FUENTE NO BORRAR'!C309="","",'FUENTE NO BORRAR'!C309)</f>
        <v/>
      </c>
      <c r="D291" s="5" t="str">
        <f>IF('FUENTE NO BORRAR'!D309="","",'FUENTE NO BORRAR'!D309)</f>
        <v/>
      </c>
      <c r="E291" s="5" t="str">
        <f>IF('FUENTE NO BORRAR'!E309="","",'FUENTE NO BORRAR'!E309)</f>
        <v/>
      </c>
      <c r="F291" s="6">
        <f>IF('FUENTE NO BORRAR'!F309="","",IF('FUENTE NO BORRAR'!$A309&lt;&gt;"Resultado total",('FUENTE NO BORRAR'!F309),""))</f>
        <v>727</v>
      </c>
      <c r="G291" s="6">
        <f>IF('FUENTE NO BORRAR'!G309="","",IF('FUENTE NO BORRAR'!$A309&lt;&gt;"Resultado total",('FUENTE NO BORRAR'!G309),""))</f>
        <v>727</v>
      </c>
      <c r="H291" s="6">
        <f>IF('FUENTE NO BORRAR'!H309="","",IF('FUENTE NO BORRAR'!$A309&lt;&gt;"Resultado total",('FUENTE NO BORRAR'!H309),""))</f>
        <v>727</v>
      </c>
      <c r="I291" s="6">
        <f>IF('FUENTE NO BORRAR'!I309="","",IF('FUENTE NO BORRAR'!$A309&lt;&gt;"Resultado total",('FUENTE NO BORRAR'!I309),""))</f>
        <v>0</v>
      </c>
    </row>
    <row r="292" spans="1:9" x14ac:dyDescent="0.2">
      <c r="A292" s="5" t="str">
        <f>IF('FUENTE NO BORRAR'!A310="","",(IF('FUENTE NO BORRAR'!A310&lt;&gt;"Resultado total",'FUENTE NO BORRAR'!A310,"")))</f>
        <v/>
      </c>
      <c r="B292" s="5" t="str">
        <f>IF('FUENTE NO BORRAR'!B310="","",'FUENTE NO BORRAR'!B310)</f>
        <v/>
      </c>
      <c r="C292" s="5" t="str">
        <f>IF('FUENTE NO BORRAR'!C310="","",'FUENTE NO BORRAR'!C310)</f>
        <v/>
      </c>
      <c r="D292" s="5" t="str">
        <f>IF('FUENTE NO BORRAR'!D310="","",'FUENTE NO BORRAR'!D310)</f>
        <v/>
      </c>
      <c r="E292" s="5" t="str">
        <f>IF('FUENTE NO BORRAR'!E310="","",'FUENTE NO BORRAR'!E310)</f>
        <v/>
      </c>
      <c r="F292" s="6">
        <f>IF('FUENTE NO BORRAR'!F310="","",IF('FUENTE NO BORRAR'!$A310&lt;&gt;"Resultado total",('FUENTE NO BORRAR'!F310),""))</f>
        <v>0</v>
      </c>
      <c r="G292" s="6">
        <f>IF('FUENTE NO BORRAR'!G310="","",IF('FUENTE NO BORRAR'!$A310&lt;&gt;"Resultado total",('FUENTE NO BORRAR'!G310),""))</f>
        <v>0</v>
      </c>
      <c r="H292" s="6">
        <f>IF('FUENTE NO BORRAR'!H310="","",IF('FUENTE NO BORRAR'!$A310&lt;&gt;"Resultado total",('FUENTE NO BORRAR'!H310),""))</f>
        <v>0</v>
      </c>
      <c r="I292" s="6">
        <f>IF('FUENTE NO BORRAR'!I310="","",IF('FUENTE NO BORRAR'!$A310&lt;&gt;"Resultado total",('FUENTE NO BORRAR'!I310),""))</f>
        <v>0</v>
      </c>
    </row>
    <row r="293" spans="1:9" x14ac:dyDescent="0.2">
      <c r="A293" s="5" t="str">
        <f>IF('FUENTE NO BORRAR'!A311="","",(IF('FUENTE NO BORRAR'!A311&lt;&gt;"Resultado total",'FUENTE NO BORRAR'!A311,"")))</f>
        <v/>
      </c>
      <c r="B293" s="5" t="str">
        <f>IF('FUENTE NO BORRAR'!B311="","",'FUENTE NO BORRAR'!B311)</f>
        <v/>
      </c>
      <c r="C293" s="5" t="str">
        <f>IF('FUENTE NO BORRAR'!C311="","",'FUENTE NO BORRAR'!C311)</f>
        <v/>
      </c>
      <c r="D293" s="5" t="str">
        <f>IF('FUENTE NO BORRAR'!D311="","",'FUENTE NO BORRAR'!D311)</f>
        <v/>
      </c>
      <c r="E293" s="5" t="str">
        <f>IF('FUENTE NO BORRAR'!E311="","",'FUENTE NO BORRAR'!E311)</f>
        <v/>
      </c>
      <c r="F293" s="6">
        <f>IF('FUENTE NO BORRAR'!F311="","",IF('FUENTE NO BORRAR'!$A311&lt;&gt;"Resultado total",('FUENTE NO BORRAR'!F311),""))</f>
        <v>37865.269999999997</v>
      </c>
      <c r="G293" s="6">
        <f>IF('FUENTE NO BORRAR'!G311="","",IF('FUENTE NO BORRAR'!$A311&lt;&gt;"Resultado total",('FUENTE NO BORRAR'!G311),""))</f>
        <v>37865.269999999997</v>
      </c>
      <c r="H293" s="6">
        <f>IF('FUENTE NO BORRAR'!H311="","",IF('FUENTE NO BORRAR'!$A311&lt;&gt;"Resultado total",('FUENTE NO BORRAR'!H311),""))</f>
        <v>37865.269999999997</v>
      </c>
      <c r="I293" s="6">
        <f>IF('FUENTE NO BORRAR'!I311="","",IF('FUENTE NO BORRAR'!$A311&lt;&gt;"Resultado total",('FUENTE NO BORRAR'!I311),""))</f>
        <v>0</v>
      </c>
    </row>
    <row r="294" spans="1:9" x14ac:dyDescent="0.2">
      <c r="A294" s="5" t="str">
        <f>IF('FUENTE NO BORRAR'!A312="","",(IF('FUENTE NO BORRAR'!A312&lt;&gt;"Resultado total",'FUENTE NO BORRAR'!A312,"")))</f>
        <v/>
      </c>
      <c r="B294" s="5" t="str">
        <f>IF('FUENTE NO BORRAR'!B312="","",'FUENTE NO BORRAR'!B312)</f>
        <v/>
      </c>
      <c r="C294" s="5" t="str">
        <f>IF('FUENTE NO BORRAR'!C312="","",'FUENTE NO BORRAR'!C312)</f>
        <v/>
      </c>
      <c r="D294" s="5" t="str">
        <f>IF('FUENTE NO BORRAR'!D312="","",'FUENTE NO BORRAR'!D312)</f>
        <v/>
      </c>
      <c r="E294" s="5" t="str">
        <f>IF('FUENTE NO BORRAR'!E312="","",'FUENTE NO BORRAR'!E312)</f>
        <v/>
      </c>
      <c r="F294" s="6">
        <f>IF('FUENTE NO BORRAR'!F312="","",IF('FUENTE NO BORRAR'!$A312&lt;&gt;"Resultado total",('FUENTE NO BORRAR'!F312),""))</f>
        <v>0</v>
      </c>
      <c r="G294" s="6">
        <f>IF('FUENTE NO BORRAR'!G312="","",IF('FUENTE NO BORRAR'!$A312&lt;&gt;"Resultado total",('FUENTE NO BORRAR'!G312),""))</f>
        <v>0</v>
      </c>
      <c r="H294" s="6">
        <f>IF('FUENTE NO BORRAR'!H312="","",IF('FUENTE NO BORRAR'!$A312&lt;&gt;"Resultado total",('FUENTE NO BORRAR'!H312),""))</f>
        <v>0</v>
      </c>
      <c r="I294" s="6">
        <f>IF('FUENTE NO BORRAR'!I312="","",IF('FUENTE NO BORRAR'!$A312&lt;&gt;"Resultado total",('FUENTE NO BORRAR'!I312),""))</f>
        <v>0</v>
      </c>
    </row>
    <row r="295" spans="1:9" x14ac:dyDescent="0.2">
      <c r="A295" s="5" t="str">
        <f>IF('FUENTE NO BORRAR'!A313="","",(IF('FUENTE NO BORRAR'!A313&lt;&gt;"Resultado total",'FUENTE NO BORRAR'!A313,"")))</f>
        <v/>
      </c>
      <c r="B295" s="5" t="str">
        <f>IF('FUENTE NO BORRAR'!B313="","",'FUENTE NO BORRAR'!B313)</f>
        <v/>
      </c>
      <c r="C295" s="5" t="str">
        <f>IF('FUENTE NO BORRAR'!C313="","",'FUENTE NO BORRAR'!C313)</f>
        <v/>
      </c>
      <c r="D295" s="5" t="str">
        <f>IF('FUENTE NO BORRAR'!D313="","",'FUENTE NO BORRAR'!D313)</f>
        <v/>
      </c>
      <c r="E295" s="5" t="str">
        <f>IF('FUENTE NO BORRAR'!E313="","",'FUENTE NO BORRAR'!E313)</f>
        <v/>
      </c>
      <c r="F295" s="6">
        <f>IF('FUENTE NO BORRAR'!F313="","",IF('FUENTE NO BORRAR'!$A313&lt;&gt;"Resultado total",('FUENTE NO BORRAR'!F313),""))</f>
        <v>0</v>
      </c>
      <c r="G295" s="6">
        <f>IF('FUENTE NO BORRAR'!G313="","",IF('FUENTE NO BORRAR'!$A313&lt;&gt;"Resultado total",('FUENTE NO BORRAR'!G313),""))</f>
        <v>0</v>
      </c>
      <c r="H295" s="6">
        <f>IF('FUENTE NO BORRAR'!H313="","",IF('FUENTE NO BORRAR'!$A313&lt;&gt;"Resultado total",('FUENTE NO BORRAR'!H313),""))</f>
        <v>0</v>
      </c>
      <c r="I295" s="6">
        <f>IF('FUENTE NO BORRAR'!I313="","",IF('FUENTE NO BORRAR'!$A313&lt;&gt;"Resultado total",('FUENTE NO BORRAR'!I313),""))</f>
        <v>0</v>
      </c>
    </row>
    <row r="296" spans="1:9" x14ac:dyDescent="0.2">
      <c r="A296" s="5" t="str">
        <f>IF('FUENTE NO BORRAR'!A314="","",(IF('FUENTE NO BORRAR'!A314&lt;&gt;"Resultado total",'FUENTE NO BORRAR'!A314,"")))</f>
        <v/>
      </c>
      <c r="B296" s="5" t="str">
        <f>IF('FUENTE NO BORRAR'!B314="","",'FUENTE NO BORRAR'!B314)</f>
        <v/>
      </c>
      <c r="C296" s="5" t="str">
        <f>IF('FUENTE NO BORRAR'!C314="","",'FUENTE NO BORRAR'!C314)</f>
        <v/>
      </c>
      <c r="D296" s="5" t="str">
        <f>IF('FUENTE NO BORRAR'!D314="","",'FUENTE NO BORRAR'!D314)</f>
        <v/>
      </c>
      <c r="E296" s="5" t="str">
        <f>IF('FUENTE NO BORRAR'!E314="","",'FUENTE NO BORRAR'!E314)</f>
        <v/>
      </c>
      <c r="F296" s="6">
        <f>IF('FUENTE NO BORRAR'!F314="","",IF('FUENTE NO BORRAR'!$A314&lt;&gt;"Resultado total",('FUENTE NO BORRAR'!F314),""))</f>
        <v>0</v>
      </c>
      <c r="G296" s="6">
        <f>IF('FUENTE NO BORRAR'!G314="","",IF('FUENTE NO BORRAR'!$A314&lt;&gt;"Resultado total",('FUENTE NO BORRAR'!G314),""))</f>
        <v>0</v>
      </c>
      <c r="H296" s="6">
        <f>IF('FUENTE NO BORRAR'!H314="","",IF('FUENTE NO BORRAR'!$A314&lt;&gt;"Resultado total",('FUENTE NO BORRAR'!H314),""))</f>
        <v>0</v>
      </c>
      <c r="I296" s="6">
        <f>IF('FUENTE NO BORRAR'!I314="","",IF('FUENTE NO BORRAR'!$A314&lt;&gt;"Resultado total",('FUENTE NO BORRAR'!I314),""))</f>
        <v>0</v>
      </c>
    </row>
    <row r="297" spans="1:9" x14ac:dyDescent="0.2">
      <c r="A297" s="5" t="str">
        <f>IF('FUENTE NO BORRAR'!A315="","",(IF('FUENTE NO BORRAR'!A315&lt;&gt;"Resultado total",'FUENTE NO BORRAR'!A315,"")))</f>
        <v/>
      </c>
      <c r="B297" s="5" t="str">
        <f>IF('FUENTE NO BORRAR'!B315="","",'FUENTE NO BORRAR'!B315)</f>
        <v/>
      </c>
      <c r="C297" s="5" t="str">
        <f>IF('FUENTE NO BORRAR'!C315="","",'FUENTE NO BORRAR'!C315)</f>
        <v/>
      </c>
      <c r="D297" s="5" t="str">
        <f>IF('FUENTE NO BORRAR'!D315="","",'FUENTE NO BORRAR'!D315)</f>
        <v/>
      </c>
      <c r="E297" s="5" t="str">
        <f>IF('FUENTE NO BORRAR'!E315="","",'FUENTE NO BORRAR'!E315)</f>
        <v/>
      </c>
      <c r="F297" s="6">
        <f>IF('FUENTE NO BORRAR'!F315="","",IF('FUENTE NO BORRAR'!$A315&lt;&gt;"Resultado total",('FUENTE NO BORRAR'!F315),""))</f>
        <v>550.02</v>
      </c>
      <c r="G297" s="6">
        <f>IF('FUENTE NO BORRAR'!G315="","",IF('FUENTE NO BORRAR'!$A315&lt;&gt;"Resultado total",('FUENTE NO BORRAR'!G315),""))</f>
        <v>550.02</v>
      </c>
      <c r="H297" s="6">
        <f>IF('FUENTE NO BORRAR'!H315="","",IF('FUENTE NO BORRAR'!$A315&lt;&gt;"Resultado total",('FUENTE NO BORRAR'!H315),""))</f>
        <v>550.02</v>
      </c>
      <c r="I297" s="6">
        <f>IF('FUENTE NO BORRAR'!I315="","",IF('FUENTE NO BORRAR'!$A315&lt;&gt;"Resultado total",('FUENTE NO BORRAR'!I315),""))</f>
        <v>0</v>
      </c>
    </row>
    <row r="298" spans="1:9" x14ac:dyDescent="0.2">
      <c r="A298" s="5" t="str">
        <f>IF('FUENTE NO BORRAR'!A316="","",(IF('FUENTE NO BORRAR'!A316&lt;&gt;"Resultado total",'FUENTE NO BORRAR'!A316,"")))</f>
        <v/>
      </c>
      <c r="B298" s="5" t="str">
        <f>IF('FUENTE NO BORRAR'!B316="","",'FUENTE NO BORRAR'!B316)</f>
        <v/>
      </c>
      <c r="C298" s="5" t="str">
        <f>IF('FUENTE NO BORRAR'!C316="","",'FUENTE NO BORRAR'!C316)</f>
        <v/>
      </c>
      <c r="D298" s="5" t="str">
        <f>IF('FUENTE NO BORRAR'!D316="","",'FUENTE NO BORRAR'!D316)</f>
        <v/>
      </c>
      <c r="E298" s="5" t="str">
        <f>IF('FUENTE NO BORRAR'!E316="","",'FUENTE NO BORRAR'!E316)</f>
        <v/>
      </c>
      <c r="F298" s="6">
        <f>IF('FUENTE NO BORRAR'!F316="","",IF('FUENTE NO BORRAR'!$A316&lt;&gt;"Resultado total",('FUENTE NO BORRAR'!F316),""))</f>
        <v>0</v>
      </c>
      <c r="G298" s="6">
        <f>IF('FUENTE NO BORRAR'!G316="","",IF('FUENTE NO BORRAR'!$A316&lt;&gt;"Resultado total",('FUENTE NO BORRAR'!G316),""))</f>
        <v>0</v>
      </c>
      <c r="H298" s="6">
        <f>IF('FUENTE NO BORRAR'!H316="","",IF('FUENTE NO BORRAR'!$A316&lt;&gt;"Resultado total",('FUENTE NO BORRAR'!H316),""))</f>
        <v>0</v>
      </c>
      <c r="I298" s="6">
        <f>IF('FUENTE NO BORRAR'!I316="","",IF('FUENTE NO BORRAR'!$A316&lt;&gt;"Resultado total",('FUENTE NO BORRAR'!I316),""))</f>
        <v>0</v>
      </c>
    </row>
    <row r="299" spans="1:9" x14ac:dyDescent="0.2">
      <c r="A299" s="5" t="str">
        <f>IF('FUENTE NO BORRAR'!A317="","",(IF('FUENTE NO BORRAR'!A317&lt;&gt;"Resultado total",'FUENTE NO BORRAR'!A317,"")))</f>
        <v/>
      </c>
      <c r="B299" s="5" t="str">
        <f>IF('FUENTE NO BORRAR'!B317="","",'FUENTE NO BORRAR'!B317)</f>
        <v/>
      </c>
      <c r="C299" s="5" t="str">
        <f>IF('FUENTE NO BORRAR'!C317="","",'FUENTE NO BORRAR'!C317)</f>
        <v/>
      </c>
      <c r="D299" s="5" t="str">
        <f>IF('FUENTE NO BORRAR'!D317="","",'FUENTE NO BORRAR'!D317)</f>
        <v/>
      </c>
      <c r="E299" s="5" t="str">
        <f>IF('FUENTE NO BORRAR'!E317="","",'FUENTE NO BORRAR'!E317)</f>
        <v/>
      </c>
      <c r="F299" s="6">
        <f>IF('FUENTE NO BORRAR'!F317="","",IF('FUENTE NO BORRAR'!$A317&lt;&gt;"Resultado total",('FUENTE NO BORRAR'!F317),""))</f>
        <v>28905.75</v>
      </c>
      <c r="G299" s="6">
        <f>IF('FUENTE NO BORRAR'!G317="","",IF('FUENTE NO BORRAR'!$A317&lt;&gt;"Resultado total",('FUENTE NO BORRAR'!G317),""))</f>
        <v>28905.75</v>
      </c>
      <c r="H299" s="6">
        <f>IF('FUENTE NO BORRAR'!H317="","",IF('FUENTE NO BORRAR'!$A317&lt;&gt;"Resultado total",('FUENTE NO BORRAR'!H317),""))</f>
        <v>28905.75</v>
      </c>
      <c r="I299" s="6">
        <f>IF('FUENTE NO BORRAR'!I317="","",IF('FUENTE NO BORRAR'!$A317&lt;&gt;"Resultado total",('FUENTE NO BORRAR'!I317),""))</f>
        <v>0</v>
      </c>
    </row>
    <row r="300" spans="1:9" x14ac:dyDescent="0.2">
      <c r="A300" s="5" t="str">
        <f>IF('FUENTE NO BORRAR'!A318="","",(IF('FUENTE NO BORRAR'!A318&lt;&gt;"Resultado total",'FUENTE NO BORRAR'!A318,"")))</f>
        <v/>
      </c>
      <c r="B300" s="5" t="str">
        <f>IF('FUENTE NO BORRAR'!B318="","",'FUENTE NO BORRAR'!B318)</f>
        <v/>
      </c>
      <c r="C300" s="5" t="str">
        <f>IF('FUENTE NO BORRAR'!C318="","",'FUENTE NO BORRAR'!C318)</f>
        <v/>
      </c>
      <c r="D300" s="5" t="str">
        <f>IF('FUENTE NO BORRAR'!D318="","",'FUENTE NO BORRAR'!D318)</f>
        <v/>
      </c>
      <c r="E300" s="5" t="str">
        <f>IF('FUENTE NO BORRAR'!E318="","",'FUENTE NO BORRAR'!E318)</f>
        <v/>
      </c>
      <c r="F300" s="6">
        <f>IF('FUENTE NO BORRAR'!F318="","",IF('FUENTE NO BORRAR'!$A318&lt;&gt;"Resultado total",('FUENTE NO BORRAR'!F318),""))</f>
        <v>19952</v>
      </c>
      <c r="G300" s="6">
        <f>IF('FUENTE NO BORRAR'!G318="","",IF('FUENTE NO BORRAR'!$A318&lt;&gt;"Resultado total",('FUENTE NO BORRAR'!G318),""))</f>
        <v>19952</v>
      </c>
      <c r="H300" s="6">
        <f>IF('FUENTE NO BORRAR'!H318="","",IF('FUENTE NO BORRAR'!$A318&lt;&gt;"Resultado total",('FUENTE NO BORRAR'!H318),""))</f>
        <v>0</v>
      </c>
      <c r="I300" s="6">
        <f>IF('FUENTE NO BORRAR'!I318="","",IF('FUENTE NO BORRAR'!$A318&lt;&gt;"Resultado total",('FUENTE NO BORRAR'!I318),""))</f>
        <v>0</v>
      </c>
    </row>
    <row r="301" spans="1:9" x14ac:dyDescent="0.2">
      <c r="A301" s="5" t="str">
        <f>IF('FUENTE NO BORRAR'!A319="","",(IF('FUENTE NO BORRAR'!A319&lt;&gt;"Resultado total",'FUENTE NO BORRAR'!A319,"")))</f>
        <v/>
      </c>
      <c r="B301" s="5" t="str">
        <f>IF('FUENTE NO BORRAR'!B319="","",'FUENTE NO BORRAR'!B319)</f>
        <v/>
      </c>
      <c r="C301" s="5" t="str">
        <f>IF('FUENTE NO BORRAR'!C319="","",'FUENTE NO BORRAR'!C319)</f>
        <v/>
      </c>
      <c r="D301" s="5" t="str">
        <f>IF('FUENTE NO BORRAR'!D319="","",'FUENTE NO BORRAR'!D319)</f>
        <v/>
      </c>
      <c r="E301" s="5" t="str">
        <f>IF('FUENTE NO BORRAR'!E319="","",'FUENTE NO BORRAR'!E319)</f>
        <v/>
      </c>
      <c r="F301" s="6">
        <f>IF('FUENTE NO BORRAR'!F319="","",IF('FUENTE NO BORRAR'!$A319&lt;&gt;"Resultado total",('FUENTE NO BORRAR'!F319),""))</f>
        <v>66326.240000000005</v>
      </c>
      <c r="G301" s="6">
        <f>IF('FUENTE NO BORRAR'!G319="","",IF('FUENTE NO BORRAR'!$A319&lt;&gt;"Resultado total",('FUENTE NO BORRAR'!G319),""))</f>
        <v>66326.240000000005</v>
      </c>
      <c r="H301" s="6">
        <f>IF('FUENTE NO BORRAR'!H319="","",IF('FUENTE NO BORRAR'!$A319&lt;&gt;"Resultado total",('FUENTE NO BORRAR'!H319),""))</f>
        <v>66326.240000000005</v>
      </c>
      <c r="I301" s="6">
        <f>IF('FUENTE NO BORRAR'!I319="","",IF('FUENTE NO BORRAR'!$A319&lt;&gt;"Resultado total",('FUENTE NO BORRAR'!I319),""))</f>
        <v>0</v>
      </c>
    </row>
    <row r="302" spans="1:9" x14ac:dyDescent="0.2">
      <c r="A302" s="5" t="str">
        <f>IF('FUENTE NO BORRAR'!A320="","",(IF('FUENTE NO BORRAR'!A320&lt;&gt;"Resultado total",'FUENTE NO BORRAR'!A320,"")))</f>
        <v/>
      </c>
      <c r="B302" s="5" t="str">
        <f>IF('FUENTE NO BORRAR'!B320="","",'FUENTE NO BORRAR'!B320)</f>
        <v/>
      </c>
      <c r="C302" s="5" t="str">
        <f>IF('FUENTE NO BORRAR'!C320="","",'FUENTE NO BORRAR'!C320)</f>
        <v/>
      </c>
      <c r="D302" s="5" t="str">
        <f>IF('FUENTE NO BORRAR'!D320="","",'FUENTE NO BORRAR'!D320)</f>
        <v/>
      </c>
      <c r="E302" s="5" t="str">
        <f>IF('FUENTE NO BORRAR'!E320="","",'FUENTE NO BORRAR'!E320)</f>
        <v/>
      </c>
      <c r="F302" s="6">
        <f>IF('FUENTE NO BORRAR'!F320="","",IF('FUENTE NO BORRAR'!$A320&lt;&gt;"Resultado total",('FUENTE NO BORRAR'!F320),""))</f>
        <v>0</v>
      </c>
      <c r="G302" s="6">
        <f>IF('FUENTE NO BORRAR'!G320="","",IF('FUENTE NO BORRAR'!$A320&lt;&gt;"Resultado total",('FUENTE NO BORRAR'!G320),""))</f>
        <v>0</v>
      </c>
      <c r="H302" s="6">
        <f>IF('FUENTE NO BORRAR'!H320="","",IF('FUENTE NO BORRAR'!$A320&lt;&gt;"Resultado total",('FUENTE NO BORRAR'!H320),""))</f>
        <v>0</v>
      </c>
      <c r="I302" s="6">
        <f>IF('FUENTE NO BORRAR'!I320="","",IF('FUENTE NO BORRAR'!$A320&lt;&gt;"Resultado total",('FUENTE NO BORRAR'!I320),""))</f>
        <v>0</v>
      </c>
    </row>
    <row r="303" spans="1:9" x14ac:dyDescent="0.2">
      <c r="A303" s="5" t="str">
        <f>IF('FUENTE NO BORRAR'!A321="","",(IF('FUENTE NO BORRAR'!A321&lt;&gt;"Resultado total",'FUENTE NO BORRAR'!A321,"")))</f>
        <v/>
      </c>
      <c r="B303" s="5" t="str">
        <f>IF('FUENTE NO BORRAR'!B321="","",'FUENTE NO BORRAR'!B321)</f>
        <v/>
      </c>
      <c r="C303" s="5" t="str">
        <f>IF('FUENTE NO BORRAR'!C321="","",'FUENTE NO BORRAR'!C321)</f>
        <v/>
      </c>
      <c r="D303" s="5" t="str">
        <f>IF('FUENTE NO BORRAR'!D321="","",'FUENTE NO BORRAR'!D321)</f>
        <v/>
      </c>
      <c r="E303" s="5" t="str">
        <f>IF('FUENTE NO BORRAR'!E321="","",'FUENTE NO BORRAR'!E321)</f>
        <v/>
      </c>
      <c r="F303" s="6">
        <f>IF('FUENTE NO BORRAR'!F321="","",IF('FUENTE NO BORRAR'!$A321&lt;&gt;"Resultado total",('FUENTE NO BORRAR'!F321),""))</f>
        <v>64774.38</v>
      </c>
      <c r="G303" s="6">
        <f>IF('FUENTE NO BORRAR'!G321="","",IF('FUENTE NO BORRAR'!$A321&lt;&gt;"Resultado total",('FUENTE NO BORRAR'!G321),""))</f>
        <v>64774.38</v>
      </c>
      <c r="H303" s="6">
        <f>IF('FUENTE NO BORRAR'!H321="","",IF('FUENTE NO BORRAR'!$A321&lt;&gt;"Resultado total",('FUENTE NO BORRAR'!H321),""))</f>
        <v>49746.58</v>
      </c>
      <c r="I303" s="6">
        <f>IF('FUENTE NO BORRAR'!I321="","",IF('FUENTE NO BORRAR'!$A321&lt;&gt;"Resultado total",('FUENTE NO BORRAR'!I321),""))</f>
        <v>0</v>
      </c>
    </row>
    <row r="304" spans="1:9" x14ac:dyDescent="0.2">
      <c r="A304" s="5" t="str">
        <f>IF('FUENTE NO BORRAR'!A322="","",(IF('FUENTE NO BORRAR'!A322&lt;&gt;"Resultado total",'FUENTE NO BORRAR'!A322,"")))</f>
        <v/>
      </c>
      <c r="B304" s="5" t="str">
        <f>IF('FUENTE NO BORRAR'!B322="","",'FUENTE NO BORRAR'!B322)</f>
        <v/>
      </c>
      <c r="C304" s="5" t="str">
        <f>IF('FUENTE NO BORRAR'!C322="","",'FUENTE NO BORRAR'!C322)</f>
        <v/>
      </c>
      <c r="D304" s="5" t="str">
        <f>IF('FUENTE NO BORRAR'!D322="","",'FUENTE NO BORRAR'!D322)</f>
        <v/>
      </c>
      <c r="E304" s="5" t="str">
        <f>IF('FUENTE NO BORRAR'!E322="","",'FUENTE NO BORRAR'!E322)</f>
        <v/>
      </c>
      <c r="F304" s="6">
        <f>IF('FUENTE NO BORRAR'!F322="","",IF('FUENTE NO BORRAR'!$A322&lt;&gt;"Resultado total",('FUENTE NO BORRAR'!F322),""))</f>
        <v>11948</v>
      </c>
      <c r="G304" s="6">
        <f>IF('FUENTE NO BORRAR'!G322="","",IF('FUENTE NO BORRAR'!$A322&lt;&gt;"Resultado total",('FUENTE NO BORRAR'!G322),""))</f>
        <v>11948</v>
      </c>
      <c r="H304" s="6">
        <f>IF('FUENTE NO BORRAR'!H322="","",IF('FUENTE NO BORRAR'!$A322&lt;&gt;"Resultado total",('FUENTE NO BORRAR'!H322),""))</f>
        <v>11948</v>
      </c>
      <c r="I304" s="6">
        <f>IF('FUENTE NO BORRAR'!I322="","",IF('FUENTE NO BORRAR'!$A322&lt;&gt;"Resultado total",('FUENTE NO BORRAR'!I322),""))</f>
        <v>0</v>
      </c>
    </row>
    <row r="305" spans="1:9" x14ac:dyDescent="0.2">
      <c r="A305" s="5" t="str">
        <f>IF('FUENTE NO BORRAR'!A323="","",(IF('FUENTE NO BORRAR'!A323&lt;&gt;"Resultado total",'FUENTE NO BORRAR'!A323,"")))</f>
        <v/>
      </c>
      <c r="B305" s="5" t="str">
        <f>IF('FUENTE NO BORRAR'!B323="","",'FUENTE NO BORRAR'!B323)</f>
        <v/>
      </c>
      <c r="C305" s="5" t="str">
        <f>IF('FUENTE NO BORRAR'!C323="","",'FUENTE NO BORRAR'!C323)</f>
        <v/>
      </c>
      <c r="D305" s="5" t="str">
        <f>IF('FUENTE NO BORRAR'!D323="","",'FUENTE NO BORRAR'!D323)</f>
        <v/>
      </c>
      <c r="E305" s="5" t="str">
        <f>IF('FUENTE NO BORRAR'!E323="","",'FUENTE NO BORRAR'!E323)</f>
        <v/>
      </c>
      <c r="F305" s="6">
        <f>IF('FUENTE NO BORRAR'!F323="","",IF('FUENTE NO BORRAR'!$A323&lt;&gt;"Resultado total",('FUENTE NO BORRAR'!F323),""))</f>
        <v>75619.360000000001</v>
      </c>
      <c r="G305" s="6">
        <f>IF('FUENTE NO BORRAR'!G323="","",IF('FUENTE NO BORRAR'!$A323&lt;&gt;"Resultado total",('FUENTE NO BORRAR'!G323),""))</f>
        <v>75619.360000000001</v>
      </c>
      <c r="H305" s="6">
        <f>IF('FUENTE NO BORRAR'!H323="","",IF('FUENTE NO BORRAR'!$A323&lt;&gt;"Resultado total",('FUENTE NO BORRAR'!H323),""))</f>
        <v>58771.360000000001</v>
      </c>
      <c r="I305" s="6">
        <f>IF('FUENTE NO BORRAR'!I323="","",IF('FUENTE NO BORRAR'!$A323&lt;&gt;"Resultado total",('FUENTE NO BORRAR'!I323),""))</f>
        <v>0</v>
      </c>
    </row>
    <row r="306" spans="1:9" x14ac:dyDescent="0.2">
      <c r="A306" s="5" t="str">
        <f>IF('FUENTE NO BORRAR'!A324="","",(IF('FUENTE NO BORRAR'!A324&lt;&gt;"Resultado total",'FUENTE NO BORRAR'!A324,"")))</f>
        <v/>
      </c>
      <c r="B306" s="5" t="str">
        <f>IF('FUENTE NO BORRAR'!B324="","",'FUENTE NO BORRAR'!B324)</f>
        <v/>
      </c>
      <c r="C306" s="5" t="str">
        <f>IF('FUENTE NO BORRAR'!C324="","",'FUENTE NO BORRAR'!C324)</f>
        <v/>
      </c>
      <c r="D306" s="5" t="str">
        <f>IF('FUENTE NO BORRAR'!D324="","",'FUENTE NO BORRAR'!D324)</f>
        <v/>
      </c>
      <c r="E306" s="5" t="str">
        <f>IF('FUENTE NO BORRAR'!E324="","",'FUENTE NO BORRAR'!E324)</f>
        <v/>
      </c>
      <c r="F306" s="6">
        <f>IF('FUENTE NO BORRAR'!F324="","",IF('FUENTE NO BORRAR'!$A324&lt;&gt;"Resultado total",('FUENTE NO BORRAR'!F324),""))</f>
        <v>15481</v>
      </c>
      <c r="G306" s="6">
        <f>IF('FUENTE NO BORRAR'!G324="","",IF('FUENTE NO BORRAR'!$A324&lt;&gt;"Resultado total",('FUENTE NO BORRAR'!G324),""))</f>
        <v>15481</v>
      </c>
      <c r="H306" s="6">
        <f>IF('FUENTE NO BORRAR'!H324="","",IF('FUENTE NO BORRAR'!$A324&lt;&gt;"Resultado total",('FUENTE NO BORRAR'!H324),""))</f>
        <v>15481</v>
      </c>
      <c r="I306" s="6">
        <f>IF('FUENTE NO BORRAR'!I324="","",IF('FUENTE NO BORRAR'!$A324&lt;&gt;"Resultado total",('FUENTE NO BORRAR'!I324),""))</f>
        <v>0</v>
      </c>
    </row>
    <row r="307" spans="1:9" x14ac:dyDescent="0.2">
      <c r="A307" s="5" t="str">
        <f>IF('FUENTE NO BORRAR'!A325="","",(IF('FUENTE NO BORRAR'!A325&lt;&gt;"Resultado total",'FUENTE NO BORRAR'!A325,"")))</f>
        <v/>
      </c>
      <c r="B307" s="5" t="str">
        <f>IF('FUENTE NO BORRAR'!B325="","",'FUENTE NO BORRAR'!B325)</f>
        <v/>
      </c>
      <c r="C307" s="5" t="str">
        <f>IF('FUENTE NO BORRAR'!C325="","",'FUENTE NO BORRAR'!C325)</f>
        <v/>
      </c>
      <c r="D307" s="5" t="str">
        <f>IF('FUENTE NO BORRAR'!D325="","",'FUENTE NO BORRAR'!D325)</f>
        <v/>
      </c>
      <c r="E307" s="5" t="str">
        <f>IF('FUENTE NO BORRAR'!E325="","",'FUENTE NO BORRAR'!E325)</f>
        <v/>
      </c>
      <c r="F307" s="6">
        <f>IF('FUENTE NO BORRAR'!F325="","",IF('FUENTE NO BORRAR'!$A325&lt;&gt;"Resultado total",('FUENTE NO BORRAR'!F325),""))</f>
        <v>1296</v>
      </c>
      <c r="G307" s="6">
        <f>IF('FUENTE NO BORRAR'!G325="","",IF('FUENTE NO BORRAR'!$A325&lt;&gt;"Resultado total",('FUENTE NO BORRAR'!G325),""))</f>
        <v>1296</v>
      </c>
      <c r="H307" s="6">
        <f>IF('FUENTE NO BORRAR'!H325="","",IF('FUENTE NO BORRAR'!$A325&lt;&gt;"Resultado total",('FUENTE NO BORRAR'!H325),""))</f>
        <v>1296</v>
      </c>
      <c r="I307" s="6">
        <f>IF('FUENTE NO BORRAR'!I325="","",IF('FUENTE NO BORRAR'!$A325&lt;&gt;"Resultado total",('FUENTE NO BORRAR'!I325),""))</f>
        <v>0</v>
      </c>
    </row>
    <row r="308" spans="1:9" x14ac:dyDescent="0.2">
      <c r="A308" s="5" t="str">
        <f>IF('FUENTE NO BORRAR'!A326="","",(IF('FUENTE NO BORRAR'!A326&lt;&gt;"Resultado total",'FUENTE NO BORRAR'!A326,"")))</f>
        <v/>
      </c>
      <c r="B308" s="5" t="str">
        <f>IF('FUENTE NO BORRAR'!B326="","",'FUENTE NO BORRAR'!B326)</f>
        <v/>
      </c>
      <c r="C308" s="5" t="str">
        <f>IF('FUENTE NO BORRAR'!C326="","",'FUENTE NO BORRAR'!C326)</f>
        <v/>
      </c>
      <c r="D308" s="5" t="str">
        <f>IF('FUENTE NO BORRAR'!D326="","",'FUENTE NO BORRAR'!D326)</f>
        <v/>
      </c>
      <c r="E308" s="5" t="str">
        <f>IF('FUENTE NO BORRAR'!E326="","",'FUENTE NO BORRAR'!E326)</f>
        <v/>
      </c>
      <c r="F308" s="6">
        <f>IF('FUENTE NO BORRAR'!F326="","",IF('FUENTE NO BORRAR'!$A326&lt;&gt;"Resultado total",('FUENTE NO BORRAR'!F326),""))</f>
        <v>17694.990000000002</v>
      </c>
      <c r="G308" s="6">
        <f>IF('FUENTE NO BORRAR'!G326="","",IF('FUENTE NO BORRAR'!$A326&lt;&gt;"Resultado total",('FUENTE NO BORRAR'!G326),""))</f>
        <v>17694.990000000002</v>
      </c>
      <c r="H308" s="6">
        <f>IF('FUENTE NO BORRAR'!H326="","",IF('FUENTE NO BORRAR'!$A326&lt;&gt;"Resultado total",('FUENTE NO BORRAR'!H326),""))</f>
        <v>17694.990000000002</v>
      </c>
      <c r="I308" s="6">
        <f>IF('FUENTE NO BORRAR'!I326="","",IF('FUENTE NO BORRAR'!$A326&lt;&gt;"Resultado total",('FUENTE NO BORRAR'!I326),""))</f>
        <v>0</v>
      </c>
    </row>
    <row r="309" spans="1:9" x14ac:dyDescent="0.2">
      <c r="A309" s="5" t="str">
        <f>IF('FUENTE NO BORRAR'!A327="","",(IF('FUENTE NO BORRAR'!A327&lt;&gt;"Resultado total",'FUENTE NO BORRAR'!A327,"")))</f>
        <v/>
      </c>
      <c r="B309" s="5" t="str">
        <f>IF('FUENTE NO BORRAR'!B327="","",'FUENTE NO BORRAR'!B327)</f>
        <v/>
      </c>
      <c r="C309" s="5" t="str">
        <f>IF('FUENTE NO BORRAR'!C327="","",'FUENTE NO BORRAR'!C327)</f>
        <v/>
      </c>
      <c r="D309" s="5" t="str">
        <f>IF('FUENTE NO BORRAR'!D327="","",'FUENTE NO BORRAR'!D327)</f>
        <v/>
      </c>
      <c r="E309" s="5" t="str">
        <f>IF('FUENTE NO BORRAR'!E327="","",'FUENTE NO BORRAR'!E327)</f>
        <v/>
      </c>
      <c r="F309" s="6">
        <f>IF('FUENTE NO BORRAR'!F327="","",IF('FUENTE NO BORRAR'!$A327&lt;&gt;"Resultado total",('FUENTE NO BORRAR'!F327),""))</f>
        <v>0</v>
      </c>
      <c r="G309" s="6">
        <f>IF('FUENTE NO BORRAR'!G327="","",IF('FUENTE NO BORRAR'!$A327&lt;&gt;"Resultado total",('FUENTE NO BORRAR'!G327),""))</f>
        <v>0</v>
      </c>
      <c r="H309" s="6">
        <f>IF('FUENTE NO BORRAR'!H327="","",IF('FUENTE NO BORRAR'!$A327&lt;&gt;"Resultado total",('FUENTE NO BORRAR'!H327),""))</f>
        <v>0</v>
      </c>
      <c r="I309" s="6">
        <f>IF('FUENTE NO BORRAR'!I327="","",IF('FUENTE NO BORRAR'!$A327&lt;&gt;"Resultado total",('FUENTE NO BORRAR'!I327),""))</f>
        <v>0</v>
      </c>
    </row>
    <row r="310" spans="1:9" x14ac:dyDescent="0.2">
      <c r="A310" s="5" t="str">
        <f>IF('FUENTE NO BORRAR'!A328="","",(IF('FUENTE NO BORRAR'!A328&lt;&gt;"Resultado total",'FUENTE NO BORRAR'!A328,"")))</f>
        <v/>
      </c>
      <c r="B310" s="5" t="str">
        <f>IF('FUENTE NO BORRAR'!B328="","",'FUENTE NO BORRAR'!B328)</f>
        <v/>
      </c>
      <c r="C310" s="5" t="str">
        <f>IF('FUENTE NO BORRAR'!C328="","",'FUENTE NO BORRAR'!C328)</f>
        <v/>
      </c>
      <c r="D310" s="5" t="str">
        <f>IF('FUENTE NO BORRAR'!D328="","",'FUENTE NO BORRAR'!D328)</f>
        <v/>
      </c>
      <c r="E310" s="5" t="str">
        <f>IF('FUENTE NO BORRAR'!E328="","",'FUENTE NO BORRAR'!E328)</f>
        <v/>
      </c>
      <c r="F310" s="6">
        <f>IF('FUENTE NO BORRAR'!F328="","",IF('FUENTE NO BORRAR'!$A328&lt;&gt;"Resultado total",('FUENTE NO BORRAR'!F328),""))</f>
        <v>9792</v>
      </c>
      <c r="G310" s="6">
        <f>IF('FUENTE NO BORRAR'!G328="","",IF('FUENTE NO BORRAR'!$A328&lt;&gt;"Resultado total",('FUENTE NO BORRAR'!G328),""))</f>
        <v>9792</v>
      </c>
      <c r="H310" s="6">
        <f>IF('FUENTE NO BORRAR'!H328="","",IF('FUENTE NO BORRAR'!$A328&lt;&gt;"Resultado total",('FUENTE NO BORRAR'!H328),""))</f>
        <v>9792</v>
      </c>
      <c r="I310" s="6">
        <f>IF('FUENTE NO BORRAR'!I328="","",IF('FUENTE NO BORRAR'!$A328&lt;&gt;"Resultado total",('FUENTE NO BORRAR'!I328),""))</f>
        <v>0</v>
      </c>
    </row>
    <row r="311" spans="1:9" x14ac:dyDescent="0.2">
      <c r="A311" s="5" t="str">
        <f>IF('FUENTE NO BORRAR'!A329="","",(IF('FUENTE NO BORRAR'!A329&lt;&gt;"Resultado total",'FUENTE NO BORRAR'!A329,"")))</f>
        <v/>
      </c>
      <c r="B311" s="5" t="str">
        <f>IF('FUENTE NO BORRAR'!B329="","",'FUENTE NO BORRAR'!B329)</f>
        <v/>
      </c>
      <c r="C311" s="5" t="str">
        <f>IF('FUENTE NO BORRAR'!C329="","",'FUENTE NO BORRAR'!C329)</f>
        <v/>
      </c>
      <c r="D311" s="5" t="str">
        <f>IF('FUENTE NO BORRAR'!D329="","",'FUENTE NO BORRAR'!D329)</f>
        <v/>
      </c>
      <c r="E311" s="5" t="str">
        <f>IF('FUENTE NO BORRAR'!E329="","",'FUENTE NO BORRAR'!E329)</f>
        <v/>
      </c>
      <c r="F311" s="6">
        <f>IF('FUENTE NO BORRAR'!F329="","",IF('FUENTE NO BORRAR'!$A329&lt;&gt;"Resultado total",('FUENTE NO BORRAR'!F329),""))</f>
        <v>3271.2</v>
      </c>
      <c r="G311" s="6">
        <f>IF('FUENTE NO BORRAR'!G329="","",IF('FUENTE NO BORRAR'!$A329&lt;&gt;"Resultado total",('FUENTE NO BORRAR'!G329),""))</f>
        <v>3271.2</v>
      </c>
      <c r="H311" s="6">
        <f>IF('FUENTE NO BORRAR'!H329="","",IF('FUENTE NO BORRAR'!$A329&lt;&gt;"Resultado total",('FUENTE NO BORRAR'!H329),""))</f>
        <v>3271.2</v>
      </c>
      <c r="I311" s="6">
        <f>IF('FUENTE NO BORRAR'!I329="","",IF('FUENTE NO BORRAR'!$A329&lt;&gt;"Resultado total",('FUENTE NO BORRAR'!I329),""))</f>
        <v>0</v>
      </c>
    </row>
    <row r="312" spans="1:9" x14ac:dyDescent="0.2">
      <c r="A312" s="5" t="str">
        <f>IF('FUENTE NO BORRAR'!A330="","",(IF('FUENTE NO BORRAR'!A330&lt;&gt;"Resultado total",'FUENTE NO BORRAR'!A330,"")))</f>
        <v/>
      </c>
      <c r="B312" s="5" t="str">
        <f>IF('FUENTE NO BORRAR'!B330="","",'FUENTE NO BORRAR'!B330)</f>
        <v/>
      </c>
      <c r="C312" s="5" t="str">
        <f>IF('FUENTE NO BORRAR'!C330="","",'FUENTE NO BORRAR'!C330)</f>
        <v/>
      </c>
      <c r="D312" s="5" t="str">
        <f>IF('FUENTE NO BORRAR'!D330="","",'FUENTE NO BORRAR'!D330)</f>
        <v/>
      </c>
      <c r="E312" s="5" t="str">
        <f>IF('FUENTE NO BORRAR'!E330="","",'FUENTE NO BORRAR'!E330)</f>
        <v/>
      </c>
      <c r="F312" s="6">
        <f>IF('FUENTE NO BORRAR'!F330="","",IF('FUENTE NO BORRAR'!$A330&lt;&gt;"Resultado total",('FUENTE NO BORRAR'!F330),""))</f>
        <v>14879.34</v>
      </c>
      <c r="G312" s="6">
        <f>IF('FUENTE NO BORRAR'!G330="","",IF('FUENTE NO BORRAR'!$A330&lt;&gt;"Resultado total",('FUENTE NO BORRAR'!G330),""))</f>
        <v>14879.34</v>
      </c>
      <c r="H312" s="6">
        <f>IF('FUENTE NO BORRAR'!H330="","",IF('FUENTE NO BORRAR'!$A330&lt;&gt;"Resultado total",('FUENTE NO BORRAR'!H330),""))</f>
        <v>5974</v>
      </c>
      <c r="I312" s="6">
        <f>IF('FUENTE NO BORRAR'!I330="","",IF('FUENTE NO BORRAR'!$A330&lt;&gt;"Resultado total",('FUENTE NO BORRAR'!I330),""))</f>
        <v>0</v>
      </c>
    </row>
    <row r="313" spans="1:9" x14ac:dyDescent="0.2">
      <c r="A313" s="5" t="str">
        <f>IF('FUENTE NO BORRAR'!A331="","",(IF('FUENTE NO BORRAR'!A331&lt;&gt;"Resultado total",'FUENTE NO BORRAR'!A331,"")))</f>
        <v/>
      </c>
      <c r="B313" s="5" t="str">
        <f>IF('FUENTE NO BORRAR'!B331="","",'FUENTE NO BORRAR'!B331)</f>
        <v/>
      </c>
      <c r="C313" s="5" t="str">
        <f>IF('FUENTE NO BORRAR'!C331="","",'FUENTE NO BORRAR'!C331)</f>
        <v/>
      </c>
      <c r="D313" s="5" t="str">
        <f>IF('FUENTE NO BORRAR'!D331="","",'FUENTE NO BORRAR'!D331)</f>
        <v/>
      </c>
      <c r="E313" s="5" t="str">
        <f>IF('FUENTE NO BORRAR'!E331="","",'FUENTE NO BORRAR'!E331)</f>
        <v/>
      </c>
      <c r="F313" s="6">
        <f>IF('FUENTE NO BORRAR'!F331="","",IF('FUENTE NO BORRAR'!$A331&lt;&gt;"Resultado total",('FUENTE NO BORRAR'!F331),""))</f>
        <v>21500</v>
      </c>
      <c r="G313" s="6">
        <f>IF('FUENTE NO BORRAR'!G331="","",IF('FUENTE NO BORRAR'!$A331&lt;&gt;"Resultado total",('FUENTE NO BORRAR'!G331),""))</f>
        <v>21500</v>
      </c>
      <c r="H313" s="6">
        <f>IF('FUENTE NO BORRAR'!H331="","",IF('FUENTE NO BORRAR'!$A331&lt;&gt;"Resultado total",('FUENTE NO BORRAR'!H331),""))</f>
        <v>21500</v>
      </c>
      <c r="I313" s="6">
        <f>IF('FUENTE NO BORRAR'!I331="","",IF('FUENTE NO BORRAR'!$A331&lt;&gt;"Resultado total",('FUENTE NO BORRAR'!I331),""))</f>
        <v>0</v>
      </c>
    </row>
    <row r="314" spans="1:9" x14ac:dyDescent="0.2">
      <c r="A314" s="5" t="str">
        <f>IF('FUENTE NO BORRAR'!A332="","",(IF('FUENTE NO BORRAR'!A332&lt;&gt;"Resultado total",'FUENTE NO BORRAR'!A332,"")))</f>
        <v/>
      </c>
      <c r="B314" s="5" t="str">
        <f>IF('FUENTE NO BORRAR'!B332="","",'FUENTE NO BORRAR'!B332)</f>
        <v/>
      </c>
      <c r="C314" s="5" t="str">
        <f>IF('FUENTE NO BORRAR'!C332="","",'FUENTE NO BORRAR'!C332)</f>
        <v>13033071E207</v>
      </c>
      <c r="D314" s="5" t="str">
        <f>IF('FUENTE NO BORRAR'!D332="","",'FUENTE NO BORRAR'!D332)</f>
        <v>13033071E207</v>
      </c>
      <c r="E314" s="5" t="str">
        <f>IF('FUENTE NO BORRAR'!E332="","",'FUENTE NO BORRAR'!E332)</f>
        <v/>
      </c>
      <c r="F314" s="6">
        <f>IF('FUENTE NO BORRAR'!F332="","",IF('FUENTE NO BORRAR'!$A332&lt;&gt;"Resultado total",('FUENTE NO BORRAR'!F332),""))</f>
        <v>1117053.9099999999</v>
      </c>
      <c r="G314" s="6">
        <f>IF('FUENTE NO BORRAR'!G332="","",IF('FUENTE NO BORRAR'!$A332&lt;&gt;"Resultado total",('FUENTE NO BORRAR'!G332),""))</f>
        <v>1117053.9099999999</v>
      </c>
      <c r="H314" s="6">
        <f>IF('FUENTE NO BORRAR'!H332="","",IF('FUENTE NO BORRAR'!$A332&lt;&gt;"Resultado total",('FUENTE NO BORRAR'!H332),""))</f>
        <v>1117053.9099999999</v>
      </c>
      <c r="I314" s="6">
        <f>IF('FUENTE NO BORRAR'!I332="","",IF('FUENTE NO BORRAR'!$A332&lt;&gt;"Resultado total",('FUENTE NO BORRAR'!I332),""))</f>
        <v>0</v>
      </c>
    </row>
    <row r="315" spans="1:9" x14ac:dyDescent="0.2">
      <c r="A315" s="5" t="str">
        <f>IF('FUENTE NO BORRAR'!A333="","",(IF('FUENTE NO BORRAR'!A333&lt;&gt;"Resultado total",'FUENTE NO BORRAR'!A333,"")))</f>
        <v/>
      </c>
      <c r="B315" s="5" t="str">
        <f>IF('FUENTE NO BORRAR'!B333="","",'FUENTE NO BORRAR'!B333)</f>
        <v/>
      </c>
      <c r="C315" s="5" t="str">
        <f>IF('FUENTE NO BORRAR'!C333="","",'FUENTE NO BORRAR'!C333)</f>
        <v/>
      </c>
      <c r="D315" s="5" t="str">
        <f>IF('FUENTE NO BORRAR'!D333="","",'FUENTE NO BORRAR'!D333)</f>
        <v/>
      </c>
      <c r="E315" s="5" t="str">
        <f>IF('FUENTE NO BORRAR'!E333="","",'FUENTE NO BORRAR'!E333)</f>
        <v/>
      </c>
      <c r="F315" s="6">
        <f>IF('FUENTE NO BORRAR'!F333="","",IF('FUENTE NO BORRAR'!$A333&lt;&gt;"Resultado total",('FUENTE NO BORRAR'!F333),""))</f>
        <v>23286.06</v>
      </c>
      <c r="G315" s="6">
        <f>IF('FUENTE NO BORRAR'!G333="","",IF('FUENTE NO BORRAR'!$A333&lt;&gt;"Resultado total",('FUENTE NO BORRAR'!G333),""))</f>
        <v>23286.06</v>
      </c>
      <c r="H315" s="6">
        <f>IF('FUENTE NO BORRAR'!H333="","",IF('FUENTE NO BORRAR'!$A333&lt;&gt;"Resultado total",('FUENTE NO BORRAR'!H333),""))</f>
        <v>23286.06</v>
      </c>
      <c r="I315" s="6">
        <f>IF('FUENTE NO BORRAR'!I333="","",IF('FUENTE NO BORRAR'!$A333&lt;&gt;"Resultado total",('FUENTE NO BORRAR'!I333),""))</f>
        <v>0</v>
      </c>
    </row>
    <row r="316" spans="1:9" x14ac:dyDescent="0.2">
      <c r="A316" s="5" t="str">
        <f>IF('FUENTE NO BORRAR'!A334="","",(IF('FUENTE NO BORRAR'!A334&lt;&gt;"Resultado total",'FUENTE NO BORRAR'!A334,"")))</f>
        <v/>
      </c>
      <c r="B316" s="5" t="str">
        <f>IF('FUENTE NO BORRAR'!B334="","",'FUENTE NO BORRAR'!B334)</f>
        <v/>
      </c>
      <c r="C316" s="5" t="str">
        <f>IF('FUENTE NO BORRAR'!C334="","",'FUENTE NO BORRAR'!C334)</f>
        <v/>
      </c>
      <c r="D316" s="5" t="str">
        <f>IF('FUENTE NO BORRAR'!D334="","",'FUENTE NO BORRAR'!D334)</f>
        <v/>
      </c>
      <c r="E316" s="5" t="str">
        <f>IF('FUENTE NO BORRAR'!E334="","",'FUENTE NO BORRAR'!E334)</f>
        <v/>
      </c>
      <c r="F316" s="6">
        <f>IF('FUENTE NO BORRAR'!F334="","",IF('FUENTE NO BORRAR'!$A334&lt;&gt;"Resultado total",('FUENTE NO BORRAR'!F334),""))</f>
        <v>46012.17</v>
      </c>
      <c r="G316" s="6">
        <f>IF('FUENTE NO BORRAR'!G334="","",IF('FUENTE NO BORRAR'!$A334&lt;&gt;"Resultado total",('FUENTE NO BORRAR'!G334),""))</f>
        <v>46012.17</v>
      </c>
      <c r="H316" s="6">
        <f>IF('FUENTE NO BORRAR'!H334="","",IF('FUENTE NO BORRAR'!$A334&lt;&gt;"Resultado total",('FUENTE NO BORRAR'!H334),""))</f>
        <v>46012.17</v>
      </c>
      <c r="I316" s="6">
        <f>IF('FUENTE NO BORRAR'!I334="","",IF('FUENTE NO BORRAR'!$A334&lt;&gt;"Resultado total",('FUENTE NO BORRAR'!I334),""))</f>
        <v>0</v>
      </c>
    </row>
    <row r="317" spans="1:9" x14ac:dyDescent="0.2">
      <c r="A317" s="5" t="str">
        <f>IF('FUENTE NO BORRAR'!A335="","",(IF('FUENTE NO BORRAR'!A335&lt;&gt;"Resultado total",'FUENTE NO BORRAR'!A335,"")))</f>
        <v/>
      </c>
      <c r="B317" s="5" t="str">
        <f>IF('FUENTE NO BORRAR'!B335="","",'FUENTE NO BORRAR'!B335)</f>
        <v/>
      </c>
      <c r="C317" s="5" t="str">
        <f>IF('FUENTE NO BORRAR'!C335="","",'FUENTE NO BORRAR'!C335)</f>
        <v/>
      </c>
      <c r="D317" s="5" t="str">
        <f>IF('FUENTE NO BORRAR'!D335="","",'FUENTE NO BORRAR'!D335)</f>
        <v/>
      </c>
      <c r="E317" s="5" t="str">
        <f>IF('FUENTE NO BORRAR'!E335="","",'FUENTE NO BORRAR'!E335)</f>
        <v/>
      </c>
      <c r="F317" s="6">
        <f>IF('FUENTE NO BORRAR'!F335="","",IF('FUENTE NO BORRAR'!$A335&lt;&gt;"Resultado total",('FUENTE NO BORRAR'!F335),""))</f>
        <v>242561.21</v>
      </c>
      <c r="G317" s="6">
        <f>IF('FUENTE NO BORRAR'!G335="","",IF('FUENTE NO BORRAR'!$A335&lt;&gt;"Resultado total",('FUENTE NO BORRAR'!G335),""))</f>
        <v>242561.21</v>
      </c>
      <c r="H317" s="6">
        <f>IF('FUENTE NO BORRAR'!H335="","",IF('FUENTE NO BORRAR'!$A335&lt;&gt;"Resultado total",('FUENTE NO BORRAR'!H335),""))</f>
        <v>242561.21</v>
      </c>
      <c r="I317" s="6">
        <f>IF('FUENTE NO BORRAR'!I335="","",IF('FUENTE NO BORRAR'!$A335&lt;&gt;"Resultado total",('FUENTE NO BORRAR'!I335),""))</f>
        <v>0</v>
      </c>
    </row>
    <row r="318" spans="1:9" x14ac:dyDescent="0.2">
      <c r="A318" s="5" t="str">
        <f>IF('FUENTE NO BORRAR'!A336="","",(IF('FUENTE NO BORRAR'!A336&lt;&gt;"Resultado total",'FUENTE NO BORRAR'!A336,"")))</f>
        <v/>
      </c>
      <c r="B318" s="5" t="str">
        <f>IF('FUENTE NO BORRAR'!B336="","",'FUENTE NO BORRAR'!B336)</f>
        <v/>
      </c>
      <c r="C318" s="5" t="str">
        <f>IF('FUENTE NO BORRAR'!C336="","",'FUENTE NO BORRAR'!C336)</f>
        <v/>
      </c>
      <c r="D318" s="5" t="str">
        <f>IF('FUENTE NO BORRAR'!D336="","",'FUENTE NO BORRAR'!D336)</f>
        <v/>
      </c>
      <c r="E318" s="5" t="str">
        <f>IF('FUENTE NO BORRAR'!E336="","",'FUENTE NO BORRAR'!E336)</f>
        <v/>
      </c>
      <c r="F318" s="6">
        <f>IF('FUENTE NO BORRAR'!F336="","",IF('FUENTE NO BORRAR'!$A336&lt;&gt;"Resultado total",('FUENTE NO BORRAR'!F336),""))</f>
        <v>191552.24</v>
      </c>
      <c r="G318" s="6">
        <f>IF('FUENTE NO BORRAR'!G336="","",IF('FUENTE NO BORRAR'!$A336&lt;&gt;"Resultado total",('FUENTE NO BORRAR'!G336),""))</f>
        <v>191552.24</v>
      </c>
      <c r="H318" s="6">
        <f>IF('FUENTE NO BORRAR'!H336="","",IF('FUENTE NO BORRAR'!$A336&lt;&gt;"Resultado total",('FUENTE NO BORRAR'!H336),""))</f>
        <v>194329.49</v>
      </c>
      <c r="I318" s="6">
        <f>IF('FUENTE NO BORRAR'!I336="","",IF('FUENTE NO BORRAR'!$A336&lt;&gt;"Resultado total",('FUENTE NO BORRAR'!I336),""))</f>
        <v>0</v>
      </c>
    </row>
    <row r="319" spans="1:9" x14ac:dyDescent="0.2">
      <c r="A319" s="5" t="str">
        <f>IF('FUENTE NO BORRAR'!A337="","",(IF('FUENTE NO BORRAR'!A337&lt;&gt;"Resultado total",'FUENTE NO BORRAR'!A337,"")))</f>
        <v/>
      </c>
      <c r="B319" s="5" t="str">
        <f>IF('FUENTE NO BORRAR'!B337="","",'FUENTE NO BORRAR'!B337)</f>
        <v/>
      </c>
      <c r="C319" s="5" t="str">
        <f>IF('FUENTE NO BORRAR'!C337="","",'FUENTE NO BORRAR'!C337)</f>
        <v/>
      </c>
      <c r="D319" s="5" t="str">
        <f>IF('FUENTE NO BORRAR'!D337="","",'FUENTE NO BORRAR'!D337)</f>
        <v/>
      </c>
      <c r="E319" s="5" t="str">
        <f>IF('FUENTE NO BORRAR'!E337="","",'FUENTE NO BORRAR'!E337)</f>
        <v/>
      </c>
      <c r="F319" s="6">
        <f>IF('FUENTE NO BORRAR'!F337="","",IF('FUENTE NO BORRAR'!$A337&lt;&gt;"Resultado total",('FUENTE NO BORRAR'!F337),""))</f>
        <v>504474.06</v>
      </c>
      <c r="G319" s="6">
        <f>IF('FUENTE NO BORRAR'!G337="","",IF('FUENTE NO BORRAR'!$A337&lt;&gt;"Resultado total",('FUENTE NO BORRAR'!G337),""))</f>
        <v>504474.06</v>
      </c>
      <c r="H319" s="6">
        <f>IF('FUENTE NO BORRAR'!H337="","",IF('FUENTE NO BORRAR'!$A337&lt;&gt;"Resultado total",('FUENTE NO BORRAR'!H337),""))</f>
        <v>504474.06</v>
      </c>
      <c r="I319" s="6">
        <f>IF('FUENTE NO BORRAR'!I337="","",IF('FUENTE NO BORRAR'!$A337&lt;&gt;"Resultado total",('FUENTE NO BORRAR'!I337),""))</f>
        <v>0</v>
      </c>
    </row>
    <row r="320" spans="1:9" x14ac:dyDescent="0.2">
      <c r="A320" s="5" t="str">
        <f>IF('FUENTE NO BORRAR'!A338="","",(IF('FUENTE NO BORRAR'!A338&lt;&gt;"Resultado total",'FUENTE NO BORRAR'!A338,"")))</f>
        <v/>
      </c>
      <c r="B320" s="5" t="str">
        <f>IF('FUENTE NO BORRAR'!B338="","",'FUENTE NO BORRAR'!B338)</f>
        <v/>
      </c>
      <c r="C320" s="5" t="str">
        <f>IF('FUENTE NO BORRAR'!C338="","",'FUENTE NO BORRAR'!C338)</f>
        <v/>
      </c>
      <c r="D320" s="5" t="str">
        <f>IF('FUENTE NO BORRAR'!D338="","",'FUENTE NO BORRAR'!D338)</f>
        <v/>
      </c>
      <c r="E320" s="5" t="str">
        <f>IF('FUENTE NO BORRAR'!E338="","",'FUENTE NO BORRAR'!E338)</f>
        <v/>
      </c>
      <c r="F320" s="6">
        <f>IF('FUENTE NO BORRAR'!F338="","",IF('FUENTE NO BORRAR'!$A338&lt;&gt;"Resultado total",('FUENTE NO BORRAR'!F338),""))</f>
        <v>221980.89</v>
      </c>
      <c r="G320" s="6">
        <f>IF('FUENTE NO BORRAR'!G338="","",IF('FUENTE NO BORRAR'!$A338&lt;&gt;"Resultado total",('FUENTE NO BORRAR'!G338),""))</f>
        <v>221980.89</v>
      </c>
      <c r="H320" s="6">
        <f>IF('FUENTE NO BORRAR'!H338="","",IF('FUENTE NO BORRAR'!$A338&lt;&gt;"Resultado total",('FUENTE NO BORRAR'!H338),""))</f>
        <v>221980.89</v>
      </c>
      <c r="I320" s="6">
        <f>IF('FUENTE NO BORRAR'!I338="","",IF('FUENTE NO BORRAR'!$A338&lt;&gt;"Resultado total",('FUENTE NO BORRAR'!I338),""))</f>
        <v>0</v>
      </c>
    </row>
    <row r="321" spans="1:9" x14ac:dyDescent="0.2">
      <c r="A321" s="5" t="str">
        <f>IF('FUENTE NO BORRAR'!A339="","",(IF('FUENTE NO BORRAR'!A339&lt;&gt;"Resultado total",'FUENTE NO BORRAR'!A339,"")))</f>
        <v/>
      </c>
      <c r="B321" s="5" t="str">
        <f>IF('FUENTE NO BORRAR'!B339="","",'FUENTE NO BORRAR'!B339)</f>
        <v/>
      </c>
      <c r="C321" s="5" t="str">
        <f>IF('FUENTE NO BORRAR'!C339="","",'FUENTE NO BORRAR'!C339)</f>
        <v/>
      </c>
      <c r="D321" s="5" t="str">
        <f>IF('FUENTE NO BORRAR'!D339="","",'FUENTE NO BORRAR'!D339)</f>
        <v/>
      </c>
      <c r="E321" s="5" t="str">
        <f>IF('FUENTE NO BORRAR'!E339="","",'FUENTE NO BORRAR'!E339)</f>
        <v/>
      </c>
      <c r="F321" s="6">
        <f>IF('FUENTE NO BORRAR'!F339="","",IF('FUENTE NO BORRAR'!$A339&lt;&gt;"Resultado total",('FUENTE NO BORRAR'!F339),""))</f>
        <v>71123.59</v>
      </c>
      <c r="G321" s="6">
        <f>IF('FUENTE NO BORRAR'!G339="","",IF('FUENTE NO BORRAR'!$A339&lt;&gt;"Resultado total",('FUENTE NO BORRAR'!G339),""))</f>
        <v>71123.59</v>
      </c>
      <c r="H321" s="6">
        <f>IF('FUENTE NO BORRAR'!H339="","",IF('FUENTE NO BORRAR'!$A339&lt;&gt;"Resultado total",('FUENTE NO BORRAR'!H339),""))</f>
        <v>71123.59</v>
      </c>
      <c r="I321" s="6">
        <f>IF('FUENTE NO BORRAR'!I339="","",IF('FUENTE NO BORRAR'!$A339&lt;&gt;"Resultado total",('FUENTE NO BORRAR'!I339),""))</f>
        <v>0</v>
      </c>
    </row>
    <row r="322" spans="1:9" x14ac:dyDescent="0.2">
      <c r="A322" s="5" t="str">
        <f>IF('FUENTE NO BORRAR'!A340="","",(IF('FUENTE NO BORRAR'!A340&lt;&gt;"Resultado total",'FUENTE NO BORRAR'!A340,"")))</f>
        <v/>
      </c>
      <c r="B322" s="5" t="str">
        <f>IF('FUENTE NO BORRAR'!B340="","",'FUENTE NO BORRAR'!B340)</f>
        <v/>
      </c>
      <c r="C322" s="5" t="str">
        <f>IF('FUENTE NO BORRAR'!C340="","",'FUENTE NO BORRAR'!C340)</f>
        <v/>
      </c>
      <c r="D322" s="5" t="str">
        <f>IF('FUENTE NO BORRAR'!D340="","",'FUENTE NO BORRAR'!D340)</f>
        <v/>
      </c>
      <c r="E322" s="5" t="str">
        <f>IF('FUENTE NO BORRAR'!E340="","",'FUENTE NO BORRAR'!E340)</f>
        <v/>
      </c>
      <c r="F322" s="6">
        <f>IF('FUENTE NO BORRAR'!F340="","",IF('FUENTE NO BORRAR'!$A340&lt;&gt;"Resultado total",('FUENTE NO BORRAR'!F340),""))</f>
        <v>33775.699999999997</v>
      </c>
      <c r="G322" s="6">
        <f>IF('FUENTE NO BORRAR'!G340="","",IF('FUENTE NO BORRAR'!$A340&lt;&gt;"Resultado total",('FUENTE NO BORRAR'!G340),""))</f>
        <v>33775.699999999997</v>
      </c>
      <c r="H322" s="6">
        <f>IF('FUENTE NO BORRAR'!H340="","",IF('FUENTE NO BORRAR'!$A340&lt;&gt;"Resultado total",('FUENTE NO BORRAR'!H340),""))</f>
        <v>33775.699999999997</v>
      </c>
      <c r="I322" s="6">
        <f>IF('FUENTE NO BORRAR'!I340="","",IF('FUENTE NO BORRAR'!$A340&lt;&gt;"Resultado total",('FUENTE NO BORRAR'!I340),""))</f>
        <v>0</v>
      </c>
    </row>
    <row r="323" spans="1:9" x14ac:dyDescent="0.2">
      <c r="A323" s="5" t="str">
        <f>IF('FUENTE NO BORRAR'!A341="","",(IF('FUENTE NO BORRAR'!A341&lt;&gt;"Resultado total",'FUENTE NO BORRAR'!A341,"")))</f>
        <v/>
      </c>
      <c r="B323" s="5" t="str">
        <f>IF('FUENTE NO BORRAR'!B341="","",'FUENTE NO BORRAR'!B341)</f>
        <v/>
      </c>
      <c r="C323" s="5" t="str">
        <f>IF('FUENTE NO BORRAR'!C341="","",'FUENTE NO BORRAR'!C341)</f>
        <v/>
      </c>
      <c r="D323" s="5" t="str">
        <f>IF('FUENTE NO BORRAR'!D341="","",'FUENTE NO BORRAR'!D341)</f>
        <v/>
      </c>
      <c r="E323" s="5" t="str">
        <f>IF('FUENTE NO BORRAR'!E341="","",'FUENTE NO BORRAR'!E341)</f>
        <v/>
      </c>
      <c r="F323" s="6">
        <f>IF('FUENTE NO BORRAR'!F341="","",IF('FUENTE NO BORRAR'!$A341&lt;&gt;"Resultado total",('FUENTE NO BORRAR'!F341),""))</f>
        <v>134777.16</v>
      </c>
      <c r="G323" s="6">
        <f>IF('FUENTE NO BORRAR'!G341="","",IF('FUENTE NO BORRAR'!$A341&lt;&gt;"Resultado total",('FUENTE NO BORRAR'!G341),""))</f>
        <v>134777.16</v>
      </c>
      <c r="H323" s="6">
        <f>IF('FUENTE NO BORRAR'!H341="","",IF('FUENTE NO BORRAR'!$A341&lt;&gt;"Resultado total",('FUENTE NO BORRAR'!H341),""))</f>
        <v>134777.16</v>
      </c>
      <c r="I323" s="6">
        <f>IF('FUENTE NO BORRAR'!I341="","",IF('FUENTE NO BORRAR'!$A341&lt;&gt;"Resultado total",('FUENTE NO BORRAR'!I341),""))</f>
        <v>0</v>
      </c>
    </row>
    <row r="324" spans="1:9" x14ac:dyDescent="0.2">
      <c r="A324" s="5" t="str">
        <f>IF('FUENTE NO BORRAR'!A342="","",(IF('FUENTE NO BORRAR'!A342&lt;&gt;"Resultado total",'FUENTE NO BORRAR'!A342,"")))</f>
        <v/>
      </c>
      <c r="B324" s="5" t="str">
        <f>IF('FUENTE NO BORRAR'!B342="","",'FUENTE NO BORRAR'!B342)</f>
        <v/>
      </c>
      <c r="C324" s="5" t="str">
        <f>IF('FUENTE NO BORRAR'!C342="","",'FUENTE NO BORRAR'!C342)</f>
        <v/>
      </c>
      <c r="D324" s="5" t="str">
        <f>IF('FUENTE NO BORRAR'!D342="","",'FUENTE NO BORRAR'!D342)</f>
        <v/>
      </c>
      <c r="E324" s="5" t="str">
        <f>IF('FUENTE NO BORRAR'!E342="","",'FUENTE NO BORRAR'!E342)</f>
        <v/>
      </c>
      <c r="F324" s="6">
        <f>IF('FUENTE NO BORRAR'!F342="","",IF('FUENTE NO BORRAR'!$A342&lt;&gt;"Resultado total",('FUENTE NO BORRAR'!F342),""))</f>
        <v>360541.18</v>
      </c>
      <c r="G324" s="6">
        <f>IF('FUENTE NO BORRAR'!G342="","",IF('FUENTE NO BORRAR'!$A342&lt;&gt;"Resultado total",('FUENTE NO BORRAR'!G342),""))</f>
        <v>360541.18</v>
      </c>
      <c r="H324" s="6">
        <f>IF('FUENTE NO BORRAR'!H342="","",IF('FUENTE NO BORRAR'!$A342&lt;&gt;"Resultado total",('FUENTE NO BORRAR'!H342),""))</f>
        <v>360541.18</v>
      </c>
      <c r="I324" s="6">
        <f>IF('FUENTE NO BORRAR'!I342="","",IF('FUENTE NO BORRAR'!$A342&lt;&gt;"Resultado total",('FUENTE NO BORRAR'!I342),""))</f>
        <v>0</v>
      </c>
    </row>
    <row r="325" spans="1:9" x14ac:dyDescent="0.2">
      <c r="A325" s="5" t="str">
        <f>IF('FUENTE NO BORRAR'!A343="","",(IF('FUENTE NO BORRAR'!A343&lt;&gt;"Resultado total",'FUENTE NO BORRAR'!A343,"")))</f>
        <v/>
      </c>
      <c r="B325" s="5" t="str">
        <f>IF('FUENTE NO BORRAR'!B343="","",'FUENTE NO BORRAR'!B343)</f>
        <v/>
      </c>
      <c r="C325" s="5" t="str">
        <f>IF('FUENTE NO BORRAR'!C343="","",'FUENTE NO BORRAR'!C343)</f>
        <v/>
      </c>
      <c r="D325" s="5" t="str">
        <f>IF('FUENTE NO BORRAR'!D343="","",'FUENTE NO BORRAR'!D343)</f>
        <v/>
      </c>
      <c r="E325" s="5" t="str">
        <f>IF('FUENTE NO BORRAR'!E343="","",'FUENTE NO BORRAR'!E343)</f>
        <v/>
      </c>
      <c r="F325" s="6">
        <f>IF('FUENTE NO BORRAR'!F343="","",IF('FUENTE NO BORRAR'!$A343&lt;&gt;"Resultado total",('FUENTE NO BORRAR'!F343),""))</f>
        <v>4161</v>
      </c>
      <c r="G325" s="6">
        <f>IF('FUENTE NO BORRAR'!G343="","",IF('FUENTE NO BORRAR'!$A343&lt;&gt;"Resultado total",('FUENTE NO BORRAR'!G343),""))</f>
        <v>4161</v>
      </c>
      <c r="H325" s="6">
        <f>IF('FUENTE NO BORRAR'!H343="","",IF('FUENTE NO BORRAR'!$A343&lt;&gt;"Resultado total",('FUENTE NO BORRAR'!H343),""))</f>
        <v>4161</v>
      </c>
      <c r="I325" s="6">
        <f>IF('FUENTE NO BORRAR'!I343="","",IF('FUENTE NO BORRAR'!$A343&lt;&gt;"Resultado total",('FUENTE NO BORRAR'!I343),""))</f>
        <v>0</v>
      </c>
    </row>
    <row r="326" spans="1:9" x14ac:dyDescent="0.2">
      <c r="A326" s="5" t="str">
        <f>IF('FUENTE NO BORRAR'!A344="","",(IF('FUENTE NO BORRAR'!A344&lt;&gt;"Resultado total",'FUENTE NO BORRAR'!A344,"")))</f>
        <v/>
      </c>
      <c r="B326" s="5" t="str">
        <f>IF('FUENTE NO BORRAR'!B344="","",'FUENTE NO BORRAR'!B344)</f>
        <v/>
      </c>
      <c r="C326" s="5" t="str">
        <f>IF('FUENTE NO BORRAR'!C344="","",'FUENTE NO BORRAR'!C344)</f>
        <v/>
      </c>
      <c r="D326" s="5" t="str">
        <f>IF('FUENTE NO BORRAR'!D344="","",'FUENTE NO BORRAR'!D344)</f>
        <v/>
      </c>
      <c r="E326" s="5" t="str">
        <f>IF('FUENTE NO BORRAR'!E344="","",'FUENTE NO BORRAR'!E344)</f>
        <v/>
      </c>
      <c r="F326" s="6">
        <f>IF('FUENTE NO BORRAR'!F344="","",IF('FUENTE NO BORRAR'!$A344&lt;&gt;"Resultado total",('FUENTE NO BORRAR'!F344),""))</f>
        <v>160.02000000000001</v>
      </c>
      <c r="G326" s="6">
        <f>IF('FUENTE NO BORRAR'!G344="","",IF('FUENTE NO BORRAR'!$A344&lt;&gt;"Resultado total",('FUENTE NO BORRAR'!G344),""))</f>
        <v>160.02000000000001</v>
      </c>
      <c r="H326" s="6">
        <f>IF('FUENTE NO BORRAR'!H344="","",IF('FUENTE NO BORRAR'!$A344&lt;&gt;"Resultado total",('FUENTE NO BORRAR'!H344),""))</f>
        <v>160.02000000000001</v>
      </c>
      <c r="I326" s="6">
        <f>IF('FUENTE NO BORRAR'!I344="","",IF('FUENTE NO BORRAR'!$A344&lt;&gt;"Resultado total",('FUENTE NO BORRAR'!I344),""))</f>
        <v>0</v>
      </c>
    </row>
    <row r="327" spans="1:9" x14ac:dyDescent="0.2">
      <c r="A327" s="5" t="str">
        <f>IF('FUENTE NO BORRAR'!A345="","",(IF('FUENTE NO BORRAR'!A345&lt;&gt;"Resultado total",'FUENTE NO BORRAR'!A345,"")))</f>
        <v/>
      </c>
      <c r="B327" s="5" t="str">
        <f>IF('FUENTE NO BORRAR'!B345="","",'FUENTE NO BORRAR'!B345)</f>
        <v/>
      </c>
      <c r="C327" s="5" t="str">
        <f>IF('FUENTE NO BORRAR'!C345="","",'FUENTE NO BORRAR'!C345)</f>
        <v/>
      </c>
      <c r="D327" s="5" t="str">
        <f>IF('FUENTE NO BORRAR'!D345="","",'FUENTE NO BORRAR'!D345)</f>
        <v/>
      </c>
      <c r="E327" s="5" t="str">
        <f>IF('FUENTE NO BORRAR'!E345="","",'FUENTE NO BORRAR'!E345)</f>
        <v/>
      </c>
      <c r="F327" s="6">
        <f>IF('FUENTE NO BORRAR'!F345="","",IF('FUENTE NO BORRAR'!$A345&lt;&gt;"Resultado total",('FUENTE NO BORRAR'!F345),""))</f>
        <v>0</v>
      </c>
      <c r="G327" s="6">
        <f>IF('FUENTE NO BORRAR'!G345="","",IF('FUENTE NO BORRAR'!$A345&lt;&gt;"Resultado total",('FUENTE NO BORRAR'!G345),""))</f>
        <v>0</v>
      </c>
      <c r="H327" s="6">
        <f>IF('FUENTE NO BORRAR'!H345="","",IF('FUENTE NO BORRAR'!$A345&lt;&gt;"Resultado total",('FUENTE NO BORRAR'!H345),""))</f>
        <v>0</v>
      </c>
      <c r="I327" s="6">
        <f>IF('FUENTE NO BORRAR'!I345="","",IF('FUENTE NO BORRAR'!$A345&lt;&gt;"Resultado total",('FUENTE NO BORRAR'!I345),""))</f>
        <v>0</v>
      </c>
    </row>
    <row r="328" spans="1:9" x14ac:dyDescent="0.2">
      <c r="A328" s="5" t="str">
        <f>IF('FUENTE NO BORRAR'!A346="","",(IF('FUENTE NO BORRAR'!A346&lt;&gt;"Resultado total",'FUENTE NO BORRAR'!A346,"")))</f>
        <v/>
      </c>
      <c r="B328" s="5" t="str">
        <f>IF('FUENTE NO BORRAR'!B346="","",'FUENTE NO BORRAR'!B346)</f>
        <v/>
      </c>
      <c r="C328" s="5" t="str">
        <f>IF('FUENTE NO BORRAR'!C346="","",'FUENTE NO BORRAR'!C346)</f>
        <v/>
      </c>
      <c r="D328" s="5" t="str">
        <f>IF('FUENTE NO BORRAR'!D346="","",'FUENTE NO BORRAR'!D346)</f>
        <v/>
      </c>
      <c r="E328" s="5" t="str">
        <f>IF('FUENTE NO BORRAR'!E346="","",'FUENTE NO BORRAR'!E346)</f>
        <v/>
      </c>
      <c r="F328" s="6">
        <f>IF('FUENTE NO BORRAR'!F346="","",IF('FUENTE NO BORRAR'!$A346&lt;&gt;"Resultado total",('FUENTE NO BORRAR'!F346),""))</f>
        <v>3554.59</v>
      </c>
      <c r="G328" s="6">
        <f>IF('FUENTE NO BORRAR'!G346="","",IF('FUENTE NO BORRAR'!$A346&lt;&gt;"Resultado total",('FUENTE NO BORRAR'!G346),""))</f>
        <v>3554.59</v>
      </c>
      <c r="H328" s="6">
        <f>IF('FUENTE NO BORRAR'!H346="","",IF('FUENTE NO BORRAR'!$A346&lt;&gt;"Resultado total",('FUENTE NO BORRAR'!H346),""))</f>
        <v>3554.59</v>
      </c>
      <c r="I328" s="6">
        <f>IF('FUENTE NO BORRAR'!I346="","",IF('FUENTE NO BORRAR'!$A346&lt;&gt;"Resultado total",('FUENTE NO BORRAR'!I346),""))</f>
        <v>0</v>
      </c>
    </row>
    <row r="329" spans="1:9" x14ac:dyDescent="0.2">
      <c r="A329" s="5" t="str">
        <f>IF('FUENTE NO BORRAR'!A347="","",(IF('FUENTE NO BORRAR'!A347&lt;&gt;"Resultado total",'FUENTE NO BORRAR'!A347,"")))</f>
        <v/>
      </c>
      <c r="B329" s="5" t="str">
        <f>IF('FUENTE NO BORRAR'!B347="","",'FUENTE NO BORRAR'!B347)</f>
        <v/>
      </c>
      <c r="C329" s="5" t="str">
        <f>IF('FUENTE NO BORRAR'!C347="","",'FUENTE NO BORRAR'!C347)</f>
        <v/>
      </c>
      <c r="D329" s="5" t="str">
        <f>IF('FUENTE NO BORRAR'!D347="","",'FUENTE NO BORRAR'!D347)</f>
        <v/>
      </c>
      <c r="E329" s="5" t="str">
        <f>IF('FUENTE NO BORRAR'!E347="","",'FUENTE NO BORRAR'!E347)</f>
        <v/>
      </c>
      <c r="F329" s="6">
        <f>IF('FUENTE NO BORRAR'!F347="","",IF('FUENTE NO BORRAR'!$A347&lt;&gt;"Resultado total",('FUENTE NO BORRAR'!F347),""))</f>
        <v>0</v>
      </c>
      <c r="G329" s="6">
        <f>IF('FUENTE NO BORRAR'!G347="","",IF('FUENTE NO BORRAR'!$A347&lt;&gt;"Resultado total",('FUENTE NO BORRAR'!G347),""))</f>
        <v>0</v>
      </c>
      <c r="H329" s="6">
        <f>IF('FUENTE NO BORRAR'!H347="","",IF('FUENTE NO BORRAR'!$A347&lt;&gt;"Resultado total",('FUENTE NO BORRAR'!H347),""))</f>
        <v>0</v>
      </c>
      <c r="I329" s="6">
        <f>IF('FUENTE NO BORRAR'!I347="","",IF('FUENTE NO BORRAR'!$A347&lt;&gt;"Resultado total",('FUENTE NO BORRAR'!I347),""))</f>
        <v>0</v>
      </c>
    </row>
    <row r="330" spans="1:9" x14ac:dyDescent="0.2">
      <c r="A330" s="5" t="str">
        <f>IF('FUENTE NO BORRAR'!A348="","",(IF('FUENTE NO BORRAR'!A348&lt;&gt;"Resultado total",'FUENTE NO BORRAR'!A348,"")))</f>
        <v/>
      </c>
      <c r="B330" s="5" t="str">
        <f>IF('FUENTE NO BORRAR'!B348="","",'FUENTE NO BORRAR'!B348)</f>
        <v/>
      </c>
      <c r="C330" s="5" t="str">
        <f>IF('FUENTE NO BORRAR'!C348="","",'FUENTE NO BORRAR'!C348)</f>
        <v/>
      </c>
      <c r="D330" s="5" t="str">
        <f>IF('FUENTE NO BORRAR'!D348="","",'FUENTE NO BORRAR'!D348)</f>
        <v/>
      </c>
      <c r="E330" s="5" t="str">
        <f>IF('FUENTE NO BORRAR'!E348="","",'FUENTE NO BORRAR'!E348)</f>
        <v/>
      </c>
      <c r="F330" s="6">
        <f>IF('FUENTE NO BORRAR'!F348="","",IF('FUENTE NO BORRAR'!$A348&lt;&gt;"Resultado total",('FUENTE NO BORRAR'!F348),""))</f>
        <v>0</v>
      </c>
      <c r="G330" s="6">
        <f>IF('FUENTE NO BORRAR'!G348="","",IF('FUENTE NO BORRAR'!$A348&lt;&gt;"Resultado total",('FUENTE NO BORRAR'!G348),""))</f>
        <v>0</v>
      </c>
      <c r="H330" s="6">
        <f>IF('FUENTE NO BORRAR'!H348="","",IF('FUENTE NO BORRAR'!$A348&lt;&gt;"Resultado total",('FUENTE NO BORRAR'!H348),""))</f>
        <v>0</v>
      </c>
      <c r="I330" s="6">
        <f>IF('FUENTE NO BORRAR'!I348="","",IF('FUENTE NO BORRAR'!$A348&lt;&gt;"Resultado total",('FUENTE NO BORRAR'!I348),""))</f>
        <v>0</v>
      </c>
    </row>
    <row r="331" spans="1:9" x14ac:dyDescent="0.2">
      <c r="A331" s="5" t="str">
        <f>IF('FUENTE NO BORRAR'!A349="","",(IF('FUENTE NO BORRAR'!A349&lt;&gt;"Resultado total",'FUENTE NO BORRAR'!A349,"")))</f>
        <v/>
      </c>
      <c r="B331" s="5" t="str">
        <f>IF('FUENTE NO BORRAR'!B349="","",'FUENTE NO BORRAR'!B349)</f>
        <v/>
      </c>
      <c r="C331" s="5" t="str">
        <f>IF('FUENTE NO BORRAR'!C349="","",'FUENTE NO BORRAR'!C349)</f>
        <v/>
      </c>
      <c r="D331" s="5" t="str">
        <f>IF('FUENTE NO BORRAR'!D349="","",'FUENTE NO BORRAR'!D349)</f>
        <v/>
      </c>
      <c r="E331" s="5" t="str">
        <f>IF('FUENTE NO BORRAR'!E349="","",'FUENTE NO BORRAR'!E349)</f>
        <v/>
      </c>
      <c r="F331" s="6">
        <f>IF('FUENTE NO BORRAR'!F349="","",IF('FUENTE NO BORRAR'!$A349&lt;&gt;"Resultado total",('FUENTE NO BORRAR'!F349),""))</f>
        <v>0</v>
      </c>
      <c r="G331" s="6">
        <f>IF('FUENTE NO BORRAR'!G349="","",IF('FUENTE NO BORRAR'!$A349&lt;&gt;"Resultado total",('FUENTE NO BORRAR'!G349),""))</f>
        <v>0</v>
      </c>
      <c r="H331" s="6">
        <f>IF('FUENTE NO BORRAR'!H349="","",IF('FUENTE NO BORRAR'!$A349&lt;&gt;"Resultado total",('FUENTE NO BORRAR'!H349),""))</f>
        <v>0</v>
      </c>
      <c r="I331" s="6">
        <f>IF('FUENTE NO BORRAR'!I349="","",IF('FUENTE NO BORRAR'!$A349&lt;&gt;"Resultado total",('FUENTE NO BORRAR'!I349),""))</f>
        <v>0</v>
      </c>
    </row>
    <row r="332" spans="1:9" x14ac:dyDescent="0.2">
      <c r="A332" s="5" t="str">
        <f>IF('FUENTE NO BORRAR'!A350="","",(IF('FUENTE NO BORRAR'!A350&lt;&gt;"Resultado total",'FUENTE NO BORRAR'!A350,"")))</f>
        <v/>
      </c>
      <c r="B332" s="5" t="str">
        <f>IF('FUENTE NO BORRAR'!B350="","",'FUENTE NO BORRAR'!B350)</f>
        <v/>
      </c>
      <c r="C332" s="5" t="str">
        <f>IF('FUENTE NO BORRAR'!C350="","",'FUENTE NO BORRAR'!C350)</f>
        <v/>
      </c>
      <c r="D332" s="5" t="str">
        <f>IF('FUENTE NO BORRAR'!D350="","",'FUENTE NO BORRAR'!D350)</f>
        <v/>
      </c>
      <c r="E332" s="5" t="str">
        <f>IF('FUENTE NO BORRAR'!E350="","",'FUENTE NO BORRAR'!E350)</f>
        <v/>
      </c>
      <c r="F332" s="6">
        <f>IF('FUENTE NO BORRAR'!F350="","",IF('FUENTE NO BORRAR'!$A350&lt;&gt;"Resultado total",('FUENTE NO BORRAR'!F350),""))</f>
        <v>0</v>
      </c>
      <c r="G332" s="6">
        <f>IF('FUENTE NO BORRAR'!G350="","",IF('FUENTE NO BORRAR'!$A350&lt;&gt;"Resultado total",('FUENTE NO BORRAR'!G350),""))</f>
        <v>0</v>
      </c>
      <c r="H332" s="6">
        <f>IF('FUENTE NO BORRAR'!H350="","",IF('FUENTE NO BORRAR'!$A350&lt;&gt;"Resultado total",('FUENTE NO BORRAR'!H350),""))</f>
        <v>0</v>
      </c>
      <c r="I332" s="6">
        <f>IF('FUENTE NO BORRAR'!I350="","",IF('FUENTE NO BORRAR'!$A350&lt;&gt;"Resultado total",('FUENTE NO BORRAR'!I350),""))</f>
        <v>0</v>
      </c>
    </row>
    <row r="333" spans="1:9" x14ac:dyDescent="0.2">
      <c r="A333" s="5" t="str">
        <f>IF('FUENTE NO BORRAR'!A351="","",(IF('FUENTE NO BORRAR'!A351&lt;&gt;"Resultado total",'FUENTE NO BORRAR'!A351,"")))</f>
        <v/>
      </c>
      <c r="B333" s="5" t="str">
        <f>IF('FUENTE NO BORRAR'!B351="","",'FUENTE NO BORRAR'!B351)</f>
        <v/>
      </c>
      <c r="C333" s="5" t="str">
        <f>IF('FUENTE NO BORRAR'!C351="","",'FUENTE NO BORRAR'!C351)</f>
        <v/>
      </c>
      <c r="D333" s="5" t="str">
        <f>IF('FUENTE NO BORRAR'!D351="","",'FUENTE NO BORRAR'!D351)</f>
        <v/>
      </c>
      <c r="E333" s="5" t="str">
        <f>IF('FUENTE NO BORRAR'!E351="","",'FUENTE NO BORRAR'!E351)</f>
        <v/>
      </c>
      <c r="F333" s="6">
        <f>IF('FUENTE NO BORRAR'!F351="","",IF('FUENTE NO BORRAR'!$A351&lt;&gt;"Resultado total",('FUENTE NO BORRAR'!F351),""))</f>
        <v>956.23</v>
      </c>
      <c r="G333" s="6">
        <f>IF('FUENTE NO BORRAR'!G351="","",IF('FUENTE NO BORRAR'!$A351&lt;&gt;"Resultado total",('FUENTE NO BORRAR'!G351),""))</f>
        <v>956.23</v>
      </c>
      <c r="H333" s="6">
        <f>IF('FUENTE NO BORRAR'!H351="","",IF('FUENTE NO BORRAR'!$A351&lt;&gt;"Resultado total",('FUENTE NO BORRAR'!H351),""))</f>
        <v>956.23</v>
      </c>
      <c r="I333" s="6">
        <f>IF('FUENTE NO BORRAR'!I351="","",IF('FUENTE NO BORRAR'!$A351&lt;&gt;"Resultado total",('FUENTE NO BORRAR'!I351),""))</f>
        <v>0</v>
      </c>
    </row>
    <row r="334" spans="1:9" x14ac:dyDescent="0.2">
      <c r="A334" s="5" t="str">
        <f>IF('FUENTE NO BORRAR'!A352="","",(IF('FUENTE NO BORRAR'!A352&lt;&gt;"Resultado total",'FUENTE NO BORRAR'!A352,"")))</f>
        <v/>
      </c>
      <c r="B334" s="5" t="str">
        <f>IF('FUENTE NO BORRAR'!B352="","",'FUENTE NO BORRAR'!B352)</f>
        <v/>
      </c>
      <c r="C334" s="5" t="str">
        <f>IF('FUENTE NO BORRAR'!C352="","",'FUENTE NO BORRAR'!C352)</f>
        <v/>
      </c>
      <c r="D334" s="5" t="str">
        <f>IF('FUENTE NO BORRAR'!D352="","",'FUENTE NO BORRAR'!D352)</f>
        <v/>
      </c>
      <c r="E334" s="5" t="str">
        <f>IF('FUENTE NO BORRAR'!E352="","",'FUENTE NO BORRAR'!E352)</f>
        <v/>
      </c>
      <c r="F334" s="6">
        <f>IF('FUENTE NO BORRAR'!F352="","",IF('FUENTE NO BORRAR'!$A352&lt;&gt;"Resultado total",('FUENTE NO BORRAR'!F352),""))</f>
        <v>1818.67</v>
      </c>
      <c r="G334" s="6">
        <f>IF('FUENTE NO BORRAR'!G352="","",IF('FUENTE NO BORRAR'!$A352&lt;&gt;"Resultado total",('FUENTE NO BORRAR'!G352),""))</f>
        <v>1818.67</v>
      </c>
      <c r="H334" s="6">
        <f>IF('FUENTE NO BORRAR'!H352="","",IF('FUENTE NO BORRAR'!$A352&lt;&gt;"Resultado total",('FUENTE NO BORRAR'!H352),""))</f>
        <v>1818.67</v>
      </c>
      <c r="I334" s="6">
        <f>IF('FUENTE NO BORRAR'!I352="","",IF('FUENTE NO BORRAR'!$A352&lt;&gt;"Resultado total",('FUENTE NO BORRAR'!I352),""))</f>
        <v>0</v>
      </c>
    </row>
    <row r="335" spans="1:9" x14ac:dyDescent="0.2">
      <c r="A335" s="5" t="str">
        <f>IF('FUENTE NO BORRAR'!A353="","",(IF('FUENTE NO BORRAR'!A353&lt;&gt;"Resultado total",'FUENTE NO BORRAR'!A353,"")))</f>
        <v/>
      </c>
      <c r="B335" s="5" t="str">
        <f>IF('FUENTE NO BORRAR'!B353="","",'FUENTE NO BORRAR'!B353)</f>
        <v/>
      </c>
      <c r="C335" s="5" t="str">
        <f>IF('FUENTE NO BORRAR'!C353="","",'FUENTE NO BORRAR'!C353)</f>
        <v/>
      </c>
      <c r="D335" s="5" t="str">
        <f>IF('FUENTE NO BORRAR'!D353="","",'FUENTE NO BORRAR'!D353)</f>
        <v/>
      </c>
      <c r="E335" s="5" t="str">
        <f>IF('FUENTE NO BORRAR'!E353="","",'FUENTE NO BORRAR'!E353)</f>
        <v/>
      </c>
      <c r="F335" s="6">
        <f>IF('FUENTE NO BORRAR'!F353="","",IF('FUENTE NO BORRAR'!$A353&lt;&gt;"Resultado total",('FUENTE NO BORRAR'!F353),""))</f>
        <v>1897</v>
      </c>
      <c r="G335" s="6">
        <f>IF('FUENTE NO BORRAR'!G353="","",IF('FUENTE NO BORRAR'!$A353&lt;&gt;"Resultado total",('FUENTE NO BORRAR'!G353),""))</f>
        <v>1897</v>
      </c>
      <c r="H335" s="6">
        <f>IF('FUENTE NO BORRAR'!H353="","",IF('FUENTE NO BORRAR'!$A353&lt;&gt;"Resultado total",('FUENTE NO BORRAR'!H353),""))</f>
        <v>1897</v>
      </c>
      <c r="I335" s="6">
        <f>IF('FUENTE NO BORRAR'!I353="","",IF('FUENTE NO BORRAR'!$A353&lt;&gt;"Resultado total",('FUENTE NO BORRAR'!I353),""))</f>
        <v>0</v>
      </c>
    </row>
    <row r="336" spans="1:9" x14ac:dyDescent="0.2">
      <c r="A336" s="5" t="str">
        <f>IF('FUENTE NO BORRAR'!A354="","",(IF('FUENTE NO BORRAR'!A354&lt;&gt;"Resultado total",'FUENTE NO BORRAR'!A354,"")))</f>
        <v/>
      </c>
      <c r="B336" s="5" t="str">
        <f>IF('FUENTE NO BORRAR'!B354="","",'FUENTE NO BORRAR'!B354)</f>
        <v/>
      </c>
      <c r="C336" s="5" t="str">
        <f>IF('FUENTE NO BORRAR'!C354="","",'FUENTE NO BORRAR'!C354)</f>
        <v/>
      </c>
      <c r="D336" s="5" t="str">
        <f>IF('FUENTE NO BORRAR'!D354="","",'FUENTE NO BORRAR'!D354)</f>
        <v/>
      </c>
      <c r="E336" s="5" t="str">
        <f>IF('FUENTE NO BORRAR'!E354="","",'FUENTE NO BORRAR'!E354)</f>
        <v/>
      </c>
      <c r="F336" s="6">
        <f>IF('FUENTE NO BORRAR'!F354="","",IF('FUENTE NO BORRAR'!$A354&lt;&gt;"Resultado total",('FUENTE NO BORRAR'!F354),""))</f>
        <v>95.97</v>
      </c>
      <c r="G336" s="6">
        <f>IF('FUENTE NO BORRAR'!G354="","",IF('FUENTE NO BORRAR'!$A354&lt;&gt;"Resultado total",('FUENTE NO BORRAR'!G354),""))</f>
        <v>95.97</v>
      </c>
      <c r="H336" s="6">
        <f>IF('FUENTE NO BORRAR'!H354="","",IF('FUENTE NO BORRAR'!$A354&lt;&gt;"Resultado total",('FUENTE NO BORRAR'!H354),""))</f>
        <v>95.97</v>
      </c>
      <c r="I336" s="6">
        <f>IF('FUENTE NO BORRAR'!I354="","",IF('FUENTE NO BORRAR'!$A354&lt;&gt;"Resultado total",('FUENTE NO BORRAR'!I354),""))</f>
        <v>0</v>
      </c>
    </row>
    <row r="337" spans="1:9" x14ac:dyDescent="0.2">
      <c r="A337" s="5" t="str">
        <f>IF('FUENTE NO BORRAR'!A355="","",(IF('FUENTE NO BORRAR'!A355&lt;&gt;"Resultado total",'FUENTE NO BORRAR'!A355,"")))</f>
        <v/>
      </c>
      <c r="B337" s="5" t="str">
        <f>IF('FUENTE NO BORRAR'!B355="","",'FUENTE NO BORRAR'!B355)</f>
        <v/>
      </c>
      <c r="C337" s="5" t="str">
        <f>IF('FUENTE NO BORRAR'!C355="","",'FUENTE NO BORRAR'!C355)</f>
        <v/>
      </c>
      <c r="D337" s="5" t="str">
        <f>IF('FUENTE NO BORRAR'!D355="","",'FUENTE NO BORRAR'!D355)</f>
        <v/>
      </c>
      <c r="E337" s="5" t="str">
        <f>IF('FUENTE NO BORRAR'!E355="","",'FUENTE NO BORRAR'!E355)</f>
        <v/>
      </c>
      <c r="F337" s="6">
        <f>IF('FUENTE NO BORRAR'!F355="","",IF('FUENTE NO BORRAR'!$A355&lt;&gt;"Resultado total",('FUENTE NO BORRAR'!F355),""))</f>
        <v>41.13</v>
      </c>
      <c r="G337" s="6">
        <f>IF('FUENTE NO BORRAR'!G355="","",IF('FUENTE NO BORRAR'!$A355&lt;&gt;"Resultado total",('FUENTE NO BORRAR'!G355),""))</f>
        <v>41.13</v>
      </c>
      <c r="H337" s="6">
        <f>IF('FUENTE NO BORRAR'!H355="","",IF('FUENTE NO BORRAR'!$A355&lt;&gt;"Resultado total",('FUENTE NO BORRAR'!H355),""))</f>
        <v>41.13</v>
      </c>
      <c r="I337" s="6">
        <f>IF('FUENTE NO BORRAR'!I355="","",IF('FUENTE NO BORRAR'!$A355&lt;&gt;"Resultado total",('FUENTE NO BORRAR'!I355),""))</f>
        <v>0</v>
      </c>
    </row>
    <row r="338" spans="1:9" x14ac:dyDescent="0.2">
      <c r="A338" s="5" t="str">
        <f>IF('FUENTE NO BORRAR'!A356="","",(IF('FUENTE NO BORRAR'!A356&lt;&gt;"Resultado total",'FUENTE NO BORRAR'!A356,"")))</f>
        <v/>
      </c>
      <c r="B338" s="5" t="str">
        <f>IF('FUENTE NO BORRAR'!B356="","",'FUENTE NO BORRAR'!B356)</f>
        <v/>
      </c>
      <c r="C338" s="5" t="str">
        <f>IF('FUENTE NO BORRAR'!C356="","",'FUENTE NO BORRAR'!C356)</f>
        <v/>
      </c>
      <c r="D338" s="5" t="str">
        <f>IF('FUENTE NO BORRAR'!D356="","",'FUENTE NO BORRAR'!D356)</f>
        <v/>
      </c>
      <c r="E338" s="5" t="str">
        <f>IF('FUENTE NO BORRAR'!E356="","",'FUENTE NO BORRAR'!E356)</f>
        <v/>
      </c>
      <c r="F338" s="6">
        <f>IF('FUENTE NO BORRAR'!F356="","",IF('FUENTE NO BORRAR'!$A356&lt;&gt;"Resultado total",('FUENTE NO BORRAR'!F356),""))</f>
        <v>21200</v>
      </c>
      <c r="G338" s="6">
        <f>IF('FUENTE NO BORRAR'!G356="","",IF('FUENTE NO BORRAR'!$A356&lt;&gt;"Resultado total",('FUENTE NO BORRAR'!G356),""))</f>
        <v>21200</v>
      </c>
      <c r="H338" s="6">
        <f>IF('FUENTE NO BORRAR'!H356="","",IF('FUENTE NO BORRAR'!$A356&lt;&gt;"Resultado total",('FUENTE NO BORRAR'!H356),""))</f>
        <v>21200</v>
      </c>
      <c r="I338" s="6">
        <f>IF('FUENTE NO BORRAR'!I356="","",IF('FUENTE NO BORRAR'!$A356&lt;&gt;"Resultado total",('FUENTE NO BORRAR'!I356),""))</f>
        <v>0</v>
      </c>
    </row>
    <row r="339" spans="1:9" x14ac:dyDescent="0.2">
      <c r="A339" s="5" t="str">
        <f>IF('FUENTE NO BORRAR'!A357="","",(IF('FUENTE NO BORRAR'!A357&lt;&gt;"Resultado total",'FUENTE NO BORRAR'!A357,"")))</f>
        <v/>
      </c>
      <c r="B339" s="5" t="str">
        <f>IF('FUENTE NO BORRAR'!B357="","",'FUENTE NO BORRAR'!B357)</f>
        <v/>
      </c>
      <c r="C339" s="5" t="str">
        <f>IF('FUENTE NO BORRAR'!C357="","",'FUENTE NO BORRAR'!C357)</f>
        <v/>
      </c>
      <c r="D339" s="5" t="str">
        <f>IF('FUENTE NO BORRAR'!D357="","",'FUENTE NO BORRAR'!D357)</f>
        <v/>
      </c>
      <c r="E339" s="5" t="str">
        <f>IF('FUENTE NO BORRAR'!E357="","",'FUENTE NO BORRAR'!E357)</f>
        <v/>
      </c>
      <c r="F339" s="6">
        <f>IF('FUENTE NO BORRAR'!F357="","",IF('FUENTE NO BORRAR'!$A357&lt;&gt;"Resultado total",('FUENTE NO BORRAR'!F357),""))</f>
        <v>48.39</v>
      </c>
      <c r="G339" s="6">
        <f>IF('FUENTE NO BORRAR'!G357="","",IF('FUENTE NO BORRAR'!$A357&lt;&gt;"Resultado total",('FUENTE NO BORRAR'!G357),""))</f>
        <v>48.39</v>
      </c>
      <c r="H339" s="6">
        <f>IF('FUENTE NO BORRAR'!H357="","",IF('FUENTE NO BORRAR'!$A357&lt;&gt;"Resultado total",('FUENTE NO BORRAR'!H357),""))</f>
        <v>48.39</v>
      </c>
      <c r="I339" s="6">
        <f>IF('FUENTE NO BORRAR'!I357="","",IF('FUENTE NO BORRAR'!$A357&lt;&gt;"Resultado total",('FUENTE NO BORRAR'!I357),""))</f>
        <v>0</v>
      </c>
    </row>
    <row r="340" spans="1:9" x14ac:dyDescent="0.2">
      <c r="A340" s="5" t="str">
        <f>IF('FUENTE NO BORRAR'!A358="","",(IF('FUENTE NO BORRAR'!A358&lt;&gt;"Resultado total",'FUENTE NO BORRAR'!A358,"")))</f>
        <v/>
      </c>
      <c r="B340" s="5" t="str">
        <f>IF('FUENTE NO BORRAR'!B358="","",'FUENTE NO BORRAR'!B358)</f>
        <v/>
      </c>
      <c r="C340" s="5" t="str">
        <f>IF('FUENTE NO BORRAR'!C358="","",'FUENTE NO BORRAR'!C358)</f>
        <v/>
      </c>
      <c r="D340" s="5" t="str">
        <f>IF('FUENTE NO BORRAR'!D358="","",'FUENTE NO BORRAR'!D358)</f>
        <v/>
      </c>
      <c r="E340" s="5" t="str">
        <f>IF('FUENTE NO BORRAR'!E358="","",'FUENTE NO BORRAR'!E358)</f>
        <v/>
      </c>
      <c r="F340" s="6">
        <f>IF('FUENTE NO BORRAR'!F358="","",IF('FUENTE NO BORRAR'!$A358&lt;&gt;"Resultado total",('FUENTE NO BORRAR'!F358),""))</f>
        <v>58200.31</v>
      </c>
      <c r="G340" s="6">
        <f>IF('FUENTE NO BORRAR'!G358="","",IF('FUENTE NO BORRAR'!$A358&lt;&gt;"Resultado total",('FUENTE NO BORRAR'!G358),""))</f>
        <v>58200.31</v>
      </c>
      <c r="H340" s="6">
        <f>IF('FUENTE NO BORRAR'!H358="","",IF('FUENTE NO BORRAR'!$A358&lt;&gt;"Resultado total",('FUENTE NO BORRAR'!H358),""))</f>
        <v>13667.74</v>
      </c>
      <c r="I340" s="6">
        <f>IF('FUENTE NO BORRAR'!I358="","",IF('FUENTE NO BORRAR'!$A358&lt;&gt;"Resultado total",('FUENTE NO BORRAR'!I358),""))</f>
        <v>0</v>
      </c>
    </row>
    <row r="341" spans="1:9" x14ac:dyDescent="0.2">
      <c r="A341" s="5" t="str">
        <f>IF('FUENTE NO BORRAR'!A359="","",(IF('FUENTE NO BORRAR'!A359&lt;&gt;"Resultado total",'FUENTE NO BORRAR'!A359,"")))</f>
        <v/>
      </c>
      <c r="B341" s="5" t="str">
        <f>IF('FUENTE NO BORRAR'!B359="","",'FUENTE NO BORRAR'!B359)</f>
        <v/>
      </c>
      <c r="C341" s="5" t="str">
        <f>IF('FUENTE NO BORRAR'!C359="","",'FUENTE NO BORRAR'!C359)</f>
        <v/>
      </c>
      <c r="D341" s="5" t="str">
        <f>IF('FUENTE NO BORRAR'!D359="","",'FUENTE NO BORRAR'!D359)</f>
        <v/>
      </c>
      <c r="E341" s="5" t="str">
        <f>IF('FUENTE NO BORRAR'!E359="","",'FUENTE NO BORRAR'!E359)</f>
        <v/>
      </c>
      <c r="F341" s="6">
        <f>IF('FUENTE NO BORRAR'!F359="","",IF('FUENTE NO BORRAR'!$A359&lt;&gt;"Resultado total",('FUENTE NO BORRAR'!F359),""))</f>
        <v>2980.49</v>
      </c>
      <c r="G341" s="6">
        <f>IF('FUENTE NO BORRAR'!G359="","",IF('FUENTE NO BORRAR'!$A359&lt;&gt;"Resultado total",('FUENTE NO BORRAR'!G359),""))</f>
        <v>2980.49</v>
      </c>
      <c r="H341" s="6">
        <f>IF('FUENTE NO BORRAR'!H359="","",IF('FUENTE NO BORRAR'!$A359&lt;&gt;"Resultado total",('FUENTE NO BORRAR'!H359),""))</f>
        <v>2980.49</v>
      </c>
      <c r="I341" s="6">
        <f>IF('FUENTE NO BORRAR'!I359="","",IF('FUENTE NO BORRAR'!$A359&lt;&gt;"Resultado total",('FUENTE NO BORRAR'!I359),""))</f>
        <v>0</v>
      </c>
    </row>
    <row r="342" spans="1:9" x14ac:dyDescent="0.2">
      <c r="A342" s="5" t="str">
        <f>IF('FUENTE NO BORRAR'!A360="","",(IF('FUENTE NO BORRAR'!A360&lt;&gt;"Resultado total",'FUENTE NO BORRAR'!A360,"")))</f>
        <v/>
      </c>
      <c r="B342" s="5" t="str">
        <f>IF('FUENTE NO BORRAR'!B360="","",'FUENTE NO BORRAR'!B360)</f>
        <v/>
      </c>
      <c r="C342" s="5" t="str">
        <f>IF('FUENTE NO BORRAR'!C360="","",'FUENTE NO BORRAR'!C360)</f>
        <v>13041061E101</v>
      </c>
      <c r="D342" s="5" t="str">
        <f>IF('FUENTE NO BORRAR'!D360="","",'FUENTE NO BORRAR'!D360)</f>
        <v>13041061E101</v>
      </c>
      <c r="E342" s="5" t="str">
        <f>IF('FUENTE NO BORRAR'!E360="","",'FUENTE NO BORRAR'!E360)</f>
        <v/>
      </c>
      <c r="F342" s="6">
        <f>IF('FUENTE NO BORRAR'!F360="","",IF('FUENTE NO BORRAR'!$A360&lt;&gt;"Resultado total",('FUENTE NO BORRAR'!F360),""))</f>
        <v>3539610.11</v>
      </c>
      <c r="G342" s="6">
        <f>IF('FUENTE NO BORRAR'!G360="","",IF('FUENTE NO BORRAR'!$A360&lt;&gt;"Resultado total",('FUENTE NO BORRAR'!G360),""))</f>
        <v>3539610.11</v>
      </c>
      <c r="H342" s="6">
        <f>IF('FUENTE NO BORRAR'!H360="","",IF('FUENTE NO BORRAR'!$A360&lt;&gt;"Resultado total",('FUENTE NO BORRAR'!H360),""))</f>
        <v>3539610.11</v>
      </c>
      <c r="I342" s="6">
        <f>IF('FUENTE NO BORRAR'!I360="","",IF('FUENTE NO BORRAR'!$A360&lt;&gt;"Resultado total",('FUENTE NO BORRAR'!I360),""))</f>
        <v>0</v>
      </c>
    </row>
    <row r="343" spans="1:9" x14ac:dyDescent="0.2">
      <c r="A343" s="5" t="str">
        <f>IF('FUENTE NO BORRAR'!A361="","",(IF('FUENTE NO BORRAR'!A361&lt;&gt;"Resultado total",'FUENTE NO BORRAR'!A361,"")))</f>
        <v/>
      </c>
      <c r="B343" s="5" t="str">
        <f>IF('FUENTE NO BORRAR'!B361="","",'FUENTE NO BORRAR'!B361)</f>
        <v/>
      </c>
      <c r="C343" s="5" t="str">
        <f>IF('FUENTE NO BORRAR'!C361="","",'FUENTE NO BORRAR'!C361)</f>
        <v/>
      </c>
      <c r="D343" s="5" t="str">
        <f>IF('FUENTE NO BORRAR'!D361="","",'FUENTE NO BORRAR'!D361)</f>
        <v/>
      </c>
      <c r="E343" s="5" t="str">
        <f>IF('FUENTE NO BORRAR'!E361="","",'FUENTE NO BORRAR'!E361)</f>
        <v/>
      </c>
      <c r="F343" s="6">
        <f>IF('FUENTE NO BORRAR'!F361="","",IF('FUENTE NO BORRAR'!$A361&lt;&gt;"Resultado total",('FUENTE NO BORRAR'!F361),""))</f>
        <v>4349180.59</v>
      </c>
      <c r="G343" s="6">
        <f>IF('FUENTE NO BORRAR'!G361="","",IF('FUENTE NO BORRAR'!$A361&lt;&gt;"Resultado total",('FUENTE NO BORRAR'!G361),""))</f>
        <v>4349180.59</v>
      </c>
      <c r="H343" s="6">
        <f>IF('FUENTE NO BORRAR'!H361="","",IF('FUENTE NO BORRAR'!$A361&lt;&gt;"Resultado total",('FUENTE NO BORRAR'!H361),""))</f>
        <v>4349180.59</v>
      </c>
      <c r="I343" s="6">
        <f>IF('FUENTE NO BORRAR'!I361="","",IF('FUENTE NO BORRAR'!$A361&lt;&gt;"Resultado total",('FUENTE NO BORRAR'!I361),""))</f>
        <v>2.0000000000000001E-9</v>
      </c>
    </row>
    <row r="344" spans="1:9" x14ac:dyDescent="0.2">
      <c r="A344" s="5" t="str">
        <f>IF('FUENTE NO BORRAR'!A362="","",(IF('FUENTE NO BORRAR'!A362&lt;&gt;"Resultado total",'FUENTE NO BORRAR'!A362,"")))</f>
        <v/>
      </c>
      <c r="B344" s="5" t="str">
        <f>IF('FUENTE NO BORRAR'!B362="","",'FUENTE NO BORRAR'!B362)</f>
        <v/>
      </c>
      <c r="C344" s="5" t="str">
        <f>IF('FUENTE NO BORRAR'!C362="","",'FUENTE NO BORRAR'!C362)</f>
        <v/>
      </c>
      <c r="D344" s="5" t="str">
        <f>IF('FUENTE NO BORRAR'!D362="","",'FUENTE NO BORRAR'!D362)</f>
        <v/>
      </c>
      <c r="E344" s="5" t="str">
        <f>IF('FUENTE NO BORRAR'!E362="","",'FUENTE NO BORRAR'!E362)</f>
        <v/>
      </c>
      <c r="F344" s="6">
        <f>IF('FUENTE NO BORRAR'!F362="","",IF('FUENTE NO BORRAR'!$A362&lt;&gt;"Resultado total",('FUENTE NO BORRAR'!F362),""))</f>
        <v>2779052.56</v>
      </c>
      <c r="G344" s="6">
        <f>IF('FUENTE NO BORRAR'!G362="","",IF('FUENTE NO BORRAR'!$A362&lt;&gt;"Resultado total",('FUENTE NO BORRAR'!G362),""))</f>
        <v>2779052.56</v>
      </c>
      <c r="H344" s="6">
        <f>IF('FUENTE NO BORRAR'!H362="","",IF('FUENTE NO BORRAR'!$A362&lt;&gt;"Resultado total",('FUENTE NO BORRAR'!H362),""))</f>
        <v>2594466.52</v>
      </c>
      <c r="I344" s="6">
        <f>IF('FUENTE NO BORRAR'!I362="","",IF('FUENTE NO BORRAR'!$A362&lt;&gt;"Resultado total",('FUENTE NO BORRAR'!I362),""))</f>
        <v>0</v>
      </c>
    </row>
    <row r="345" spans="1:9" x14ac:dyDescent="0.2">
      <c r="A345" s="5" t="str">
        <f>IF('FUENTE NO BORRAR'!A363="","",(IF('FUENTE NO BORRAR'!A363&lt;&gt;"Resultado total",'FUENTE NO BORRAR'!A363,"")))</f>
        <v/>
      </c>
      <c r="B345" s="5" t="str">
        <f>IF('FUENTE NO BORRAR'!B363="","",'FUENTE NO BORRAR'!B363)</f>
        <v/>
      </c>
      <c r="C345" s="5" t="str">
        <f>IF('FUENTE NO BORRAR'!C363="","",'FUENTE NO BORRAR'!C363)</f>
        <v/>
      </c>
      <c r="D345" s="5" t="str">
        <f>IF('FUENTE NO BORRAR'!D363="","",'FUENTE NO BORRAR'!D363)</f>
        <v/>
      </c>
      <c r="E345" s="5" t="str">
        <f>IF('FUENTE NO BORRAR'!E363="","",'FUENTE NO BORRAR'!E363)</f>
        <v/>
      </c>
      <c r="F345" s="6">
        <f>IF('FUENTE NO BORRAR'!F363="","",IF('FUENTE NO BORRAR'!$A363&lt;&gt;"Resultado total",('FUENTE NO BORRAR'!F363),""))</f>
        <v>1280333.8500000001</v>
      </c>
      <c r="G345" s="6">
        <f>IF('FUENTE NO BORRAR'!G363="","",IF('FUENTE NO BORRAR'!$A363&lt;&gt;"Resultado total",('FUENTE NO BORRAR'!G363),""))</f>
        <v>1280333.8500000001</v>
      </c>
      <c r="H345" s="6">
        <f>IF('FUENTE NO BORRAR'!H363="","",IF('FUENTE NO BORRAR'!$A363&lt;&gt;"Resultado total",('FUENTE NO BORRAR'!H363),""))</f>
        <v>1280333.8500000001</v>
      </c>
      <c r="I345" s="6">
        <f>IF('FUENTE NO BORRAR'!I363="","",IF('FUENTE NO BORRAR'!$A363&lt;&gt;"Resultado total",('FUENTE NO BORRAR'!I363),""))</f>
        <v>0</v>
      </c>
    </row>
    <row r="346" spans="1:9" x14ac:dyDescent="0.2">
      <c r="A346" s="5" t="str">
        <f>IF('FUENTE NO BORRAR'!A364="","",(IF('FUENTE NO BORRAR'!A364&lt;&gt;"Resultado total",'FUENTE NO BORRAR'!A364,"")))</f>
        <v/>
      </c>
      <c r="B346" s="5" t="str">
        <f>IF('FUENTE NO BORRAR'!B364="","",'FUENTE NO BORRAR'!B364)</f>
        <v/>
      </c>
      <c r="C346" s="5" t="str">
        <f>IF('FUENTE NO BORRAR'!C364="","",'FUENTE NO BORRAR'!C364)</f>
        <v/>
      </c>
      <c r="D346" s="5" t="str">
        <f>IF('FUENTE NO BORRAR'!D364="","",'FUENTE NO BORRAR'!D364)</f>
        <v/>
      </c>
      <c r="E346" s="5" t="str">
        <f>IF('FUENTE NO BORRAR'!E364="","",'FUENTE NO BORRAR'!E364)</f>
        <v/>
      </c>
      <c r="F346" s="6">
        <f>IF('FUENTE NO BORRAR'!F364="","",IF('FUENTE NO BORRAR'!$A364&lt;&gt;"Resultado total",('FUENTE NO BORRAR'!F364),""))</f>
        <v>528723.19999999995</v>
      </c>
      <c r="G346" s="6">
        <f>IF('FUENTE NO BORRAR'!G364="","",IF('FUENTE NO BORRAR'!$A364&lt;&gt;"Resultado total",('FUENTE NO BORRAR'!G364),""))</f>
        <v>528723.19999999995</v>
      </c>
      <c r="H346" s="6">
        <f>IF('FUENTE NO BORRAR'!H364="","",IF('FUENTE NO BORRAR'!$A364&lt;&gt;"Resultado total",('FUENTE NO BORRAR'!H364),""))</f>
        <v>528723.19999999995</v>
      </c>
      <c r="I346" s="6">
        <f>IF('FUENTE NO BORRAR'!I364="","",IF('FUENTE NO BORRAR'!$A364&lt;&gt;"Resultado total",('FUENTE NO BORRAR'!I364),""))</f>
        <v>0</v>
      </c>
    </row>
    <row r="347" spans="1:9" x14ac:dyDescent="0.2">
      <c r="A347" s="5" t="str">
        <f>IF('FUENTE NO BORRAR'!A365="","",(IF('FUENTE NO BORRAR'!A365&lt;&gt;"Resultado total",'FUENTE NO BORRAR'!A365,"")))</f>
        <v/>
      </c>
      <c r="B347" s="5" t="str">
        <f>IF('FUENTE NO BORRAR'!B365="","",'FUENTE NO BORRAR'!B365)</f>
        <v/>
      </c>
      <c r="C347" s="5" t="str">
        <f>IF('FUENTE NO BORRAR'!C365="","",'FUENTE NO BORRAR'!C365)</f>
        <v/>
      </c>
      <c r="D347" s="5" t="str">
        <f>IF('FUENTE NO BORRAR'!D365="","",'FUENTE NO BORRAR'!D365)</f>
        <v/>
      </c>
      <c r="E347" s="5" t="str">
        <f>IF('FUENTE NO BORRAR'!E365="","",'FUENTE NO BORRAR'!E365)</f>
        <v/>
      </c>
      <c r="F347" s="6">
        <f>IF('FUENTE NO BORRAR'!F365="","",IF('FUENTE NO BORRAR'!$A365&lt;&gt;"Resultado total",('FUENTE NO BORRAR'!F365),""))</f>
        <v>102371.02</v>
      </c>
      <c r="G347" s="6">
        <f>IF('FUENTE NO BORRAR'!G365="","",IF('FUENTE NO BORRAR'!$A365&lt;&gt;"Resultado total",('FUENTE NO BORRAR'!G365),""))</f>
        <v>102371.02</v>
      </c>
      <c r="H347" s="6">
        <f>IF('FUENTE NO BORRAR'!H365="","",IF('FUENTE NO BORRAR'!$A365&lt;&gt;"Resultado total",('FUENTE NO BORRAR'!H365),""))</f>
        <v>102371.02</v>
      </c>
      <c r="I347" s="6">
        <f>IF('FUENTE NO BORRAR'!I365="","",IF('FUENTE NO BORRAR'!$A365&lt;&gt;"Resultado total",('FUENTE NO BORRAR'!I365),""))</f>
        <v>0</v>
      </c>
    </row>
    <row r="348" spans="1:9" x14ac:dyDescent="0.2">
      <c r="A348" s="5" t="str">
        <f>IF('FUENTE NO BORRAR'!A366="","",(IF('FUENTE NO BORRAR'!A366&lt;&gt;"Resultado total",'FUENTE NO BORRAR'!A366,"")))</f>
        <v/>
      </c>
      <c r="B348" s="5" t="str">
        <f>IF('FUENTE NO BORRAR'!B366="","",'FUENTE NO BORRAR'!B366)</f>
        <v/>
      </c>
      <c r="C348" s="5" t="str">
        <f>IF('FUENTE NO BORRAR'!C366="","",'FUENTE NO BORRAR'!C366)</f>
        <v/>
      </c>
      <c r="D348" s="5" t="str">
        <f>IF('FUENTE NO BORRAR'!D366="","",'FUENTE NO BORRAR'!D366)</f>
        <v/>
      </c>
      <c r="E348" s="5" t="str">
        <f>IF('FUENTE NO BORRAR'!E366="","",'FUENTE NO BORRAR'!E366)</f>
        <v/>
      </c>
      <c r="F348" s="6">
        <f>IF('FUENTE NO BORRAR'!F366="","",IF('FUENTE NO BORRAR'!$A366&lt;&gt;"Resultado total",('FUENTE NO BORRAR'!F366),""))</f>
        <v>376781.94</v>
      </c>
      <c r="G348" s="6">
        <f>IF('FUENTE NO BORRAR'!G366="","",IF('FUENTE NO BORRAR'!$A366&lt;&gt;"Resultado total",('FUENTE NO BORRAR'!G366),""))</f>
        <v>376781.94</v>
      </c>
      <c r="H348" s="6">
        <f>IF('FUENTE NO BORRAR'!H366="","",IF('FUENTE NO BORRAR'!$A366&lt;&gt;"Resultado total",('FUENTE NO BORRAR'!H366),""))</f>
        <v>376781.94</v>
      </c>
      <c r="I348" s="6">
        <f>IF('FUENTE NO BORRAR'!I366="","",IF('FUENTE NO BORRAR'!$A366&lt;&gt;"Resultado total",('FUENTE NO BORRAR'!I366),""))</f>
        <v>0</v>
      </c>
    </row>
    <row r="349" spans="1:9" x14ac:dyDescent="0.2">
      <c r="A349" s="5" t="str">
        <f>IF('FUENTE NO BORRAR'!A367="","",(IF('FUENTE NO BORRAR'!A367&lt;&gt;"Resultado total",'FUENTE NO BORRAR'!A367,"")))</f>
        <v/>
      </c>
      <c r="B349" s="5" t="str">
        <f>IF('FUENTE NO BORRAR'!B367="","",'FUENTE NO BORRAR'!B367)</f>
        <v/>
      </c>
      <c r="C349" s="5" t="str">
        <f>IF('FUENTE NO BORRAR'!C367="","",'FUENTE NO BORRAR'!C367)</f>
        <v/>
      </c>
      <c r="D349" s="5" t="str">
        <f>IF('FUENTE NO BORRAR'!D367="","",'FUENTE NO BORRAR'!D367)</f>
        <v/>
      </c>
      <c r="E349" s="5" t="str">
        <f>IF('FUENTE NO BORRAR'!E367="","",'FUENTE NO BORRAR'!E367)</f>
        <v/>
      </c>
      <c r="F349" s="6">
        <f>IF('FUENTE NO BORRAR'!F367="","",IF('FUENTE NO BORRAR'!$A367&lt;&gt;"Resultado total",('FUENTE NO BORRAR'!F367),""))</f>
        <v>1814510.05</v>
      </c>
      <c r="G349" s="6">
        <f>IF('FUENTE NO BORRAR'!G367="","",IF('FUENTE NO BORRAR'!$A367&lt;&gt;"Resultado total",('FUENTE NO BORRAR'!G367),""))</f>
        <v>1814510.05</v>
      </c>
      <c r="H349" s="6">
        <f>IF('FUENTE NO BORRAR'!H367="","",IF('FUENTE NO BORRAR'!$A367&lt;&gt;"Resultado total",('FUENTE NO BORRAR'!H367),""))</f>
        <v>1814510.05</v>
      </c>
      <c r="I349" s="6">
        <f>IF('FUENTE NO BORRAR'!I367="","",IF('FUENTE NO BORRAR'!$A367&lt;&gt;"Resultado total",('FUENTE NO BORRAR'!I367),""))</f>
        <v>0</v>
      </c>
    </row>
    <row r="350" spans="1:9" x14ac:dyDescent="0.2">
      <c r="A350" s="5" t="str">
        <f>IF('FUENTE NO BORRAR'!A368="","",(IF('FUENTE NO BORRAR'!A368&lt;&gt;"Resultado total",'FUENTE NO BORRAR'!A368,"")))</f>
        <v/>
      </c>
      <c r="B350" s="5" t="str">
        <f>IF('FUENTE NO BORRAR'!B368="","",'FUENTE NO BORRAR'!B368)</f>
        <v/>
      </c>
      <c r="C350" s="5" t="str">
        <f>IF('FUENTE NO BORRAR'!C368="","",'FUENTE NO BORRAR'!C368)</f>
        <v/>
      </c>
      <c r="D350" s="5" t="str">
        <f>IF('FUENTE NO BORRAR'!D368="","",'FUENTE NO BORRAR'!D368)</f>
        <v/>
      </c>
      <c r="E350" s="5" t="str">
        <f>IF('FUENTE NO BORRAR'!E368="","",'FUENTE NO BORRAR'!E368)</f>
        <v/>
      </c>
      <c r="F350" s="6">
        <f>IF('FUENTE NO BORRAR'!F368="","",IF('FUENTE NO BORRAR'!$A368&lt;&gt;"Resultado total",('FUENTE NO BORRAR'!F368),""))</f>
        <v>5314562.62</v>
      </c>
      <c r="G350" s="6">
        <f>IF('FUENTE NO BORRAR'!G368="","",IF('FUENTE NO BORRAR'!$A368&lt;&gt;"Resultado total",('FUENTE NO BORRAR'!G368),""))</f>
        <v>5314562.62</v>
      </c>
      <c r="H350" s="6">
        <f>IF('FUENTE NO BORRAR'!H368="","",IF('FUENTE NO BORRAR'!$A368&lt;&gt;"Resultado total",('FUENTE NO BORRAR'!H368),""))</f>
        <v>5330477.5999999996</v>
      </c>
      <c r="I350" s="6">
        <f>IF('FUENTE NO BORRAR'!I368="","",IF('FUENTE NO BORRAR'!$A368&lt;&gt;"Resultado total",('FUENTE NO BORRAR'!I368),""))</f>
        <v>0</v>
      </c>
    </row>
    <row r="351" spans="1:9" x14ac:dyDescent="0.2">
      <c r="A351" s="5" t="str">
        <f>IF('FUENTE NO BORRAR'!A369="","",(IF('FUENTE NO BORRAR'!A369&lt;&gt;"Resultado total",'FUENTE NO BORRAR'!A369,"")))</f>
        <v/>
      </c>
      <c r="B351" s="5" t="str">
        <f>IF('FUENTE NO BORRAR'!B369="","",'FUENTE NO BORRAR'!B369)</f>
        <v/>
      </c>
      <c r="C351" s="5" t="str">
        <f>IF('FUENTE NO BORRAR'!C369="","",'FUENTE NO BORRAR'!C369)</f>
        <v/>
      </c>
      <c r="D351" s="5" t="str">
        <f>IF('FUENTE NO BORRAR'!D369="","",'FUENTE NO BORRAR'!D369)</f>
        <v/>
      </c>
      <c r="E351" s="5" t="str">
        <f>IF('FUENTE NO BORRAR'!E369="","",'FUENTE NO BORRAR'!E369)</f>
        <v/>
      </c>
      <c r="F351" s="6">
        <f>IF('FUENTE NO BORRAR'!F369="","",IF('FUENTE NO BORRAR'!$A369&lt;&gt;"Resultado total",('FUENTE NO BORRAR'!F369),""))</f>
        <v>4592422.8</v>
      </c>
      <c r="G351" s="6">
        <f>IF('FUENTE NO BORRAR'!G369="","",IF('FUENTE NO BORRAR'!$A369&lt;&gt;"Resultado total",('FUENTE NO BORRAR'!G369),""))</f>
        <v>4592422.8</v>
      </c>
      <c r="H351" s="6">
        <f>IF('FUENTE NO BORRAR'!H369="","",IF('FUENTE NO BORRAR'!$A369&lt;&gt;"Resultado total",('FUENTE NO BORRAR'!H369),""))</f>
        <v>4592422.8</v>
      </c>
      <c r="I351" s="6">
        <f>IF('FUENTE NO BORRAR'!I369="","",IF('FUENTE NO BORRAR'!$A369&lt;&gt;"Resultado total",('FUENTE NO BORRAR'!I369),""))</f>
        <v>-2.0000000000000001E-9</v>
      </c>
    </row>
    <row r="352" spans="1:9" x14ac:dyDescent="0.2">
      <c r="A352" s="5" t="str">
        <f>IF('FUENTE NO BORRAR'!A370="","",(IF('FUENTE NO BORRAR'!A370&lt;&gt;"Resultado total",'FUENTE NO BORRAR'!A370,"")))</f>
        <v/>
      </c>
      <c r="B352" s="5" t="str">
        <f>IF('FUENTE NO BORRAR'!B370="","",'FUENTE NO BORRAR'!B370)</f>
        <v/>
      </c>
      <c r="C352" s="5" t="str">
        <f>IF('FUENTE NO BORRAR'!C370="","",'FUENTE NO BORRAR'!C370)</f>
        <v/>
      </c>
      <c r="D352" s="5" t="str">
        <f>IF('FUENTE NO BORRAR'!D370="","",'FUENTE NO BORRAR'!D370)</f>
        <v/>
      </c>
      <c r="E352" s="5" t="str">
        <f>IF('FUENTE NO BORRAR'!E370="","",'FUENTE NO BORRAR'!E370)</f>
        <v/>
      </c>
      <c r="F352" s="6">
        <f>IF('FUENTE NO BORRAR'!F370="","",IF('FUENTE NO BORRAR'!$A370&lt;&gt;"Resultado total",('FUENTE NO BORRAR'!F370),""))</f>
        <v>0</v>
      </c>
      <c r="G352" s="6">
        <f>IF('FUENTE NO BORRAR'!G370="","",IF('FUENTE NO BORRAR'!$A370&lt;&gt;"Resultado total",('FUENTE NO BORRAR'!G370),""))</f>
        <v>0</v>
      </c>
      <c r="H352" s="6">
        <f>IF('FUENTE NO BORRAR'!H370="","",IF('FUENTE NO BORRAR'!$A370&lt;&gt;"Resultado total",('FUENTE NO BORRAR'!H370),""))</f>
        <v>0</v>
      </c>
      <c r="I352" s="6">
        <f>IF('FUENTE NO BORRAR'!I370="","",IF('FUENTE NO BORRAR'!$A370&lt;&gt;"Resultado total",('FUENTE NO BORRAR'!I370),""))</f>
        <v>0</v>
      </c>
    </row>
    <row r="353" spans="1:9" x14ac:dyDescent="0.2">
      <c r="A353" s="5" t="str">
        <f>IF('FUENTE NO BORRAR'!A371="","",(IF('FUENTE NO BORRAR'!A371&lt;&gt;"Resultado total",'FUENTE NO BORRAR'!A371,"")))</f>
        <v/>
      </c>
      <c r="B353" s="5" t="str">
        <f>IF('FUENTE NO BORRAR'!B371="","",'FUENTE NO BORRAR'!B371)</f>
        <v/>
      </c>
      <c r="C353" s="5" t="str">
        <f>IF('FUENTE NO BORRAR'!C371="","",'FUENTE NO BORRAR'!C371)</f>
        <v/>
      </c>
      <c r="D353" s="5" t="str">
        <f>IF('FUENTE NO BORRAR'!D371="","",'FUENTE NO BORRAR'!D371)</f>
        <v/>
      </c>
      <c r="E353" s="5" t="str">
        <f>IF('FUENTE NO BORRAR'!E371="","",'FUENTE NO BORRAR'!E371)</f>
        <v/>
      </c>
      <c r="F353" s="6">
        <f>IF('FUENTE NO BORRAR'!F371="","",IF('FUENTE NO BORRAR'!$A371&lt;&gt;"Resultado total",('FUENTE NO BORRAR'!F371),""))</f>
        <v>1739407.04</v>
      </c>
      <c r="G353" s="6">
        <f>IF('FUENTE NO BORRAR'!G371="","",IF('FUENTE NO BORRAR'!$A371&lt;&gt;"Resultado total",('FUENTE NO BORRAR'!G371),""))</f>
        <v>1739407.04</v>
      </c>
      <c r="H353" s="6">
        <f>IF('FUENTE NO BORRAR'!H371="","",IF('FUENTE NO BORRAR'!$A371&lt;&gt;"Resultado total",('FUENTE NO BORRAR'!H371),""))</f>
        <v>1739407.04</v>
      </c>
      <c r="I353" s="6">
        <f>IF('FUENTE NO BORRAR'!I371="","",IF('FUENTE NO BORRAR'!$A371&lt;&gt;"Resultado total",('FUENTE NO BORRAR'!I371),""))</f>
        <v>0</v>
      </c>
    </row>
    <row r="354" spans="1:9" x14ac:dyDescent="0.2">
      <c r="A354" s="5" t="str">
        <f>IF('FUENTE NO BORRAR'!A372="","",(IF('FUENTE NO BORRAR'!A372&lt;&gt;"Resultado total",'FUENTE NO BORRAR'!A372,"")))</f>
        <v/>
      </c>
      <c r="B354" s="5" t="str">
        <f>IF('FUENTE NO BORRAR'!B372="","",'FUENTE NO BORRAR'!B372)</f>
        <v/>
      </c>
      <c r="C354" s="5" t="str">
        <f>IF('FUENTE NO BORRAR'!C372="","",'FUENTE NO BORRAR'!C372)</f>
        <v/>
      </c>
      <c r="D354" s="5" t="str">
        <f>IF('FUENTE NO BORRAR'!D372="","",'FUENTE NO BORRAR'!D372)</f>
        <v/>
      </c>
      <c r="E354" s="5" t="str">
        <f>IF('FUENTE NO BORRAR'!E372="","",'FUENTE NO BORRAR'!E372)</f>
        <v/>
      </c>
      <c r="F354" s="6">
        <f>IF('FUENTE NO BORRAR'!F372="","",IF('FUENTE NO BORRAR'!$A372&lt;&gt;"Resultado total",('FUENTE NO BORRAR'!F372),""))</f>
        <v>548640.07999999996</v>
      </c>
      <c r="G354" s="6">
        <f>IF('FUENTE NO BORRAR'!G372="","",IF('FUENTE NO BORRAR'!$A372&lt;&gt;"Resultado total",('FUENTE NO BORRAR'!G372),""))</f>
        <v>548640.07999999996</v>
      </c>
      <c r="H354" s="6">
        <f>IF('FUENTE NO BORRAR'!H372="","",IF('FUENTE NO BORRAR'!$A372&lt;&gt;"Resultado total",('FUENTE NO BORRAR'!H372),""))</f>
        <v>548640.07999999996</v>
      </c>
      <c r="I354" s="6">
        <f>IF('FUENTE NO BORRAR'!I372="","",IF('FUENTE NO BORRAR'!$A372&lt;&gt;"Resultado total",('FUENTE NO BORRAR'!I372),""))</f>
        <v>0</v>
      </c>
    </row>
    <row r="355" spans="1:9" x14ac:dyDescent="0.2">
      <c r="A355" s="5" t="str">
        <f>IF('FUENTE NO BORRAR'!A373="","",(IF('FUENTE NO BORRAR'!A373&lt;&gt;"Resultado total",'FUENTE NO BORRAR'!A373,"")))</f>
        <v/>
      </c>
      <c r="B355" s="5" t="str">
        <f>IF('FUENTE NO BORRAR'!B373="","",'FUENTE NO BORRAR'!B373)</f>
        <v/>
      </c>
      <c r="C355" s="5" t="str">
        <f>IF('FUENTE NO BORRAR'!C373="","",'FUENTE NO BORRAR'!C373)</f>
        <v/>
      </c>
      <c r="D355" s="5" t="str">
        <f>IF('FUENTE NO BORRAR'!D373="","",'FUENTE NO BORRAR'!D373)</f>
        <v/>
      </c>
      <c r="E355" s="5" t="str">
        <f>IF('FUENTE NO BORRAR'!E373="","",'FUENTE NO BORRAR'!E373)</f>
        <v/>
      </c>
      <c r="F355" s="6">
        <f>IF('FUENTE NO BORRAR'!F373="","",IF('FUENTE NO BORRAR'!$A373&lt;&gt;"Resultado total",('FUENTE NO BORRAR'!F373),""))</f>
        <v>259204.92</v>
      </c>
      <c r="G355" s="6">
        <f>IF('FUENTE NO BORRAR'!G373="","",IF('FUENTE NO BORRAR'!$A373&lt;&gt;"Resultado total",('FUENTE NO BORRAR'!G373),""))</f>
        <v>259204.92</v>
      </c>
      <c r="H355" s="6">
        <f>IF('FUENTE NO BORRAR'!H373="","",IF('FUENTE NO BORRAR'!$A373&lt;&gt;"Resultado total",('FUENTE NO BORRAR'!H373),""))</f>
        <v>259204.92</v>
      </c>
      <c r="I355" s="6">
        <f>IF('FUENTE NO BORRAR'!I373="","",IF('FUENTE NO BORRAR'!$A373&lt;&gt;"Resultado total",('FUENTE NO BORRAR'!I373),""))</f>
        <v>0</v>
      </c>
    </row>
    <row r="356" spans="1:9" x14ac:dyDescent="0.2">
      <c r="A356" s="5" t="str">
        <f>IF('FUENTE NO BORRAR'!A374="","",(IF('FUENTE NO BORRAR'!A374&lt;&gt;"Resultado total",'FUENTE NO BORRAR'!A374,"")))</f>
        <v/>
      </c>
      <c r="B356" s="5" t="str">
        <f>IF('FUENTE NO BORRAR'!B374="","",'FUENTE NO BORRAR'!B374)</f>
        <v/>
      </c>
      <c r="C356" s="5" t="str">
        <f>IF('FUENTE NO BORRAR'!C374="","",'FUENTE NO BORRAR'!C374)</f>
        <v/>
      </c>
      <c r="D356" s="5" t="str">
        <f>IF('FUENTE NO BORRAR'!D374="","",'FUENTE NO BORRAR'!D374)</f>
        <v/>
      </c>
      <c r="E356" s="5" t="str">
        <f>IF('FUENTE NO BORRAR'!E374="","",'FUENTE NO BORRAR'!E374)</f>
        <v/>
      </c>
      <c r="F356" s="6">
        <f>IF('FUENTE NO BORRAR'!F374="","",IF('FUENTE NO BORRAR'!$A374&lt;&gt;"Resultado total",('FUENTE NO BORRAR'!F374),""))</f>
        <v>947214</v>
      </c>
      <c r="G356" s="6">
        <f>IF('FUENTE NO BORRAR'!G374="","",IF('FUENTE NO BORRAR'!$A374&lt;&gt;"Resultado total",('FUENTE NO BORRAR'!G374),""))</f>
        <v>947214</v>
      </c>
      <c r="H356" s="6">
        <f>IF('FUENTE NO BORRAR'!H374="","",IF('FUENTE NO BORRAR'!$A374&lt;&gt;"Resultado total",('FUENTE NO BORRAR'!H374),""))</f>
        <v>947214</v>
      </c>
      <c r="I356" s="6">
        <f>IF('FUENTE NO BORRAR'!I374="","",IF('FUENTE NO BORRAR'!$A374&lt;&gt;"Resultado total",('FUENTE NO BORRAR'!I374),""))</f>
        <v>0</v>
      </c>
    </row>
    <row r="357" spans="1:9" x14ac:dyDescent="0.2">
      <c r="A357" s="5" t="str">
        <f>IF('FUENTE NO BORRAR'!A375="","",(IF('FUENTE NO BORRAR'!A375&lt;&gt;"Resultado total",'FUENTE NO BORRAR'!A375,"")))</f>
        <v/>
      </c>
      <c r="B357" s="5" t="str">
        <f>IF('FUENTE NO BORRAR'!B375="","",'FUENTE NO BORRAR'!B375)</f>
        <v/>
      </c>
      <c r="C357" s="5" t="str">
        <f>IF('FUENTE NO BORRAR'!C375="","",'FUENTE NO BORRAR'!C375)</f>
        <v/>
      </c>
      <c r="D357" s="5" t="str">
        <f>IF('FUENTE NO BORRAR'!D375="","",'FUENTE NO BORRAR'!D375)</f>
        <v/>
      </c>
      <c r="E357" s="5" t="str">
        <f>IF('FUENTE NO BORRAR'!E375="","",'FUENTE NO BORRAR'!E375)</f>
        <v/>
      </c>
      <c r="F357" s="6">
        <f>IF('FUENTE NO BORRAR'!F375="","",IF('FUENTE NO BORRAR'!$A375&lt;&gt;"Resultado total",('FUENTE NO BORRAR'!F375),""))</f>
        <v>3721545.11</v>
      </c>
      <c r="G357" s="6">
        <f>IF('FUENTE NO BORRAR'!G375="","",IF('FUENTE NO BORRAR'!$A375&lt;&gt;"Resultado total",('FUENTE NO BORRAR'!G375),""))</f>
        <v>3721545.11</v>
      </c>
      <c r="H357" s="6">
        <f>IF('FUENTE NO BORRAR'!H375="","",IF('FUENTE NO BORRAR'!$A375&lt;&gt;"Resultado total",('FUENTE NO BORRAR'!H375),""))</f>
        <v>3721545.11</v>
      </c>
      <c r="I357" s="6">
        <f>IF('FUENTE NO BORRAR'!I375="","",IF('FUENTE NO BORRAR'!$A375&lt;&gt;"Resultado total",('FUENTE NO BORRAR'!I375),""))</f>
        <v>1.0000000000000001E-9</v>
      </c>
    </row>
    <row r="358" spans="1:9" x14ac:dyDescent="0.2">
      <c r="A358" s="5" t="str">
        <f>IF('FUENTE NO BORRAR'!A376="","",(IF('FUENTE NO BORRAR'!A376&lt;&gt;"Resultado total",'FUENTE NO BORRAR'!A376,"")))</f>
        <v/>
      </c>
      <c r="B358" s="5" t="str">
        <f>IF('FUENTE NO BORRAR'!B376="","",'FUENTE NO BORRAR'!B376)</f>
        <v/>
      </c>
      <c r="C358" s="5" t="str">
        <f>IF('FUENTE NO BORRAR'!C376="","",'FUENTE NO BORRAR'!C376)</f>
        <v/>
      </c>
      <c r="D358" s="5" t="str">
        <f>IF('FUENTE NO BORRAR'!D376="","",'FUENTE NO BORRAR'!D376)</f>
        <v/>
      </c>
      <c r="E358" s="5" t="str">
        <f>IF('FUENTE NO BORRAR'!E376="","",'FUENTE NO BORRAR'!E376)</f>
        <v/>
      </c>
      <c r="F358" s="6">
        <f>IF('FUENTE NO BORRAR'!F376="","",IF('FUENTE NO BORRAR'!$A376&lt;&gt;"Resultado total",('FUENTE NO BORRAR'!F376),""))</f>
        <v>224912.02</v>
      </c>
      <c r="G358" s="6">
        <f>IF('FUENTE NO BORRAR'!G376="","",IF('FUENTE NO BORRAR'!$A376&lt;&gt;"Resultado total",('FUENTE NO BORRAR'!G376),""))</f>
        <v>224912.02</v>
      </c>
      <c r="H358" s="6">
        <f>IF('FUENTE NO BORRAR'!H376="","",IF('FUENTE NO BORRAR'!$A376&lt;&gt;"Resultado total",('FUENTE NO BORRAR'!H376),""))</f>
        <v>221101.26</v>
      </c>
      <c r="I358" s="6">
        <f>IF('FUENTE NO BORRAR'!I376="","",IF('FUENTE NO BORRAR'!$A376&lt;&gt;"Resultado total",('FUENTE NO BORRAR'!I376),""))</f>
        <v>0</v>
      </c>
    </row>
    <row r="359" spans="1:9" x14ac:dyDescent="0.2">
      <c r="A359" s="5" t="str">
        <f>IF('FUENTE NO BORRAR'!A377="","",(IF('FUENTE NO BORRAR'!A377&lt;&gt;"Resultado total",'FUENTE NO BORRAR'!A377,"")))</f>
        <v/>
      </c>
      <c r="B359" s="5" t="str">
        <f>IF('FUENTE NO BORRAR'!B377="","",'FUENTE NO BORRAR'!B377)</f>
        <v/>
      </c>
      <c r="C359" s="5" t="str">
        <f>IF('FUENTE NO BORRAR'!C377="","",'FUENTE NO BORRAR'!C377)</f>
        <v/>
      </c>
      <c r="D359" s="5" t="str">
        <f>IF('FUENTE NO BORRAR'!D377="","",'FUENTE NO BORRAR'!D377)</f>
        <v/>
      </c>
      <c r="E359" s="5" t="str">
        <f>IF('FUENTE NO BORRAR'!E377="","",'FUENTE NO BORRAR'!E377)</f>
        <v/>
      </c>
      <c r="F359" s="6">
        <f>IF('FUENTE NO BORRAR'!F377="","",IF('FUENTE NO BORRAR'!$A377&lt;&gt;"Resultado total",('FUENTE NO BORRAR'!F377),""))</f>
        <v>82323.039999999994</v>
      </c>
      <c r="G359" s="6">
        <f>IF('FUENTE NO BORRAR'!G377="","",IF('FUENTE NO BORRAR'!$A377&lt;&gt;"Resultado total",('FUENTE NO BORRAR'!G377),""))</f>
        <v>82323.039999999994</v>
      </c>
      <c r="H359" s="6">
        <f>IF('FUENTE NO BORRAR'!H377="","",IF('FUENTE NO BORRAR'!$A377&lt;&gt;"Resultado total",('FUENTE NO BORRAR'!H377),""))</f>
        <v>82323.039999999994</v>
      </c>
      <c r="I359" s="6">
        <f>IF('FUENTE NO BORRAR'!I377="","",IF('FUENTE NO BORRAR'!$A377&lt;&gt;"Resultado total",('FUENTE NO BORRAR'!I377),""))</f>
        <v>0</v>
      </c>
    </row>
    <row r="360" spans="1:9" x14ac:dyDescent="0.2">
      <c r="A360" s="5" t="str">
        <f>IF('FUENTE NO BORRAR'!A378="","",(IF('FUENTE NO BORRAR'!A378&lt;&gt;"Resultado total",'FUENTE NO BORRAR'!A378,"")))</f>
        <v/>
      </c>
      <c r="B360" s="5" t="str">
        <f>IF('FUENTE NO BORRAR'!B378="","",'FUENTE NO BORRAR'!B378)</f>
        <v/>
      </c>
      <c r="C360" s="5" t="str">
        <f>IF('FUENTE NO BORRAR'!C378="","",'FUENTE NO BORRAR'!C378)</f>
        <v/>
      </c>
      <c r="D360" s="5" t="str">
        <f>IF('FUENTE NO BORRAR'!D378="","",'FUENTE NO BORRAR'!D378)</f>
        <v/>
      </c>
      <c r="E360" s="5" t="str">
        <f>IF('FUENTE NO BORRAR'!E378="","",'FUENTE NO BORRAR'!E378)</f>
        <v/>
      </c>
      <c r="F360" s="6">
        <f>IF('FUENTE NO BORRAR'!F378="","",IF('FUENTE NO BORRAR'!$A378&lt;&gt;"Resultado total",('FUENTE NO BORRAR'!F378),""))</f>
        <v>107033.92</v>
      </c>
      <c r="G360" s="6">
        <f>IF('FUENTE NO BORRAR'!G378="","",IF('FUENTE NO BORRAR'!$A378&lt;&gt;"Resultado total",('FUENTE NO BORRAR'!G378),""))</f>
        <v>107033.92</v>
      </c>
      <c r="H360" s="6">
        <f>IF('FUENTE NO BORRAR'!H378="","",IF('FUENTE NO BORRAR'!$A378&lt;&gt;"Resultado total",('FUENTE NO BORRAR'!H378),""))</f>
        <v>107033.87</v>
      </c>
      <c r="I360" s="6">
        <f>IF('FUENTE NO BORRAR'!I378="","",IF('FUENTE NO BORRAR'!$A378&lt;&gt;"Resultado total",('FUENTE NO BORRAR'!I378),""))</f>
        <v>0</v>
      </c>
    </row>
    <row r="361" spans="1:9" x14ac:dyDescent="0.2">
      <c r="A361" s="5" t="str">
        <f>IF('FUENTE NO BORRAR'!A379="","",(IF('FUENTE NO BORRAR'!A379&lt;&gt;"Resultado total",'FUENTE NO BORRAR'!A379,"")))</f>
        <v/>
      </c>
      <c r="B361" s="5" t="str">
        <f>IF('FUENTE NO BORRAR'!B379="","",'FUENTE NO BORRAR'!B379)</f>
        <v/>
      </c>
      <c r="C361" s="5" t="str">
        <f>IF('FUENTE NO BORRAR'!C379="","",'FUENTE NO BORRAR'!C379)</f>
        <v/>
      </c>
      <c r="D361" s="5" t="str">
        <f>IF('FUENTE NO BORRAR'!D379="","",'FUENTE NO BORRAR'!D379)</f>
        <v/>
      </c>
      <c r="E361" s="5" t="str">
        <f>IF('FUENTE NO BORRAR'!E379="","",'FUENTE NO BORRAR'!E379)</f>
        <v/>
      </c>
      <c r="F361" s="6">
        <f>IF('FUENTE NO BORRAR'!F379="","",IF('FUENTE NO BORRAR'!$A379&lt;&gt;"Resultado total",('FUENTE NO BORRAR'!F379),""))</f>
        <v>7083.54</v>
      </c>
      <c r="G361" s="6">
        <f>IF('FUENTE NO BORRAR'!G379="","",IF('FUENTE NO BORRAR'!$A379&lt;&gt;"Resultado total",('FUENTE NO BORRAR'!G379),""))</f>
        <v>7083.54</v>
      </c>
      <c r="H361" s="6">
        <f>IF('FUENTE NO BORRAR'!H379="","",IF('FUENTE NO BORRAR'!$A379&lt;&gt;"Resultado total",('FUENTE NO BORRAR'!H379),""))</f>
        <v>7083.54</v>
      </c>
      <c r="I361" s="6">
        <f>IF('FUENTE NO BORRAR'!I379="","",IF('FUENTE NO BORRAR'!$A379&lt;&gt;"Resultado total",('FUENTE NO BORRAR'!I379),""))</f>
        <v>0</v>
      </c>
    </row>
    <row r="362" spans="1:9" x14ac:dyDescent="0.2">
      <c r="A362" s="5" t="str">
        <f>IF('FUENTE NO BORRAR'!A380="","",(IF('FUENTE NO BORRAR'!A380&lt;&gt;"Resultado total",'FUENTE NO BORRAR'!A380,"")))</f>
        <v/>
      </c>
      <c r="B362" s="5" t="str">
        <f>IF('FUENTE NO BORRAR'!B380="","",'FUENTE NO BORRAR'!B380)</f>
        <v/>
      </c>
      <c r="C362" s="5" t="str">
        <f>IF('FUENTE NO BORRAR'!C380="","",'FUENTE NO BORRAR'!C380)</f>
        <v/>
      </c>
      <c r="D362" s="5" t="str">
        <f>IF('FUENTE NO BORRAR'!D380="","",'FUENTE NO BORRAR'!D380)</f>
        <v/>
      </c>
      <c r="E362" s="5" t="str">
        <f>IF('FUENTE NO BORRAR'!E380="","",'FUENTE NO BORRAR'!E380)</f>
        <v/>
      </c>
      <c r="F362" s="6">
        <f>IF('FUENTE NO BORRAR'!F380="","",IF('FUENTE NO BORRAR'!$A380&lt;&gt;"Resultado total",('FUENTE NO BORRAR'!F380),""))</f>
        <v>2918.01</v>
      </c>
      <c r="G362" s="6">
        <f>IF('FUENTE NO BORRAR'!G380="","",IF('FUENTE NO BORRAR'!$A380&lt;&gt;"Resultado total",('FUENTE NO BORRAR'!G380),""))</f>
        <v>2918.01</v>
      </c>
      <c r="H362" s="6">
        <f>IF('FUENTE NO BORRAR'!H380="","",IF('FUENTE NO BORRAR'!$A380&lt;&gt;"Resultado total",('FUENTE NO BORRAR'!H380),""))</f>
        <v>2918.01</v>
      </c>
      <c r="I362" s="6">
        <f>IF('FUENTE NO BORRAR'!I380="","",IF('FUENTE NO BORRAR'!$A380&lt;&gt;"Resultado total",('FUENTE NO BORRAR'!I380),""))</f>
        <v>0</v>
      </c>
    </row>
    <row r="363" spans="1:9" x14ac:dyDescent="0.2">
      <c r="A363" s="5" t="str">
        <f>IF('FUENTE NO BORRAR'!A381="","",(IF('FUENTE NO BORRAR'!A381&lt;&gt;"Resultado total",'FUENTE NO BORRAR'!A381,"")))</f>
        <v/>
      </c>
      <c r="B363" s="5" t="str">
        <f>IF('FUENTE NO BORRAR'!B381="","",'FUENTE NO BORRAR'!B381)</f>
        <v/>
      </c>
      <c r="C363" s="5" t="str">
        <f>IF('FUENTE NO BORRAR'!C381="","",'FUENTE NO BORRAR'!C381)</f>
        <v/>
      </c>
      <c r="D363" s="5" t="str">
        <f>IF('FUENTE NO BORRAR'!D381="","",'FUENTE NO BORRAR'!D381)</f>
        <v/>
      </c>
      <c r="E363" s="5" t="str">
        <f>IF('FUENTE NO BORRAR'!E381="","",'FUENTE NO BORRAR'!E381)</f>
        <v/>
      </c>
      <c r="F363" s="6">
        <f>IF('FUENTE NO BORRAR'!F381="","",IF('FUENTE NO BORRAR'!$A381&lt;&gt;"Resultado total",('FUENTE NO BORRAR'!F381),""))</f>
        <v>652</v>
      </c>
      <c r="G363" s="6">
        <f>IF('FUENTE NO BORRAR'!G381="","",IF('FUENTE NO BORRAR'!$A381&lt;&gt;"Resultado total",('FUENTE NO BORRAR'!G381),""))</f>
        <v>652</v>
      </c>
      <c r="H363" s="6">
        <f>IF('FUENTE NO BORRAR'!H381="","",IF('FUENTE NO BORRAR'!$A381&lt;&gt;"Resultado total",('FUENTE NO BORRAR'!H381),""))</f>
        <v>202</v>
      </c>
      <c r="I363" s="6">
        <f>IF('FUENTE NO BORRAR'!I381="","",IF('FUENTE NO BORRAR'!$A381&lt;&gt;"Resultado total",('FUENTE NO BORRAR'!I381),""))</f>
        <v>0</v>
      </c>
    </row>
    <row r="364" spans="1:9" x14ac:dyDescent="0.2">
      <c r="A364" s="5" t="str">
        <f>IF('FUENTE NO BORRAR'!A382="","",(IF('FUENTE NO BORRAR'!A382&lt;&gt;"Resultado total",'FUENTE NO BORRAR'!A382,"")))</f>
        <v/>
      </c>
      <c r="B364" s="5" t="str">
        <f>IF('FUENTE NO BORRAR'!B382="","",'FUENTE NO BORRAR'!B382)</f>
        <v/>
      </c>
      <c r="C364" s="5" t="str">
        <f>IF('FUENTE NO BORRAR'!C382="","",'FUENTE NO BORRAR'!C382)</f>
        <v/>
      </c>
      <c r="D364" s="5" t="str">
        <f>IF('FUENTE NO BORRAR'!D382="","",'FUENTE NO BORRAR'!D382)</f>
        <v/>
      </c>
      <c r="E364" s="5" t="str">
        <f>IF('FUENTE NO BORRAR'!E382="","",'FUENTE NO BORRAR'!E382)</f>
        <v/>
      </c>
      <c r="F364" s="6">
        <f>IF('FUENTE NO BORRAR'!F382="","",IF('FUENTE NO BORRAR'!$A382&lt;&gt;"Resultado total",('FUENTE NO BORRAR'!F382),""))</f>
        <v>249700.13</v>
      </c>
      <c r="G364" s="6">
        <f>IF('FUENTE NO BORRAR'!G382="","",IF('FUENTE NO BORRAR'!$A382&lt;&gt;"Resultado total",('FUENTE NO BORRAR'!G382),""))</f>
        <v>249700.13</v>
      </c>
      <c r="H364" s="6">
        <f>IF('FUENTE NO BORRAR'!H382="","",IF('FUENTE NO BORRAR'!$A382&lt;&gt;"Resultado total",('FUENTE NO BORRAR'!H382),""))</f>
        <v>249700.13</v>
      </c>
      <c r="I364" s="6">
        <f>IF('FUENTE NO BORRAR'!I382="","",IF('FUENTE NO BORRAR'!$A382&lt;&gt;"Resultado total",('FUENTE NO BORRAR'!I382),""))</f>
        <v>0</v>
      </c>
    </row>
    <row r="365" spans="1:9" x14ac:dyDescent="0.2">
      <c r="A365" s="5" t="str">
        <f>IF('FUENTE NO BORRAR'!A383="","",(IF('FUENTE NO BORRAR'!A383&lt;&gt;"Resultado total",'FUENTE NO BORRAR'!A383,"")))</f>
        <v/>
      </c>
      <c r="B365" s="5" t="str">
        <f>IF('FUENTE NO BORRAR'!B383="","",'FUENTE NO BORRAR'!B383)</f>
        <v/>
      </c>
      <c r="C365" s="5" t="str">
        <f>IF('FUENTE NO BORRAR'!C383="","",'FUENTE NO BORRAR'!C383)</f>
        <v/>
      </c>
      <c r="D365" s="5" t="str">
        <f>IF('FUENTE NO BORRAR'!D383="","",'FUENTE NO BORRAR'!D383)</f>
        <v/>
      </c>
      <c r="E365" s="5" t="str">
        <f>IF('FUENTE NO BORRAR'!E383="","",'FUENTE NO BORRAR'!E383)</f>
        <v/>
      </c>
      <c r="F365" s="6">
        <f>IF('FUENTE NO BORRAR'!F383="","",IF('FUENTE NO BORRAR'!$A383&lt;&gt;"Resultado total",('FUENTE NO BORRAR'!F383),""))</f>
        <v>272.44</v>
      </c>
      <c r="G365" s="6">
        <f>IF('FUENTE NO BORRAR'!G383="","",IF('FUENTE NO BORRAR'!$A383&lt;&gt;"Resultado total",('FUENTE NO BORRAR'!G383),""))</f>
        <v>272.44</v>
      </c>
      <c r="H365" s="6">
        <f>IF('FUENTE NO BORRAR'!H383="","",IF('FUENTE NO BORRAR'!$A383&lt;&gt;"Resultado total",('FUENTE NO BORRAR'!H383),""))</f>
        <v>162.47999999999999</v>
      </c>
      <c r="I365" s="6">
        <f>IF('FUENTE NO BORRAR'!I383="","",IF('FUENTE NO BORRAR'!$A383&lt;&gt;"Resultado total",('FUENTE NO BORRAR'!I383),""))</f>
        <v>0</v>
      </c>
    </row>
    <row r="366" spans="1:9" x14ac:dyDescent="0.2">
      <c r="A366" s="5" t="str">
        <f>IF('FUENTE NO BORRAR'!A384="","",(IF('FUENTE NO BORRAR'!A384&lt;&gt;"Resultado total",'FUENTE NO BORRAR'!A384,"")))</f>
        <v/>
      </c>
      <c r="B366" s="5" t="str">
        <f>IF('FUENTE NO BORRAR'!B384="","",'FUENTE NO BORRAR'!B384)</f>
        <v/>
      </c>
      <c r="C366" s="5" t="str">
        <f>IF('FUENTE NO BORRAR'!C384="","",'FUENTE NO BORRAR'!C384)</f>
        <v/>
      </c>
      <c r="D366" s="5" t="str">
        <f>IF('FUENTE NO BORRAR'!D384="","",'FUENTE NO BORRAR'!D384)</f>
        <v/>
      </c>
      <c r="E366" s="5" t="str">
        <f>IF('FUENTE NO BORRAR'!E384="","",'FUENTE NO BORRAR'!E384)</f>
        <v/>
      </c>
      <c r="F366" s="6">
        <f>IF('FUENTE NO BORRAR'!F384="","",IF('FUENTE NO BORRAR'!$A384&lt;&gt;"Resultado total",('FUENTE NO BORRAR'!F384),""))</f>
        <v>54566.720000000001</v>
      </c>
      <c r="G366" s="6">
        <f>IF('FUENTE NO BORRAR'!G384="","",IF('FUENTE NO BORRAR'!$A384&lt;&gt;"Resultado total",('FUENTE NO BORRAR'!G384),""))</f>
        <v>54566.720000000001</v>
      </c>
      <c r="H366" s="6">
        <f>IF('FUENTE NO BORRAR'!H384="","",IF('FUENTE NO BORRAR'!$A384&lt;&gt;"Resultado total",('FUENTE NO BORRAR'!H384),""))</f>
        <v>54566.720000000001</v>
      </c>
      <c r="I366" s="6">
        <f>IF('FUENTE NO BORRAR'!I384="","",IF('FUENTE NO BORRAR'!$A384&lt;&gt;"Resultado total",('FUENTE NO BORRAR'!I384),""))</f>
        <v>0</v>
      </c>
    </row>
    <row r="367" spans="1:9" x14ac:dyDescent="0.2">
      <c r="A367" s="5" t="str">
        <f>IF('FUENTE NO BORRAR'!A385="","",(IF('FUENTE NO BORRAR'!A385&lt;&gt;"Resultado total",'FUENTE NO BORRAR'!A385,"")))</f>
        <v/>
      </c>
      <c r="B367" s="5" t="str">
        <f>IF('FUENTE NO BORRAR'!B385="","",'FUENTE NO BORRAR'!B385)</f>
        <v/>
      </c>
      <c r="C367" s="5" t="str">
        <f>IF('FUENTE NO BORRAR'!C385="","",'FUENTE NO BORRAR'!C385)</f>
        <v/>
      </c>
      <c r="D367" s="5" t="str">
        <f>IF('FUENTE NO BORRAR'!D385="","",'FUENTE NO BORRAR'!D385)</f>
        <v/>
      </c>
      <c r="E367" s="5" t="str">
        <f>IF('FUENTE NO BORRAR'!E385="","",'FUENTE NO BORRAR'!E385)</f>
        <v/>
      </c>
      <c r="F367" s="6">
        <f>IF('FUENTE NO BORRAR'!F385="","",IF('FUENTE NO BORRAR'!$A385&lt;&gt;"Resultado total",('FUENTE NO BORRAR'!F385),""))</f>
        <v>71478.600000000006</v>
      </c>
      <c r="G367" s="6">
        <f>IF('FUENTE NO BORRAR'!G385="","",IF('FUENTE NO BORRAR'!$A385&lt;&gt;"Resultado total",('FUENTE NO BORRAR'!G385),""))</f>
        <v>71478.600000000006</v>
      </c>
      <c r="H367" s="6">
        <f>IF('FUENTE NO BORRAR'!H385="","",IF('FUENTE NO BORRAR'!$A385&lt;&gt;"Resultado total",('FUENTE NO BORRAR'!H385),""))</f>
        <v>71478.53</v>
      </c>
      <c r="I367" s="6">
        <f>IF('FUENTE NO BORRAR'!I385="","",IF('FUENTE NO BORRAR'!$A385&lt;&gt;"Resultado total",('FUENTE NO BORRAR'!I385),""))</f>
        <v>0</v>
      </c>
    </row>
    <row r="368" spans="1:9" x14ac:dyDescent="0.2">
      <c r="A368" s="5" t="str">
        <f>IF('FUENTE NO BORRAR'!A386="","",(IF('FUENTE NO BORRAR'!A386&lt;&gt;"Resultado total",'FUENTE NO BORRAR'!A386,"")))</f>
        <v/>
      </c>
      <c r="B368" s="5" t="str">
        <f>IF('FUENTE NO BORRAR'!B386="","",'FUENTE NO BORRAR'!B386)</f>
        <v/>
      </c>
      <c r="C368" s="5" t="str">
        <f>IF('FUENTE NO BORRAR'!C386="","",'FUENTE NO BORRAR'!C386)</f>
        <v/>
      </c>
      <c r="D368" s="5" t="str">
        <f>IF('FUENTE NO BORRAR'!D386="","",'FUENTE NO BORRAR'!D386)</f>
        <v/>
      </c>
      <c r="E368" s="5" t="str">
        <f>IF('FUENTE NO BORRAR'!E386="","",'FUENTE NO BORRAR'!E386)</f>
        <v/>
      </c>
      <c r="F368" s="6">
        <f>IF('FUENTE NO BORRAR'!F386="","",IF('FUENTE NO BORRAR'!$A386&lt;&gt;"Resultado total",('FUENTE NO BORRAR'!F386),""))</f>
        <v>14593.2</v>
      </c>
      <c r="G368" s="6">
        <f>IF('FUENTE NO BORRAR'!G386="","",IF('FUENTE NO BORRAR'!$A386&lt;&gt;"Resultado total",('FUENTE NO BORRAR'!G386),""))</f>
        <v>14593.2</v>
      </c>
      <c r="H368" s="6">
        <f>IF('FUENTE NO BORRAR'!H386="","",IF('FUENTE NO BORRAR'!$A386&lt;&gt;"Resultado total",('FUENTE NO BORRAR'!H386),""))</f>
        <v>14593.2</v>
      </c>
      <c r="I368" s="6">
        <f>IF('FUENTE NO BORRAR'!I386="","",IF('FUENTE NO BORRAR'!$A386&lt;&gt;"Resultado total",('FUENTE NO BORRAR'!I386),""))</f>
        <v>0</v>
      </c>
    </row>
    <row r="369" spans="1:9" x14ac:dyDescent="0.2">
      <c r="A369" s="5" t="str">
        <f>IF('FUENTE NO BORRAR'!A387="","",(IF('FUENTE NO BORRAR'!A387&lt;&gt;"Resultado total",'FUENTE NO BORRAR'!A387,"")))</f>
        <v/>
      </c>
      <c r="B369" s="5" t="str">
        <f>IF('FUENTE NO BORRAR'!B387="","",'FUENTE NO BORRAR'!B387)</f>
        <v/>
      </c>
      <c r="C369" s="5" t="str">
        <f>IF('FUENTE NO BORRAR'!C387="","",'FUENTE NO BORRAR'!C387)</f>
        <v/>
      </c>
      <c r="D369" s="5" t="str">
        <f>IF('FUENTE NO BORRAR'!D387="","",'FUENTE NO BORRAR'!D387)</f>
        <v/>
      </c>
      <c r="E369" s="5" t="str">
        <f>IF('FUENTE NO BORRAR'!E387="","",'FUENTE NO BORRAR'!E387)</f>
        <v/>
      </c>
      <c r="F369" s="6">
        <f>IF('FUENTE NO BORRAR'!F387="","",IF('FUENTE NO BORRAR'!$A387&lt;&gt;"Resultado total",('FUENTE NO BORRAR'!F387),""))</f>
        <v>1797.3</v>
      </c>
      <c r="G369" s="6">
        <f>IF('FUENTE NO BORRAR'!G387="","",IF('FUENTE NO BORRAR'!$A387&lt;&gt;"Resultado total",('FUENTE NO BORRAR'!G387),""))</f>
        <v>1797.3</v>
      </c>
      <c r="H369" s="6">
        <f>IF('FUENTE NO BORRAR'!H387="","",IF('FUENTE NO BORRAR'!$A387&lt;&gt;"Resultado total",('FUENTE NO BORRAR'!H387),""))</f>
        <v>1797.3</v>
      </c>
      <c r="I369" s="6">
        <f>IF('FUENTE NO BORRAR'!I387="","",IF('FUENTE NO BORRAR'!$A387&lt;&gt;"Resultado total",('FUENTE NO BORRAR'!I387),""))</f>
        <v>0</v>
      </c>
    </row>
    <row r="370" spans="1:9" x14ac:dyDescent="0.2">
      <c r="A370" s="5" t="str">
        <f>IF('FUENTE NO BORRAR'!A388="","",(IF('FUENTE NO BORRAR'!A388&lt;&gt;"Resultado total",'FUENTE NO BORRAR'!A388,"")))</f>
        <v/>
      </c>
      <c r="B370" s="5" t="str">
        <f>IF('FUENTE NO BORRAR'!B388="","",'FUENTE NO BORRAR'!B388)</f>
        <v/>
      </c>
      <c r="C370" s="5" t="str">
        <f>IF('FUENTE NO BORRAR'!C388="","",'FUENTE NO BORRAR'!C388)</f>
        <v/>
      </c>
      <c r="D370" s="5" t="str">
        <f>IF('FUENTE NO BORRAR'!D388="","",'FUENTE NO BORRAR'!D388)</f>
        <v/>
      </c>
      <c r="E370" s="5" t="str">
        <f>IF('FUENTE NO BORRAR'!E388="","",'FUENTE NO BORRAR'!E388)</f>
        <v/>
      </c>
      <c r="F370" s="6">
        <f>IF('FUENTE NO BORRAR'!F388="","",IF('FUENTE NO BORRAR'!$A388&lt;&gt;"Resultado total",('FUENTE NO BORRAR'!F388),""))</f>
        <v>572</v>
      </c>
      <c r="G370" s="6">
        <f>IF('FUENTE NO BORRAR'!G388="","",IF('FUENTE NO BORRAR'!$A388&lt;&gt;"Resultado total",('FUENTE NO BORRAR'!G388),""))</f>
        <v>572</v>
      </c>
      <c r="H370" s="6">
        <f>IF('FUENTE NO BORRAR'!H388="","",IF('FUENTE NO BORRAR'!$A388&lt;&gt;"Resultado total",('FUENTE NO BORRAR'!H388),""))</f>
        <v>572</v>
      </c>
      <c r="I370" s="6">
        <f>IF('FUENTE NO BORRAR'!I388="","",IF('FUENTE NO BORRAR'!$A388&lt;&gt;"Resultado total",('FUENTE NO BORRAR'!I388),""))</f>
        <v>0</v>
      </c>
    </row>
    <row r="371" spans="1:9" x14ac:dyDescent="0.2">
      <c r="A371" s="5" t="str">
        <f>IF('FUENTE NO BORRAR'!A389="","",(IF('FUENTE NO BORRAR'!A389&lt;&gt;"Resultado total",'FUENTE NO BORRAR'!A389,"")))</f>
        <v/>
      </c>
      <c r="B371" s="5" t="str">
        <f>IF('FUENTE NO BORRAR'!B389="","",'FUENTE NO BORRAR'!B389)</f>
        <v/>
      </c>
      <c r="C371" s="5" t="str">
        <f>IF('FUENTE NO BORRAR'!C389="","",'FUENTE NO BORRAR'!C389)</f>
        <v/>
      </c>
      <c r="D371" s="5" t="str">
        <f>IF('FUENTE NO BORRAR'!D389="","",'FUENTE NO BORRAR'!D389)</f>
        <v/>
      </c>
      <c r="E371" s="5" t="str">
        <f>IF('FUENTE NO BORRAR'!E389="","",'FUENTE NO BORRAR'!E389)</f>
        <v/>
      </c>
      <c r="F371" s="6">
        <f>IF('FUENTE NO BORRAR'!F389="","",IF('FUENTE NO BORRAR'!$A389&lt;&gt;"Resultado total",('FUENTE NO BORRAR'!F389),""))</f>
        <v>4886.38</v>
      </c>
      <c r="G371" s="6">
        <f>IF('FUENTE NO BORRAR'!G389="","",IF('FUENTE NO BORRAR'!$A389&lt;&gt;"Resultado total",('FUENTE NO BORRAR'!G389),""))</f>
        <v>4886.38</v>
      </c>
      <c r="H371" s="6">
        <f>IF('FUENTE NO BORRAR'!H389="","",IF('FUENTE NO BORRAR'!$A389&lt;&gt;"Resultado total",('FUENTE NO BORRAR'!H389),""))</f>
        <v>0</v>
      </c>
      <c r="I371" s="6">
        <f>IF('FUENTE NO BORRAR'!I389="","",IF('FUENTE NO BORRAR'!$A389&lt;&gt;"Resultado total",('FUENTE NO BORRAR'!I389),""))</f>
        <v>0</v>
      </c>
    </row>
    <row r="372" spans="1:9" x14ac:dyDescent="0.2">
      <c r="A372" s="5" t="str">
        <f>IF('FUENTE NO BORRAR'!A390="","",(IF('FUENTE NO BORRAR'!A390&lt;&gt;"Resultado total",'FUENTE NO BORRAR'!A390,"")))</f>
        <v/>
      </c>
      <c r="B372" s="5" t="str">
        <f>IF('FUENTE NO BORRAR'!B390="","",'FUENTE NO BORRAR'!B390)</f>
        <v/>
      </c>
      <c r="C372" s="5" t="str">
        <f>IF('FUENTE NO BORRAR'!C390="","",'FUENTE NO BORRAR'!C390)</f>
        <v/>
      </c>
      <c r="D372" s="5" t="str">
        <f>IF('FUENTE NO BORRAR'!D390="","",'FUENTE NO BORRAR'!D390)</f>
        <v/>
      </c>
      <c r="E372" s="5" t="str">
        <f>IF('FUENTE NO BORRAR'!E390="","",'FUENTE NO BORRAR'!E390)</f>
        <v/>
      </c>
      <c r="F372" s="6">
        <f>IF('FUENTE NO BORRAR'!F390="","",IF('FUENTE NO BORRAR'!$A390&lt;&gt;"Resultado total",('FUENTE NO BORRAR'!F390),""))</f>
        <v>9333.84</v>
      </c>
      <c r="G372" s="6">
        <f>IF('FUENTE NO BORRAR'!G390="","",IF('FUENTE NO BORRAR'!$A390&lt;&gt;"Resultado total",('FUENTE NO BORRAR'!G390),""))</f>
        <v>9333.84</v>
      </c>
      <c r="H372" s="6">
        <f>IF('FUENTE NO BORRAR'!H390="","",IF('FUENTE NO BORRAR'!$A390&lt;&gt;"Resultado total",('FUENTE NO BORRAR'!H390),""))</f>
        <v>9333.83</v>
      </c>
      <c r="I372" s="6">
        <f>IF('FUENTE NO BORRAR'!I390="","",IF('FUENTE NO BORRAR'!$A390&lt;&gt;"Resultado total",('FUENTE NO BORRAR'!I390),""))</f>
        <v>0</v>
      </c>
    </row>
    <row r="373" spans="1:9" x14ac:dyDescent="0.2">
      <c r="A373" s="5" t="str">
        <f>IF('FUENTE NO BORRAR'!A391="","",(IF('FUENTE NO BORRAR'!A391&lt;&gt;"Resultado total",'FUENTE NO BORRAR'!A391,"")))</f>
        <v/>
      </c>
      <c r="B373" s="5" t="str">
        <f>IF('FUENTE NO BORRAR'!B391="","",'FUENTE NO BORRAR'!B391)</f>
        <v/>
      </c>
      <c r="C373" s="5" t="str">
        <f>IF('FUENTE NO BORRAR'!C391="","",'FUENTE NO BORRAR'!C391)</f>
        <v/>
      </c>
      <c r="D373" s="5" t="str">
        <f>IF('FUENTE NO BORRAR'!D391="","",'FUENTE NO BORRAR'!D391)</f>
        <v/>
      </c>
      <c r="E373" s="5" t="str">
        <f>IF('FUENTE NO BORRAR'!E391="","",'FUENTE NO BORRAR'!E391)</f>
        <v/>
      </c>
      <c r="F373" s="6">
        <f>IF('FUENTE NO BORRAR'!F391="","",IF('FUENTE NO BORRAR'!$A391&lt;&gt;"Resultado total",('FUENTE NO BORRAR'!F391),""))</f>
        <v>899.92</v>
      </c>
      <c r="G373" s="6">
        <f>IF('FUENTE NO BORRAR'!G391="","",IF('FUENTE NO BORRAR'!$A391&lt;&gt;"Resultado total",('FUENTE NO BORRAR'!G391),""))</f>
        <v>899.92</v>
      </c>
      <c r="H373" s="6">
        <f>IF('FUENTE NO BORRAR'!H391="","",IF('FUENTE NO BORRAR'!$A391&lt;&gt;"Resultado total",('FUENTE NO BORRAR'!H391),""))</f>
        <v>821.1</v>
      </c>
      <c r="I373" s="6">
        <f>IF('FUENTE NO BORRAR'!I391="","",IF('FUENTE NO BORRAR'!$A391&lt;&gt;"Resultado total",('FUENTE NO BORRAR'!I391),""))</f>
        <v>0</v>
      </c>
    </row>
    <row r="374" spans="1:9" x14ac:dyDescent="0.2">
      <c r="A374" s="5" t="str">
        <f>IF('FUENTE NO BORRAR'!A392="","",(IF('FUENTE NO BORRAR'!A392&lt;&gt;"Resultado total",'FUENTE NO BORRAR'!A392,"")))</f>
        <v/>
      </c>
      <c r="B374" s="5" t="str">
        <f>IF('FUENTE NO BORRAR'!B392="","",'FUENTE NO BORRAR'!B392)</f>
        <v/>
      </c>
      <c r="C374" s="5" t="str">
        <f>IF('FUENTE NO BORRAR'!C392="","",'FUENTE NO BORRAR'!C392)</f>
        <v/>
      </c>
      <c r="D374" s="5" t="str">
        <f>IF('FUENTE NO BORRAR'!D392="","",'FUENTE NO BORRAR'!D392)</f>
        <v/>
      </c>
      <c r="E374" s="5" t="str">
        <f>IF('FUENTE NO BORRAR'!E392="","",'FUENTE NO BORRAR'!E392)</f>
        <v/>
      </c>
      <c r="F374" s="6">
        <f>IF('FUENTE NO BORRAR'!F392="","",IF('FUENTE NO BORRAR'!$A392&lt;&gt;"Resultado total",('FUENTE NO BORRAR'!F392),""))</f>
        <v>17886</v>
      </c>
      <c r="G374" s="6">
        <f>IF('FUENTE NO BORRAR'!G392="","",IF('FUENTE NO BORRAR'!$A392&lt;&gt;"Resultado total",('FUENTE NO BORRAR'!G392),""))</f>
        <v>17886</v>
      </c>
      <c r="H374" s="6">
        <f>IF('FUENTE NO BORRAR'!H392="","",IF('FUENTE NO BORRAR'!$A392&lt;&gt;"Resultado total",('FUENTE NO BORRAR'!H392),""))</f>
        <v>6049</v>
      </c>
      <c r="I374" s="6">
        <f>IF('FUENTE NO BORRAR'!I392="","",IF('FUENTE NO BORRAR'!$A392&lt;&gt;"Resultado total",('FUENTE NO BORRAR'!I392),""))</f>
        <v>0</v>
      </c>
    </row>
    <row r="375" spans="1:9" x14ac:dyDescent="0.2">
      <c r="A375" s="5" t="str">
        <f>IF('FUENTE NO BORRAR'!A393="","",(IF('FUENTE NO BORRAR'!A393&lt;&gt;"Resultado total",'FUENTE NO BORRAR'!A393,"")))</f>
        <v/>
      </c>
      <c r="B375" s="5" t="str">
        <f>IF('FUENTE NO BORRAR'!B393="","",'FUENTE NO BORRAR'!B393)</f>
        <v/>
      </c>
      <c r="C375" s="5" t="str">
        <f>IF('FUENTE NO BORRAR'!C393="","",'FUENTE NO BORRAR'!C393)</f>
        <v/>
      </c>
      <c r="D375" s="5" t="str">
        <f>IF('FUENTE NO BORRAR'!D393="","",'FUENTE NO BORRAR'!D393)</f>
        <v/>
      </c>
      <c r="E375" s="5" t="str">
        <f>IF('FUENTE NO BORRAR'!E393="","",'FUENTE NO BORRAR'!E393)</f>
        <v/>
      </c>
      <c r="F375" s="6">
        <f>IF('FUENTE NO BORRAR'!F393="","",IF('FUENTE NO BORRAR'!$A393&lt;&gt;"Resultado total",('FUENTE NO BORRAR'!F393),""))</f>
        <v>12018.73</v>
      </c>
      <c r="G375" s="6">
        <f>IF('FUENTE NO BORRAR'!G393="","",IF('FUENTE NO BORRAR'!$A393&lt;&gt;"Resultado total",('FUENTE NO BORRAR'!G393),""))</f>
        <v>12018.73</v>
      </c>
      <c r="H375" s="6">
        <f>IF('FUENTE NO BORRAR'!H393="","",IF('FUENTE NO BORRAR'!$A393&lt;&gt;"Resultado total",('FUENTE NO BORRAR'!H393),""))</f>
        <v>12018.73</v>
      </c>
      <c r="I375" s="6">
        <f>IF('FUENTE NO BORRAR'!I393="","",IF('FUENTE NO BORRAR'!$A393&lt;&gt;"Resultado total",('FUENTE NO BORRAR'!I393),""))</f>
        <v>0</v>
      </c>
    </row>
    <row r="376" spans="1:9" x14ac:dyDescent="0.2">
      <c r="A376" s="5" t="str">
        <f>IF('FUENTE NO BORRAR'!A394="","",(IF('FUENTE NO BORRAR'!A394&lt;&gt;"Resultado total",'FUENTE NO BORRAR'!A394,"")))</f>
        <v/>
      </c>
      <c r="B376" s="5" t="str">
        <f>IF('FUENTE NO BORRAR'!B394="","",'FUENTE NO BORRAR'!B394)</f>
        <v/>
      </c>
      <c r="C376" s="5" t="str">
        <f>IF('FUENTE NO BORRAR'!C394="","",'FUENTE NO BORRAR'!C394)</f>
        <v/>
      </c>
      <c r="D376" s="5" t="str">
        <f>IF('FUENTE NO BORRAR'!D394="","",'FUENTE NO BORRAR'!D394)</f>
        <v/>
      </c>
      <c r="E376" s="5" t="str">
        <f>IF('FUENTE NO BORRAR'!E394="","",'FUENTE NO BORRAR'!E394)</f>
        <v/>
      </c>
      <c r="F376" s="6">
        <f>IF('FUENTE NO BORRAR'!F394="","",IF('FUENTE NO BORRAR'!$A394&lt;&gt;"Resultado total",('FUENTE NO BORRAR'!F394),""))</f>
        <v>128.75</v>
      </c>
      <c r="G376" s="6">
        <f>IF('FUENTE NO BORRAR'!G394="","",IF('FUENTE NO BORRAR'!$A394&lt;&gt;"Resultado total",('FUENTE NO BORRAR'!G394),""))</f>
        <v>128.75</v>
      </c>
      <c r="H376" s="6">
        <f>IF('FUENTE NO BORRAR'!H394="","",IF('FUENTE NO BORRAR'!$A394&lt;&gt;"Resultado total",('FUENTE NO BORRAR'!H394),""))</f>
        <v>128.75</v>
      </c>
      <c r="I376" s="6">
        <f>IF('FUENTE NO BORRAR'!I394="","",IF('FUENTE NO BORRAR'!$A394&lt;&gt;"Resultado total",('FUENTE NO BORRAR'!I394),""))</f>
        <v>0</v>
      </c>
    </row>
    <row r="377" spans="1:9" x14ac:dyDescent="0.2">
      <c r="A377" s="5" t="str">
        <f>IF('FUENTE NO BORRAR'!A395="","",(IF('FUENTE NO BORRAR'!A395&lt;&gt;"Resultado total",'FUENTE NO BORRAR'!A395,"")))</f>
        <v/>
      </c>
      <c r="B377" s="5" t="str">
        <f>IF('FUENTE NO BORRAR'!B395="","",'FUENTE NO BORRAR'!B395)</f>
        <v/>
      </c>
      <c r="C377" s="5" t="str">
        <f>IF('FUENTE NO BORRAR'!C395="","",'FUENTE NO BORRAR'!C395)</f>
        <v/>
      </c>
      <c r="D377" s="5" t="str">
        <f>IF('FUENTE NO BORRAR'!D395="","",'FUENTE NO BORRAR'!D395)</f>
        <v/>
      </c>
      <c r="E377" s="5" t="str">
        <f>IF('FUENTE NO BORRAR'!E395="","",'FUENTE NO BORRAR'!E395)</f>
        <v/>
      </c>
      <c r="F377" s="6">
        <f>IF('FUENTE NO BORRAR'!F395="","",IF('FUENTE NO BORRAR'!$A395&lt;&gt;"Resultado total",('FUENTE NO BORRAR'!F395),""))</f>
        <v>12</v>
      </c>
      <c r="G377" s="6">
        <f>IF('FUENTE NO BORRAR'!G395="","",IF('FUENTE NO BORRAR'!$A395&lt;&gt;"Resultado total",('FUENTE NO BORRAR'!G395),""))</f>
        <v>12</v>
      </c>
      <c r="H377" s="6">
        <f>IF('FUENTE NO BORRAR'!H395="","",IF('FUENTE NO BORRAR'!$A395&lt;&gt;"Resultado total",('FUENTE NO BORRAR'!H395),""))</f>
        <v>12</v>
      </c>
      <c r="I377" s="6">
        <f>IF('FUENTE NO BORRAR'!I395="","",IF('FUENTE NO BORRAR'!$A395&lt;&gt;"Resultado total",('FUENTE NO BORRAR'!I395),""))</f>
        <v>0</v>
      </c>
    </row>
    <row r="378" spans="1:9" x14ac:dyDescent="0.2">
      <c r="A378" s="5" t="str">
        <f>IF('FUENTE NO BORRAR'!A396="","",(IF('FUENTE NO BORRAR'!A396&lt;&gt;"Resultado total",'FUENTE NO BORRAR'!A396,"")))</f>
        <v/>
      </c>
      <c r="B378" s="5" t="str">
        <f>IF('FUENTE NO BORRAR'!B396="","",'FUENTE NO BORRAR'!B396)</f>
        <v/>
      </c>
      <c r="C378" s="5" t="str">
        <f>IF('FUENTE NO BORRAR'!C396="","",'FUENTE NO BORRAR'!C396)</f>
        <v/>
      </c>
      <c r="D378" s="5" t="str">
        <f>IF('FUENTE NO BORRAR'!D396="","",'FUENTE NO BORRAR'!D396)</f>
        <v/>
      </c>
      <c r="E378" s="5" t="str">
        <f>IF('FUENTE NO BORRAR'!E396="","",'FUENTE NO BORRAR'!E396)</f>
        <v/>
      </c>
      <c r="F378" s="6">
        <f>IF('FUENTE NO BORRAR'!F396="","",IF('FUENTE NO BORRAR'!$A396&lt;&gt;"Resultado total",('FUENTE NO BORRAR'!F396),""))</f>
        <v>745</v>
      </c>
      <c r="G378" s="6">
        <f>IF('FUENTE NO BORRAR'!G396="","",IF('FUENTE NO BORRAR'!$A396&lt;&gt;"Resultado total",('FUENTE NO BORRAR'!G396),""))</f>
        <v>745</v>
      </c>
      <c r="H378" s="6">
        <f>IF('FUENTE NO BORRAR'!H396="","",IF('FUENTE NO BORRAR'!$A396&lt;&gt;"Resultado total",('FUENTE NO BORRAR'!H396),""))</f>
        <v>0</v>
      </c>
      <c r="I378" s="6">
        <f>IF('FUENTE NO BORRAR'!I396="","",IF('FUENTE NO BORRAR'!$A396&lt;&gt;"Resultado total",('FUENTE NO BORRAR'!I396),""))</f>
        <v>0</v>
      </c>
    </row>
    <row r="379" spans="1:9" x14ac:dyDescent="0.2">
      <c r="A379" s="5" t="str">
        <f>IF('FUENTE NO BORRAR'!A397="","",(IF('FUENTE NO BORRAR'!A397&lt;&gt;"Resultado total",'FUENTE NO BORRAR'!A397,"")))</f>
        <v/>
      </c>
      <c r="B379" s="5" t="str">
        <f>IF('FUENTE NO BORRAR'!B397="","",'FUENTE NO BORRAR'!B397)</f>
        <v/>
      </c>
      <c r="C379" s="5" t="str">
        <f>IF('FUENTE NO BORRAR'!C397="","",'FUENTE NO BORRAR'!C397)</f>
        <v/>
      </c>
      <c r="D379" s="5" t="str">
        <f>IF('FUENTE NO BORRAR'!D397="","",'FUENTE NO BORRAR'!D397)</f>
        <v/>
      </c>
      <c r="E379" s="5" t="str">
        <f>IF('FUENTE NO BORRAR'!E397="","",'FUENTE NO BORRAR'!E397)</f>
        <v/>
      </c>
      <c r="F379" s="6">
        <f>IF('FUENTE NO BORRAR'!F397="","",IF('FUENTE NO BORRAR'!$A397&lt;&gt;"Resultado total",('FUENTE NO BORRAR'!F397),""))</f>
        <v>162995.57</v>
      </c>
      <c r="G379" s="6">
        <f>IF('FUENTE NO BORRAR'!G397="","",IF('FUENTE NO BORRAR'!$A397&lt;&gt;"Resultado total",('FUENTE NO BORRAR'!G397),""))</f>
        <v>162995.57</v>
      </c>
      <c r="H379" s="6">
        <f>IF('FUENTE NO BORRAR'!H397="","",IF('FUENTE NO BORRAR'!$A397&lt;&gt;"Resultado total",('FUENTE NO BORRAR'!H397),""))</f>
        <v>144995.53</v>
      </c>
      <c r="I379" s="6">
        <f>IF('FUENTE NO BORRAR'!I397="","",IF('FUENTE NO BORRAR'!$A397&lt;&gt;"Resultado total",('FUENTE NO BORRAR'!I397),""))</f>
        <v>0</v>
      </c>
    </row>
    <row r="380" spans="1:9" x14ac:dyDescent="0.2">
      <c r="A380" s="5" t="str">
        <f>IF('FUENTE NO BORRAR'!A398="","",(IF('FUENTE NO BORRAR'!A398&lt;&gt;"Resultado total",'FUENTE NO BORRAR'!A398,"")))</f>
        <v/>
      </c>
      <c r="B380" s="5" t="str">
        <f>IF('FUENTE NO BORRAR'!B398="","",'FUENTE NO BORRAR'!B398)</f>
        <v/>
      </c>
      <c r="C380" s="5" t="str">
        <f>IF('FUENTE NO BORRAR'!C398="","",'FUENTE NO BORRAR'!C398)</f>
        <v/>
      </c>
      <c r="D380" s="5" t="str">
        <f>IF('FUENTE NO BORRAR'!D398="","",'FUENTE NO BORRAR'!D398)</f>
        <v/>
      </c>
      <c r="E380" s="5" t="str">
        <f>IF('FUENTE NO BORRAR'!E398="","",'FUENTE NO BORRAR'!E398)</f>
        <v/>
      </c>
      <c r="F380" s="6">
        <f>IF('FUENTE NO BORRAR'!F398="","",IF('FUENTE NO BORRAR'!$A398&lt;&gt;"Resultado total",('FUENTE NO BORRAR'!F398),""))</f>
        <v>3978.8</v>
      </c>
      <c r="G380" s="6">
        <f>IF('FUENTE NO BORRAR'!G398="","",IF('FUENTE NO BORRAR'!$A398&lt;&gt;"Resultado total",('FUENTE NO BORRAR'!G398),""))</f>
        <v>3978.8</v>
      </c>
      <c r="H380" s="6">
        <f>IF('FUENTE NO BORRAR'!H398="","",IF('FUENTE NO BORRAR'!$A398&lt;&gt;"Resultado total",('FUENTE NO BORRAR'!H398),""))</f>
        <v>3978.8</v>
      </c>
      <c r="I380" s="6">
        <f>IF('FUENTE NO BORRAR'!I398="","",IF('FUENTE NO BORRAR'!$A398&lt;&gt;"Resultado total",('FUENTE NO BORRAR'!I398),""))</f>
        <v>0</v>
      </c>
    </row>
    <row r="381" spans="1:9" x14ac:dyDescent="0.2">
      <c r="A381" s="5" t="str">
        <f>IF('FUENTE NO BORRAR'!A399="","",(IF('FUENTE NO BORRAR'!A399&lt;&gt;"Resultado total",'FUENTE NO BORRAR'!A399,"")))</f>
        <v/>
      </c>
      <c r="B381" s="5" t="str">
        <f>IF('FUENTE NO BORRAR'!B399="","",'FUENTE NO BORRAR'!B399)</f>
        <v/>
      </c>
      <c r="C381" s="5" t="str">
        <f>IF('FUENTE NO BORRAR'!C399="","",'FUENTE NO BORRAR'!C399)</f>
        <v/>
      </c>
      <c r="D381" s="5" t="str">
        <f>IF('FUENTE NO BORRAR'!D399="","",'FUENTE NO BORRAR'!D399)</f>
        <v/>
      </c>
      <c r="E381" s="5" t="str">
        <f>IF('FUENTE NO BORRAR'!E399="","",'FUENTE NO BORRAR'!E399)</f>
        <v/>
      </c>
      <c r="F381" s="6">
        <f>IF('FUENTE NO BORRAR'!F399="","",IF('FUENTE NO BORRAR'!$A399&lt;&gt;"Resultado total",('FUENTE NO BORRAR'!F399),""))</f>
        <v>1485.09</v>
      </c>
      <c r="G381" s="6">
        <f>IF('FUENTE NO BORRAR'!G399="","",IF('FUENTE NO BORRAR'!$A399&lt;&gt;"Resultado total",('FUENTE NO BORRAR'!G399),""))</f>
        <v>1485.09</v>
      </c>
      <c r="H381" s="6">
        <f>IF('FUENTE NO BORRAR'!H399="","",IF('FUENTE NO BORRAR'!$A399&lt;&gt;"Resultado total",('FUENTE NO BORRAR'!H399),""))</f>
        <v>1223.29</v>
      </c>
      <c r="I381" s="6">
        <f>IF('FUENTE NO BORRAR'!I399="","",IF('FUENTE NO BORRAR'!$A399&lt;&gt;"Resultado total",('FUENTE NO BORRAR'!I399),""))</f>
        <v>0</v>
      </c>
    </row>
    <row r="382" spans="1:9" x14ac:dyDescent="0.2">
      <c r="A382" s="5" t="str">
        <f>IF('FUENTE NO BORRAR'!A400="","",(IF('FUENTE NO BORRAR'!A400&lt;&gt;"Resultado total",'FUENTE NO BORRAR'!A400,"")))</f>
        <v/>
      </c>
      <c r="B382" s="5" t="str">
        <f>IF('FUENTE NO BORRAR'!B400="","",'FUENTE NO BORRAR'!B400)</f>
        <v/>
      </c>
      <c r="C382" s="5" t="str">
        <f>IF('FUENTE NO BORRAR'!C400="","",'FUENTE NO BORRAR'!C400)</f>
        <v/>
      </c>
      <c r="D382" s="5" t="str">
        <f>IF('FUENTE NO BORRAR'!D400="","",'FUENTE NO BORRAR'!D400)</f>
        <v/>
      </c>
      <c r="E382" s="5" t="str">
        <f>IF('FUENTE NO BORRAR'!E400="","",'FUENTE NO BORRAR'!E400)</f>
        <v/>
      </c>
      <c r="F382" s="6">
        <f>IF('FUENTE NO BORRAR'!F400="","",IF('FUENTE NO BORRAR'!$A400&lt;&gt;"Resultado total",('FUENTE NO BORRAR'!F400),""))</f>
        <v>2091.4699999999998</v>
      </c>
      <c r="G382" s="6">
        <f>IF('FUENTE NO BORRAR'!G400="","",IF('FUENTE NO BORRAR'!$A400&lt;&gt;"Resultado total",('FUENTE NO BORRAR'!G400),""))</f>
        <v>2091.4699999999998</v>
      </c>
      <c r="H382" s="6">
        <f>IF('FUENTE NO BORRAR'!H400="","",IF('FUENTE NO BORRAR'!$A400&lt;&gt;"Resultado total",('FUENTE NO BORRAR'!H400),""))</f>
        <v>1932.47</v>
      </c>
      <c r="I382" s="6">
        <f>IF('FUENTE NO BORRAR'!I400="","",IF('FUENTE NO BORRAR'!$A400&lt;&gt;"Resultado total",('FUENTE NO BORRAR'!I400),""))</f>
        <v>0</v>
      </c>
    </row>
    <row r="383" spans="1:9" x14ac:dyDescent="0.2">
      <c r="A383" s="5" t="str">
        <f>IF('FUENTE NO BORRAR'!A401="","",(IF('FUENTE NO BORRAR'!A401&lt;&gt;"Resultado total",'FUENTE NO BORRAR'!A401,"")))</f>
        <v/>
      </c>
      <c r="B383" s="5" t="str">
        <f>IF('FUENTE NO BORRAR'!B401="","",'FUENTE NO BORRAR'!B401)</f>
        <v/>
      </c>
      <c r="C383" s="5" t="str">
        <f>IF('FUENTE NO BORRAR'!C401="","",'FUENTE NO BORRAR'!C401)</f>
        <v/>
      </c>
      <c r="D383" s="5" t="str">
        <f>IF('FUENTE NO BORRAR'!D401="","",'FUENTE NO BORRAR'!D401)</f>
        <v/>
      </c>
      <c r="E383" s="5" t="str">
        <f>IF('FUENTE NO BORRAR'!E401="","",'FUENTE NO BORRAR'!E401)</f>
        <v/>
      </c>
      <c r="F383" s="6">
        <f>IF('FUENTE NO BORRAR'!F401="","",IF('FUENTE NO BORRAR'!$A401&lt;&gt;"Resultado total",('FUENTE NO BORRAR'!F401),""))</f>
        <v>727.46</v>
      </c>
      <c r="G383" s="6">
        <f>IF('FUENTE NO BORRAR'!G401="","",IF('FUENTE NO BORRAR'!$A401&lt;&gt;"Resultado total",('FUENTE NO BORRAR'!G401),""))</f>
        <v>727.46</v>
      </c>
      <c r="H383" s="6">
        <f>IF('FUENTE NO BORRAR'!H401="","",IF('FUENTE NO BORRAR'!$A401&lt;&gt;"Resultado total",('FUENTE NO BORRAR'!H401),""))</f>
        <v>727.46</v>
      </c>
      <c r="I383" s="6">
        <f>IF('FUENTE NO BORRAR'!I401="","",IF('FUENTE NO BORRAR'!$A401&lt;&gt;"Resultado total",('FUENTE NO BORRAR'!I401),""))</f>
        <v>0</v>
      </c>
    </row>
    <row r="384" spans="1:9" x14ac:dyDescent="0.2">
      <c r="A384" s="5" t="str">
        <f>IF('FUENTE NO BORRAR'!A402="","",(IF('FUENTE NO BORRAR'!A402&lt;&gt;"Resultado total",'FUENTE NO BORRAR'!A402,"")))</f>
        <v/>
      </c>
      <c r="B384" s="5" t="str">
        <f>IF('FUENTE NO BORRAR'!B402="","",'FUENTE NO BORRAR'!B402)</f>
        <v/>
      </c>
      <c r="C384" s="5" t="str">
        <f>IF('FUENTE NO BORRAR'!C402="","",'FUENTE NO BORRAR'!C402)</f>
        <v/>
      </c>
      <c r="D384" s="5" t="str">
        <f>IF('FUENTE NO BORRAR'!D402="","",'FUENTE NO BORRAR'!D402)</f>
        <v/>
      </c>
      <c r="E384" s="5" t="str">
        <f>IF('FUENTE NO BORRAR'!E402="","",'FUENTE NO BORRAR'!E402)</f>
        <v/>
      </c>
      <c r="F384" s="6">
        <f>IF('FUENTE NO BORRAR'!F402="","",IF('FUENTE NO BORRAR'!$A402&lt;&gt;"Resultado total",('FUENTE NO BORRAR'!F402),""))</f>
        <v>1954.44</v>
      </c>
      <c r="G384" s="6">
        <f>IF('FUENTE NO BORRAR'!G402="","",IF('FUENTE NO BORRAR'!$A402&lt;&gt;"Resultado total",('FUENTE NO BORRAR'!G402),""))</f>
        <v>1954.44</v>
      </c>
      <c r="H384" s="6">
        <f>IF('FUENTE NO BORRAR'!H402="","",IF('FUENTE NO BORRAR'!$A402&lt;&gt;"Resultado total",('FUENTE NO BORRAR'!H402),""))</f>
        <v>1954.44</v>
      </c>
      <c r="I384" s="6">
        <f>IF('FUENTE NO BORRAR'!I402="","",IF('FUENTE NO BORRAR'!$A402&lt;&gt;"Resultado total",('FUENTE NO BORRAR'!I402),""))</f>
        <v>0</v>
      </c>
    </row>
    <row r="385" spans="1:9" x14ac:dyDescent="0.2">
      <c r="A385" s="5" t="str">
        <f>IF('FUENTE NO BORRAR'!A403="","",(IF('FUENTE NO BORRAR'!A403&lt;&gt;"Resultado total",'FUENTE NO BORRAR'!A403,"")))</f>
        <v/>
      </c>
      <c r="B385" s="5" t="str">
        <f>IF('FUENTE NO BORRAR'!B403="","",'FUENTE NO BORRAR'!B403)</f>
        <v/>
      </c>
      <c r="C385" s="5" t="str">
        <f>IF('FUENTE NO BORRAR'!C403="","",'FUENTE NO BORRAR'!C403)</f>
        <v/>
      </c>
      <c r="D385" s="5" t="str">
        <f>IF('FUENTE NO BORRAR'!D403="","",'FUENTE NO BORRAR'!D403)</f>
        <v/>
      </c>
      <c r="E385" s="5" t="str">
        <f>IF('FUENTE NO BORRAR'!E403="","",'FUENTE NO BORRAR'!E403)</f>
        <v/>
      </c>
      <c r="F385" s="6">
        <f>IF('FUENTE NO BORRAR'!F403="","",IF('FUENTE NO BORRAR'!$A403&lt;&gt;"Resultado total",('FUENTE NO BORRAR'!F403),""))</f>
        <v>0</v>
      </c>
      <c r="G385" s="6">
        <f>IF('FUENTE NO BORRAR'!G403="","",IF('FUENTE NO BORRAR'!$A403&lt;&gt;"Resultado total",('FUENTE NO BORRAR'!G403),""))</f>
        <v>0</v>
      </c>
      <c r="H385" s="6">
        <f>IF('FUENTE NO BORRAR'!H403="","",IF('FUENTE NO BORRAR'!$A403&lt;&gt;"Resultado total",('FUENTE NO BORRAR'!H403),""))</f>
        <v>0</v>
      </c>
      <c r="I385" s="6">
        <f>IF('FUENTE NO BORRAR'!I403="","",IF('FUENTE NO BORRAR'!$A403&lt;&gt;"Resultado total",('FUENTE NO BORRAR'!I403),""))</f>
        <v>0</v>
      </c>
    </row>
    <row r="386" spans="1:9" x14ac:dyDescent="0.2">
      <c r="A386" s="5" t="str">
        <f>IF('FUENTE NO BORRAR'!A404="","",(IF('FUENTE NO BORRAR'!A404&lt;&gt;"Resultado total",'FUENTE NO BORRAR'!A404,"")))</f>
        <v/>
      </c>
      <c r="B386" s="5" t="str">
        <f>IF('FUENTE NO BORRAR'!B404="","",'FUENTE NO BORRAR'!B404)</f>
        <v/>
      </c>
      <c r="C386" s="5" t="str">
        <f>IF('FUENTE NO BORRAR'!C404="","",'FUENTE NO BORRAR'!C404)</f>
        <v/>
      </c>
      <c r="D386" s="5" t="str">
        <f>IF('FUENTE NO BORRAR'!D404="","",'FUENTE NO BORRAR'!D404)</f>
        <v/>
      </c>
      <c r="E386" s="5" t="str">
        <f>IF('FUENTE NO BORRAR'!E404="","",'FUENTE NO BORRAR'!E404)</f>
        <v/>
      </c>
      <c r="F386" s="6">
        <f>IF('FUENTE NO BORRAR'!F404="","",IF('FUENTE NO BORRAR'!$A404&lt;&gt;"Resultado total",('FUENTE NO BORRAR'!F404),""))</f>
        <v>139</v>
      </c>
      <c r="G386" s="6">
        <f>IF('FUENTE NO BORRAR'!G404="","",IF('FUENTE NO BORRAR'!$A404&lt;&gt;"Resultado total",('FUENTE NO BORRAR'!G404),""))</f>
        <v>139</v>
      </c>
      <c r="H386" s="6">
        <f>IF('FUENTE NO BORRAR'!H404="","",IF('FUENTE NO BORRAR'!$A404&lt;&gt;"Resultado total",('FUENTE NO BORRAR'!H404),""))</f>
        <v>139</v>
      </c>
      <c r="I386" s="6">
        <f>IF('FUENTE NO BORRAR'!I404="","",IF('FUENTE NO BORRAR'!$A404&lt;&gt;"Resultado total",('FUENTE NO BORRAR'!I404),""))</f>
        <v>0</v>
      </c>
    </row>
    <row r="387" spans="1:9" x14ac:dyDescent="0.2">
      <c r="A387" s="5" t="str">
        <f>IF('FUENTE NO BORRAR'!A405="","",(IF('FUENTE NO BORRAR'!A405&lt;&gt;"Resultado total",'FUENTE NO BORRAR'!A405,"")))</f>
        <v/>
      </c>
      <c r="B387" s="5" t="str">
        <f>IF('FUENTE NO BORRAR'!B405="","",'FUENTE NO BORRAR'!B405)</f>
        <v/>
      </c>
      <c r="C387" s="5" t="str">
        <f>IF('FUENTE NO BORRAR'!C405="","",'FUENTE NO BORRAR'!C405)</f>
        <v/>
      </c>
      <c r="D387" s="5" t="str">
        <f>IF('FUENTE NO BORRAR'!D405="","",'FUENTE NO BORRAR'!D405)</f>
        <v/>
      </c>
      <c r="E387" s="5" t="str">
        <f>IF('FUENTE NO BORRAR'!E405="","",'FUENTE NO BORRAR'!E405)</f>
        <v/>
      </c>
      <c r="F387" s="6">
        <f>IF('FUENTE NO BORRAR'!F405="","",IF('FUENTE NO BORRAR'!$A405&lt;&gt;"Resultado total",('FUENTE NO BORRAR'!F405),""))</f>
        <v>114</v>
      </c>
      <c r="G387" s="6">
        <f>IF('FUENTE NO BORRAR'!G405="","",IF('FUENTE NO BORRAR'!$A405&lt;&gt;"Resultado total",('FUENTE NO BORRAR'!G405),""))</f>
        <v>114</v>
      </c>
      <c r="H387" s="6">
        <f>IF('FUENTE NO BORRAR'!H405="","",IF('FUENTE NO BORRAR'!$A405&lt;&gt;"Resultado total",('FUENTE NO BORRAR'!H405),""))</f>
        <v>0</v>
      </c>
      <c r="I387" s="6">
        <f>IF('FUENTE NO BORRAR'!I405="","",IF('FUENTE NO BORRAR'!$A405&lt;&gt;"Resultado total",('FUENTE NO BORRAR'!I405),""))</f>
        <v>0</v>
      </c>
    </row>
    <row r="388" spans="1:9" x14ac:dyDescent="0.2">
      <c r="A388" s="5" t="str">
        <f>IF('FUENTE NO BORRAR'!A406="","",(IF('FUENTE NO BORRAR'!A406&lt;&gt;"Resultado total",'FUENTE NO BORRAR'!A406,"")))</f>
        <v/>
      </c>
      <c r="B388" s="5" t="str">
        <f>IF('FUENTE NO BORRAR'!B406="","",'FUENTE NO BORRAR'!B406)</f>
        <v/>
      </c>
      <c r="C388" s="5" t="str">
        <f>IF('FUENTE NO BORRAR'!C406="","",'FUENTE NO BORRAR'!C406)</f>
        <v/>
      </c>
      <c r="D388" s="5" t="str">
        <f>IF('FUENTE NO BORRAR'!D406="","",'FUENTE NO BORRAR'!D406)</f>
        <v/>
      </c>
      <c r="E388" s="5" t="str">
        <f>IF('FUENTE NO BORRAR'!E406="","",'FUENTE NO BORRAR'!E406)</f>
        <v/>
      </c>
      <c r="F388" s="6">
        <f>IF('FUENTE NO BORRAR'!F406="","",IF('FUENTE NO BORRAR'!$A406&lt;&gt;"Resultado total",('FUENTE NO BORRAR'!F406),""))</f>
        <v>36</v>
      </c>
      <c r="G388" s="6">
        <f>IF('FUENTE NO BORRAR'!G406="","",IF('FUENTE NO BORRAR'!$A406&lt;&gt;"Resultado total",('FUENTE NO BORRAR'!G406),""))</f>
        <v>36</v>
      </c>
      <c r="H388" s="6">
        <f>IF('FUENTE NO BORRAR'!H406="","",IF('FUENTE NO BORRAR'!$A406&lt;&gt;"Resultado total",('FUENTE NO BORRAR'!H406),""))</f>
        <v>36</v>
      </c>
      <c r="I388" s="6">
        <f>IF('FUENTE NO BORRAR'!I406="","",IF('FUENTE NO BORRAR'!$A406&lt;&gt;"Resultado total",('FUENTE NO BORRAR'!I406),""))</f>
        <v>0</v>
      </c>
    </row>
    <row r="389" spans="1:9" x14ac:dyDescent="0.2">
      <c r="A389" s="5" t="str">
        <f>IF('FUENTE NO BORRAR'!A407="","",(IF('FUENTE NO BORRAR'!A407&lt;&gt;"Resultado total",'FUENTE NO BORRAR'!A407,"")))</f>
        <v/>
      </c>
      <c r="B389" s="5" t="str">
        <f>IF('FUENTE NO BORRAR'!B407="","",'FUENTE NO BORRAR'!B407)</f>
        <v/>
      </c>
      <c r="C389" s="5" t="str">
        <f>IF('FUENTE NO BORRAR'!C407="","",'FUENTE NO BORRAR'!C407)</f>
        <v/>
      </c>
      <c r="D389" s="5" t="str">
        <f>IF('FUENTE NO BORRAR'!D407="","",'FUENTE NO BORRAR'!D407)</f>
        <v/>
      </c>
      <c r="E389" s="5" t="str">
        <f>IF('FUENTE NO BORRAR'!E407="","",'FUENTE NO BORRAR'!E407)</f>
        <v/>
      </c>
      <c r="F389" s="6">
        <f>IF('FUENTE NO BORRAR'!F407="","",IF('FUENTE NO BORRAR'!$A407&lt;&gt;"Resultado total",('FUENTE NO BORRAR'!F407),""))</f>
        <v>0</v>
      </c>
      <c r="G389" s="6">
        <f>IF('FUENTE NO BORRAR'!G407="","",IF('FUENTE NO BORRAR'!$A407&lt;&gt;"Resultado total",('FUENTE NO BORRAR'!G407),""))</f>
        <v>0</v>
      </c>
      <c r="H389" s="6">
        <f>IF('FUENTE NO BORRAR'!H407="","",IF('FUENTE NO BORRAR'!$A407&lt;&gt;"Resultado total",('FUENTE NO BORRAR'!H407),""))</f>
        <v>0</v>
      </c>
      <c r="I389" s="6">
        <f>IF('FUENTE NO BORRAR'!I407="","",IF('FUENTE NO BORRAR'!$A407&lt;&gt;"Resultado total",('FUENTE NO BORRAR'!I407),""))</f>
        <v>0</v>
      </c>
    </row>
    <row r="390" spans="1:9" x14ac:dyDescent="0.2">
      <c r="A390" s="5" t="str">
        <f>IF('FUENTE NO BORRAR'!A408="","",(IF('FUENTE NO BORRAR'!A408&lt;&gt;"Resultado total",'FUENTE NO BORRAR'!A408,"")))</f>
        <v/>
      </c>
      <c r="B390" s="5" t="str">
        <f>IF('FUENTE NO BORRAR'!B408="","",'FUENTE NO BORRAR'!B408)</f>
        <v/>
      </c>
      <c r="C390" s="5" t="str">
        <f>IF('FUENTE NO BORRAR'!C408="","",'FUENTE NO BORRAR'!C408)</f>
        <v/>
      </c>
      <c r="D390" s="5" t="str">
        <f>IF('FUENTE NO BORRAR'!D408="","",'FUENTE NO BORRAR'!D408)</f>
        <v/>
      </c>
      <c r="E390" s="5" t="str">
        <f>IF('FUENTE NO BORRAR'!E408="","",'FUENTE NO BORRAR'!E408)</f>
        <v/>
      </c>
      <c r="F390" s="6">
        <f>IF('FUENTE NO BORRAR'!F408="","",IF('FUENTE NO BORRAR'!$A408&lt;&gt;"Resultado total",('FUENTE NO BORRAR'!F408),""))</f>
        <v>1344</v>
      </c>
      <c r="G390" s="6">
        <f>IF('FUENTE NO BORRAR'!G408="","",IF('FUENTE NO BORRAR'!$A408&lt;&gt;"Resultado total",('FUENTE NO BORRAR'!G408),""))</f>
        <v>1344</v>
      </c>
      <c r="H390" s="6">
        <f>IF('FUENTE NO BORRAR'!H408="","",IF('FUENTE NO BORRAR'!$A408&lt;&gt;"Resultado total",('FUENTE NO BORRAR'!H408),""))</f>
        <v>1344</v>
      </c>
      <c r="I390" s="6">
        <f>IF('FUENTE NO BORRAR'!I408="","",IF('FUENTE NO BORRAR'!$A408&lt;&gt;"Resultado total",('FUENTE NO BORRAR'!I408),""))</f>
        <v>0</v>
      </c>
    </row>
    <row r="391" spans="1:9" x14ac:dyDescent="0.2">
      <c r="A391" s="5" t="str">
        <f>IF('FUENTE NO BORRAR'!A409="","",(IF('FUENTE NO BORRAR'!A409&lt;&gt;"Resultado total",'FUENTE NO BORRAR'!A409,"")))</f>
        <v/>
      </c>
      <c r="B391" s="5" t="str">
        <f>IF('FUENTE NO BORRAR'!B409="","",'FUENTE NO BORRAR'!B409)</f>
        <v/>
      </c>
      <c r="C391" s="5" t="str">
        <f>IF('FUENTE NO BORRAR'!C409="","",'FUENTE NO BORRAR'!C409)</f>
        <v/>
      </c>
      <c r="D391" s="5" t="str">
        <f>IF('FUENTE NO BORRAR'!D409="","",'FUENTE NO BORRAR'!D409)</f>
        <v/>
      </c>
      <c r="E391" s="5" t="str">
        <f>IF('FUENTE NO BORRAR'!E409="","",'FUENTE NO BORRAR'!E409)</f>
        <v/>
      </c>
      <c r="F391" s="6">
        <f>IF('FUENTE NO BORRAR'!F409="","",IF('FUENTE NO BORRAR'!$A409&lt;&gt;"Resultado total",('FUENTE NO BORRAR'!F409),""))</f>
        <v>408</v>
      </c>
      <c r="G391" s="6">
        <f>IF('FUENTE NO BORRAR'!G409="","",IF('FUENTE NO BORRAR'!$A409&lt;&gt;"Resultado total",('FUENTE NO BORRAR'!G409),""))</f>
        <v>408</v>
      </c>
      <c r="H391" s="6">
        <f>IF('FUENTE NO BORRAR'!H409="","",IF('FUENTE NO BORRAR'!$A409&lt;&gt;"Resultado total",('FUENTE NO BORRAR'!H409),""))</f>
        <v>408</v>
      </c>
      <c r="I391" s="6">
        <f>IF('FUENTE NO BORRAR'!I409="","",IF('FUENTE NO BORRAR'!$A409&lt;&gt;"Resultado total",('FUENTE NO BORRAR'!I409),""))</f>
        <v>0</v>
      </c>
    </row>
    <row r="392" spans="1:9" x14ac:dyDescent="0.2">
      <c r="A392" s="5" t="str">
        <f>IF('FUENTE NO BORRAR'!A410="","",(IF('FUENTE NO BORRAR'!A410&lt;&gt;"Resultado total",'FUENTE NO BORRAR'!A410,"")))</f>
        <v/>
      </c>
      <c r="B392" s="5" t="str">
        <f>IF('FUENTE NO BORRAR'!B410="","",'FUENTE NO BORRAR'!B410)</f>
        <v/>
      </c>
      <c r="C392" s="5" t="str">
        <f>IF('FUENTE NO BORRAR'!C410="","",'FUENTE NO BORRAR'!C410)</f>
        <v/>
      </c>
      <c r="D392" s="5" t="str">
        <f>IF('FUENTE NO BORRAR'!D410="","",'FUENTE NO BORRAR'!D410)</f>
        <v/>
      </c>
      <c r="E392" s="5" t="str">
        <f>IF('FUENTE NO BORRAR'!E410="","",'FUENTE NO BORRAR'!E410)</f>
        <v/>
      </c>
      <c r="F392" s="6">
        <f>IF('FUENTE NO BORRAR'!F410="","",IF('FUENTE NO BORRAR'!$A410&lt;&gt;"Resultado total",('FUENTE NO BORRAR'!F410),""))</f>
        <v>81566.47</v>
      </c>
      <c r="G392" s="6">
        <f>IF('FUENTE NO BORRAR'!G410="","",IF('FUENTE NO BORRAR'!$A410&lt;&gt;"Resultado total",('FUENTE NO BORRAR'!G410),""))</f>
        <v>81566.47</v>
      </c>
      <c r="H392" s="6">
        <f>IF('FUENTE NO BORRAR'!H410="","",IF('FUENTE NO BORRAR'!$A410&lt;&gt;"Resultado total",('FUENTE NO BORRAR'!H410),""))</f>
        <v>79534.47</v>
      </c>
      <c r="I392" s="6">
        <f>IF('FUENTE NO BORRAR'!I410="","",IF('FUENTE NO BORRAR'!$A410&lt;&gt;"Resultado total",('FUENTE NO BORRAR'!I410),""))</f>
        <v>0</v>
      </c>
    </row>
    <row r="393" spans="1:9" x14ac:dyDescent="0.2">
      <c r="A393" s="5" t="str">
        <f>IF('FUENTE NO BORRAR'!A411="","",(IF('FUENTE NO BORRAR'!A411&lt;&gt;"Resultado total",'FUENTE NO BORRAR'!A411,"")))</f>
        <v/>
      </c>
      <c r="B393" s="5" t="str">
        <f>IF('FUENTE NO BORRAR'!B411="","",'FUENTE NO BORRAR'!B411)</f>
        <v/>
      </c>
      <c r="C393" s="5" t="str">
        <f>IF('FUENTE NO BORRAR'!C411="","",'FUENTE NO BORRAR'!C411)</f>
        <v/>
      </c>
      <c r="D393" s="5" t="str">
        <f>IF('FUENTE NO BORRAR'!D411="","",'FUENTE NO BORRAR'!D411)</f>
        <v/>
      </c>
      <c r="E393" s="5" t="str">
        <f>IF('FUENTE NO BORRAR'!E411="","",'FUENTE NO BORRAR'!E411)</f>
        <v/>
      </c>
      <c r="F393" s="6">
        <f>IF('FUENTE NO BORRAR'!F411="","",IF('FUENTE NO BORRAR'!$A411&lt;&gt;"Resultado total",('FUENTE NO BORRAR'!F411),""))</f>
        <v>8713</v>
      </c>
      <c r="G393" s="6">
        <f>IF('FUENTE NO BORRAR'!G411="","",IF('FUENTE NO BORRAR'!$A411&lt;&gt;"Resultado total",('FUENTE NO BORRAR'!G411),""))</f>
        <v>8713</v>
      </c>
      <c r="H393" s="6">
        <f>IF('FUENTE NO BORRAR'!H411="","",IF('FUENTE NO BORRAR'!$A411&lt;&gt;"Resultado total",('FUENTE NO BORRAR'!H411),""))</f>
        <v>8713</v>
      </c>
      <c r="I393" s="6">
        <f>IF('FUENTE NO BORRAR'!I411="","",IF('FUENTE NO BORRAR'!$A411&lt;&gt;"Resultado total",('FUENTE NO BORRAR'!I411),""))</f>
        <v>0</v>
      </c>
    </row>
    <row r="394" spans="1:9" x14ac:dyDescent="0.2">
      <c r="A394" s="5" t="str">
        <f>IF('FUENTE NO BORRAR'!A412="","",(IF('FUENTE NO BORRAR'!A412&lt;&gt;"Resultado total",'FUENTE NO BORRAR'!A412,"")))</f>
        <v/>
      </c>
      <c r="B394" s="5" t="str">
        <f>IF('FUENTE NO BORRAR'!B412="","",'FUENTE NO BORRAR'!B412)</f>
        <v/>
      </c>
      <c r="C394" s="5" t="str">
        <f>IF('FUENTE NO BORRAR'!C412="","",'FUENTE NO BORRAR'!C412)</f>
        <v/>
      </c>
      <c r="D394" s="5" t="str">
        <f>IF('FUENTE NO BORRAR'!D412="","",'FUENTE NO BORRAR'!D412)</f>
        <v/>
      </c>
      <c r="E394" s="5" t="str">
        <f>IF('FUENTE NO BORRAR'!E412="","",'FUENTE NO BORRAR'!E412)</f>
        <v/>
      </c>
      <c r="F394" s="6">
        <f>IF('FUENTE NO BORRAR'!F412="","",IF('FUENTE NO BORRAR'!$A412&lt;&gt;"Resultado total",('FUENTE NO BORRAR'!F412),""))</f>
        <v>59888.97</v>
      </c>
      <c r="G394" s="6">
        <f>IF('FUENTE NO BORRAR'!G412="","",IF('FUENTE NO BORRAR'!$A412&lt;&gt;"Resultado total",('FUENTE NO BORRAR'!G412),""))</f>
        <v>59888.97</v>
      </c>
      <c r="H394" s="6">
        <f>IF('FUENTE NO BORRAR'!H412="","",IF('FUENTE NO BORRAR'!$A412&lt;&gt;"Resultado total",('FUENTE NO BORRAR'!H412),""))</f>
        <v>59888.97</v>
      </c>
      <c r="I394" s="6">
        <f>IF('FUENTE NO BORRAR'!I412="","",IF('FUENTE NO BORRAR'!$A412&lt;&gt;"Resultado total",('FUENTE NO BORRAR'!I412),""))</f>
        <v>0</v>
      </c>
    </row>
    <row r="395" spans="1:9" x14ac:dyDescent="0.2">
      <c r="A395" s="5" t="str">
        <f>IF('FUENTE NO BORRAR'!A413="","",(IF('FUENTE NO BORRAR'!A413&lt;&gt;"Resultado total",'FUENTE NO BORRAR'!A413,"")))</f>
        <v/>
      </c>
      <c r="B395" s="5" t="str">
        <f>IF('FUENTE NO BORRAR'!B413="","",'FUENTE NO BORRAR'!B413)</f>
        <v/>
      </c>
      <c r="C395" s="5" t="str">
        <f>IF('FUENTE NO BORRAR'!C413="","",'FUENTE NO BORRAR'!C413)</f>
        <v/>
      </c>
      <c r="D395" s="5" t="str">
        <f>IF('FUENTE NO BORRAR'!D413="","",'FUENTE NO BORRAR'!D413)</f>
        <v/>
      </c>
      <c r="E395" s="5" t="str">
        <f>IF('FUENTE NO BORRAR'!E413="","",'FUENTE NO BORRAR'!E413)</f>
        <v/>
      </c>
      <c r="F395" s="6">
        <f>IF('FUENTE NO BORRAR'!F413="","",IF('FUENTE NO BORRAR'!$A413&lt;&gt;"Resultado total",('FUENTE NO BORRAR'!F413),""))</f>
        <v>0</v>
      </c>
      <c r="G395" s="6">
        <f>IF('FUENTE NO BORRAR'!G413="","",IF('FUENTE NO BORRAR'!$A413&lt;&gt;"Resultado total",('FUENTE NO BORRAR'!G413),""))</f>
        <v>0</v>
      </c>
      <c r="H395" s="6">
        <f>IF('FUENTE NO BORRAR'!H413="","",IF('FUENTE NO BORRAR'!$A413&lt;&gt;"Resultado total",('FUENTE NO BORRAR'!H413),""))</f>
        <v>0</v>
      </c>
      <c r="I395" s="6">
        <f>IF('FUENTE NO BORRAR'!I413="","",IF('FUENTE NO BORRAR'!$A413&lt;&gt;"Resultado total",('FUENTE NO BORRAR'!I413),""))</f>
        <v>0</v>
      </c>
    </row>
    <row r="396" spans="1:9" x14ac:dyDescent="0.2">
      <c r="A396" s="5" t="str">
        <f>IF('FUENTE NO BORRAR'!A414="","",(IF('FUENTE NO BORRAR'!A414&lt;&gt;"Resultado total",'FUENTE NO BORRAR'!A414,"")))</f>
        <v/>
      </c>
      <c r="B396" s="5" t="str">
        <f>IF('FUENTE NO BORRAR'!B414="","",'FUENTE NO BORRAR'!B414)</f>
        <v/>
      </c>
      <c r="C396" s="5" t="str">
        <f>IF('FUENTE NO BORRAR'!C414="","",'FUENTE NO BORRAR'!C414)</f>
        <v/>
      </c>
      <c r="D396" s="5" t="str">
        <f>IF('FUENTE NO BORRAR'!D414="","",'FUENTE NO BORRAR'!D414)</f>
        <v/>
      </c>
      <c r="E396" s="5" t="str">
        <f>IF('FUENTE NO BORRAR'!E414="","",'FUENTE NO BORRAR'!E414)</f>
        <v/>
      </c>
      <c r="F396" s="6">
        <f>IF('FUENTE NO BORRAR'!F414="","",IF('FUENTE NO BORRAR'!$A414&lt;&gt;"Resultado total",('FUENTE NO BORRAR'!F414),""))</f>
        <v>1428</v>
      </c>
      <c r="G396" s="6">
        <f>IF('FUENTE NO BORRAR'!G414="","",IF('FUENTE NO BORRAR'!$A414&lt;&gt;"Resultado total",('FUENTE NO BORRAR'!G414),""))</f>
        <v>1428</v>
      </c>
      <c r="H396" s="6">
        <f>IF('FUENTE NO BORRAR'!H414="","",IF('FUENTE NO BORRAR'!$A414&lt;&gt;"Resultado total",('FUENTE NO BORRAR'!H414),""))</f>
        <v>1428</v>
      </c>
      <c r="I396" s="6">
        <f>IF('FUENTE NO BORRAR'!I414="","",IF('FUENTE NO BORRAR'!$A414&lt;&gt;"Resultado total",('FUENTE NO BORRAR'!I414),""))</f>
        <v>0</v>
      </c>
    </row>
    <row r="397" spans="1:9" x14ac:dyDescent="0.2">
      <c r="A397" s="5" t="str">
        <f>IF('FUENTE NO BORRAR'!A415="","",(IF('FUENTE NO BORRAR'!A415&lt;&gt;"Resultado total",'FUENTE NO BORRAR'!A415,"")))</f>
        <v/>
      </c>
      <c r="B397" s="5" t="str">
        <f>IF('FUENTE NO BORRAR'!B415="","",'FUENTE NO BORRAR'!B415)</f>
        <v/>
      </c>
      <c r="C397" s="5" t="str">
        <f>IF('FUENTE NO BORRAR'!C415="","",'FUENTE NO BORRAR'!C415)</f>
        <v/>
      </c>
      <c r="D397" s="5" t="str">
        <f>IF('FUENTE NO BORRAR'!D415="","",'FUENTE NO BORRAR'!D415)</f>
        <v/>
      </c>
      <c r="E397" s="5" t="str">
        <f>IF('FUENTE NO BORRAR'!E415="","",'FUENTE NO BORRAR'!E415)</f>
        <v/>
      </c>
      <c r="F397" s="6">
        <f>IF('FUENTE NO BORRAR'!F415="","",IF('FUENTE NO BORRAR'!$A415&lt;&gt;"Resultado total",('FUENTE NO BORRAR'!F415),""))</f>
        <v>0</v>
      </c>
      <c r="G397" s="6">
        <f>IF('FUENTE NO BORRAR'!G415="","",IF('FUENTE NO BORRAR'!$A415&lt;&gt;"Resultado total",('FUENTE NO BORRAR'!G415),""))</f>
        <v>0</v>
      </c>
      <c r="H397" s="6">
        <f>IF('FUENTE NO BORRAR'!H415="","",IF('FUENTE NO BORRAR'!$A415&lt;&gt;"Resultado total",('FUENTE NO BORRAR'!H415),""))</f>
        <v>0</v>
      </c>
      <c r="I397" s="6">
        <f>IF('FUENTE NO BORRAR'!I415="","",IF('FUENTE NO BORRAR'!$A415&lt;&gt;"Resultado total",('FUENTE NO BORRAR'!I415),""))</f>
        <v>0</v>
      </c>
    </row>
    <row r="398" spans="1:9" x14ac:dyDescent="0.2">
      <c r="A398" s="5" t="str">
        <f>IF('FUENTE NO BORRAR'!A416="","",(IF('FUENTE NO BORRAR'!A416&lt;&gt;"Resultado total",'FUENTE NO BORRAR'!A416,"")))</f>
        <v/>
      </c>
      <c r="B398" s="5" t="str">
        <f>IF('FUENTE NO BORRAR'!B416="","",'FUENTE NO BORRAR'!B416)</f>
        <v/>
      </c>
      <c r="C398" s="5" t="str">
        <f>IF('FUENTE NO BORRAR'!C416="","",'FUENTE NO BORRAR'!C416)</f>
        <v/>
      </c>
      <c r="D398" s="5" t="str">
        <f>IF('FUENTE NO BORRAR'!D416="","",'FUENTE NO BORRAR'!D416)</f>
        <v/>
      </c>
      <c r="E398" s="5" t="str">
        <f>IF('FUENTE NO BORRAR'!E416="","",'FUENTE NO BORRAR'!E416)</f>
        <v/>
      </c>
      <c r="F398" s="6">
        <f>IF('FUENTE NO BORRAR'!F416="","",IF('FUENTE NO BORRAR'!$A416&lt;&gt;"Resultado total",('FUENTE NO BORRAR'!F416),""))</f>
        <v>1195788.32</v>
      </c>
      <c r="G398" s="6">
        <f>IF('FUENTE NO BORRAR'!G416="","",IF('FUENTE NO BORRAR'!$A416&lt;&gt;"Resultado total",('FUENTE NO BORRAR'!G416),""))</f>
        <v>1195788.32</v>
      </c>
      <c r="H398" s="6">
        <f>IF('FUENTE NO BORRAR'!H416="","",IF('FUENTE NO BORRAR'!$A416&lt;&gt;"Resultado total",('FUENTE NO BORRAR'!H416),""))</f>
        <v>1118855.96</v>
      </c>
      <c r="I398" s="6">
        <f>IF('FUENTE NO BORRAR'!I416="","",IF('FUENTE NO BORRAR'!$A416&lt;&gt;"Resultado total",('FUENTE NO BORRAR'!I416),""))</f>
        <v>0</v>
      </c>
    </row>
    <row r="399" spans="1:9" x14ac:dyDescent="0.2">
      <c r="A399" s="5" t="str">
        <f>IF('FUENTE NO BORRAR'!A417="","",(IF('FUENTE NO BORRAR'!A417&lt;&gt;"Resultado total",'FUENTE NO BORRAR'!A417,"")))</f>
        <v/>
      </c>
      <c r="B399" s="5" t="str">
        <f>IF('FUENTE NO BORRAR'!B417="","",'FUENTE NO BORRAR'!B417)</f>
        <v/>
      </c>
      <c r="C399" s="5" t="str">
        <f>IF('FUENTE NO BORRAR'!C417="","",'FUENTE NO BORRAR'!C417)</f>
        <v/>
      </c>
      <c r="D399" s="5" t="str">
        <f>IF('FUENTE NO BORRAR'!D417="","",'FUENTE NO BORRAR'!D417)</f>
        <v/>
      </c>
      <c r="E399" s="5" t="str">
        <f>IF('FUENTE NO BORRAR'!E417="","",'FUENTE NO BORRAR'!E417)</f>
        <v/>
      </c>
      <c r="F399" s="6">
        <f>IF('FUENTE NO BORRAR'!F417="","",IF('FUENTE NO BORRAR'!$A417&lt;&gt;"Resultado total",('FUENTE NO BORRAR'!F417),""))</f>
        <v>3480</v>
      </c>
      <c r="G399" s="6">
        <f>IF('FUENTE NO BORRAR'!G417="","",IF('FUENTE NO BORRAR'!$A417&lt;&gt;"Resultado total",('FUENTE NO BORRAR'!G417),""))</f>
        <v>3480</v>
      </c>
      <c r="H399" s="6">
        <f>IF('FUENTE NO BORRAR'!H417="","",IF('FUENTE NO BORRAR'!$A417&lt;&gt;"Resultado total",('FUENTE NO BORRAR'!H417),""))</f>
        <v>3480</v>
      </c>
      <c r="I399" s="6">
        <f>IF('FUENTE NO BORRAR'!I417="","",IF('FUENTE NO BORRAR'!$A417&lt;&gt;"Resultado total",('FUENTE NO BORRAR'!I417),""))</f>
        <v>0</v>
      </c>
    </row>
    <row r="400" spans="1:9" x14ac:dyDescent="0.2">
      <c r="A400" s="5" t="str">
        <f>IF('FUENTE NO BORRAR'!A418="","",(IF('FUENTE NO BORRAR'!A418&lt;&gt;"Resultado total",'FUENTE NO BORRAR'!A418,"")))</f>
        <v/>
      </c>
      <c r="B400" s="5" t="str">
        <f>IF('FUENTE NO BORRAR'!B418="","",'FUENTE NO BORRAR'!B418)</f>
        <v/>
      </c>
      <c r="C400" s="5" t="str">
        <f>IF('FUENTE NO BORRAR'!C418="","",'FUENTE NO BORRAR'!C418)</f>
        <v/>
      </c>
      <c r="D400" s="5" t="str">
        <f>IF('FUENTE NO BORRAR'!D418="","",'FUENTE NO BORRAR'!D418)</f>
        <v/>
      </c>
      <c r="E400" s="5" t="str">
        <f>IF('FUENTE NO BORRAR'!E418="","",'FUENTE NO BORRAR'!E418)</f>
        <v/>
      </c>
      <c r="F400" s="6">
        <f>IF('FUENTE NO BORRAR'!F418="","",IF('FUENTE NO BORRAR'!$A418&lt;&gt;"Resultado total",('FUENTE NO BORRAR'!F418),""))</f>
        <v>48530</v>
      </c>
      <c r="G400" s="6">
        <f>IF('FUENTE NO BORRAR'!G418="","",IF('FUENTE NO BORRAR'!$A418&lt;&gt;"Resultado total",('FUENTE NO BORRAR'!G418),""))</f>
        <v>48530</v>
      </c>
      <c r="H400" s="6">
        <f>IF('FUENTE NO BORRAR'!H418="","",IF('FUENTE NO BORRAR'!$A418&lt;&gt;"Resultado total",('FUENTE NO BORRAR'!H418),""))</f>
        <v>46442</v>
      </c>
      <c r="I400" s="6">
        <f>IF('FUENTE NO BORRAR'!I418="","",IF('FUENTE NO BORRAR'!$A418&lt;&gt;"Resultado total",('FUENTE NO BORRAR'!I418),""))</f>
        <v>0</v>
      </c>
    </row>
    <row r="401" spans="1:9" x14ac:dyDescent="0.2">
      <c r="A401" s="5" t="str">
        <f>IF('FUENTE NO BORRAR'!A419="","",(IF('FUENTE NO BORRAR'!A419&lt;&gt;"Resultado total",'FUENTE NO BORRAR'!A419,"")))</f>
        <v/>
      </c>
      <c r="B401" s="5" t="str">
        <f>IF('FUENTE NO BORRAR'!B419="","",'FUENTE NO BORRAR'!B419)</f>
        <v/>
      </c>
      <c r="C401" s="5" t="str">
        <f>IF('FUENTE NO BORRAR'!C419="","",'FUENTE NO BORRAR'!C419)</f>
        <v/>
      </c>
      <c r="D401" s="5" t="str">
        <f>IF('FUENTE NO BORRAR'!D419="","",'FUENTE NO BORRAR'!D419)</f>
        <v/>
      </c>
      <c r="E401" s="5" t="str">
        <f>IF('FUENTE NO BORRAR'!E419="","",'FUENTE NO BORRAR'!E419)</f>
        <v/>
      </c>
      <c r="F401" s="6">
        <f>IF('FUENTE NO BORRAR'!F419="","",IF('FUENTE NO BORRAR'!$A419&lt;&gt;"Resultado total",('FUENTE NO BORRAR'!F419),""))</f>
        <v>147568.98000000001</v>
      </c>
      <c r="G401" s="6">
        <f>IF('FUENTE NO BORRAR'!G419="","",IF('FUENTE NO BORRAR'!$A419&lt;&gt;"Resultado total",('FUENTE NO BORRAR'!G419),""))</f>
        <v>147568.98000000001</v>
      </c>
      <c r="H401" s="6">
        <f>IF('FUENTE NO BORRAR'!H419="","",IF('FUENTE NO BORRAR'!$A419&lt;&gt;"Resultado total",('FUENTE NO BORRAR'!H419),""))</f>
        <v>102439.38</v>
      </c>
      <c r="I401" s="6">
        <f>IF('FUENTE NO BORRAR'!I419="","",IF('FUENTE NO BORRAR'!$A419&lt;&gt;"Resultado total",('FUENTE NO BORRAR'!I419),""))</f>
        <v>0</v>
      </c>
    </row>
    <row r="402" spans="1:9" x14ac:dyDescent="0.2">
      <c r="A402" s="5" t="str">
        <f>IF('FUENTE NO BORRAR'!A420="","",(IF('FUENTE NO BORRAR'!A420&lt;&gt;"Resultado total",'FUENTE NO BORRAR'!A420,"")))</f>
        <v/>
      </c>
      <c r="B402" s="5" t="str">
        <f>IF('FUENTE NO BORRAR'!B420="","",'FUENTE NO BORRAR'!B420)</f>
        <v/>
      </c>
      <c r="C402" s="5" t="str">
        <f>IF('FUENTE NO BORRAR'!C420="","",'FUENTE NO BORRAR'!C420)</f>
        <v/>
      </c>
      <c r="D402" s="5" t="str">
        <f>IF('FUENTE NO BORRAR'!D420="","",'FUENTE NO BORRAR'!D420)</f>
        <v/>
      </c>
      <c r="E402" s="5" t="str">
        <f>IF('FUENTE NO BORRAR'!E420="","",'FUENTE NO BORRAR'!E420)</f>
        <v/>
      </c>
      <c r="F402" s="6">
        <f>IF('FUENTE NO BORRAR'!F420="","",IF('FUENTE NO BORRAR'!$A420&lt;&gt;"Resultado total",('FUENTE NO BORRAR'!F420),""))</f>
        <v>0</v>
      </c>
      <c r="G402" s="6">
        <f>IF('FUENTE NO BORRAR'!G420="","",IF('FUENTE NO BORRAR'!$A420&lt;&gt;"Resultado total",('FUENTE NO BORRAR'!G420),""))</f>
        <v>0</v>
      </c>
      <c r="H402" s="6">
        <f>IF('FUENTE NO BORRAR'!H420="","",IF('FUENTE NO BORRAR'!$A420&lt;&gt;"Resultado total",('FUENTE NO BORRAR'!H420),""))</f>
        <v>0</v>
      </c>
      <c r="I402" s="6">
        <f>IF('FUENTE NO BORRAR'!I420="","",IF('FUENTE NO BORRAR'!$A420&lt;&gt;"Resultado total",('FUENTE NO BORRAR'!I420),""))</f>
        <v>0</v>
      </c>
    </row>
    <row r="403" spans="1:9" x14ac:dyDescent="0.2">
      <c r="A403" s="5" t="str">
        <f>IF('FUENTE NO BORRAR'!A421="","",(IF('FUENTE NO BORRAR'!A421&lt;&gt;"Resultado total",'FUENTE NO BORRAR'!A421,"")))</f>
        <v/>
      </c>
      <c r="B403" s="5" t="str">
        <f>IF('FUENTE NO BORRAR'!B421="","",'FUENTE NO BORRAR'!B421)</f>
        <v/>
      </c>
      <c r="C403" s="5" t="str">
        <f>IF('FUENTE NO BORRAR'!C421="","",'FUENTE NO BORRAR'!C421)</f>
        <v/>
      </c>
      <c r="D403" s="5" t="str">
        <f>IF('FUENTE NO BORRAR'!D421="","",'FUENTE NO BORRAR'!D421)</f>
        <v/>
      </c>
      <c r="E403" s="5" t="str">
        <f>IF('FUENTE NO BORRAR'!E421="","",'FUENTE NO BORRAR'!E421)</f>
        <v/>
      </c>
      <c r="F403" s="6">
        <f>IF('FUENTE NO BORRAR'!F421="","",IF('FUENTE NO BORRAR'!$A421&lt;&gt;"Resultado total",('FUENTE NO BORRAR'!F421),""))</f>
        <v>21010.07</v>
      </c>
      <c r="G403" s="6">
        <f>IF('FUENTE NO BORRAR'!G421="","",IF('FUENTE NO BORRAR'!$A421&lt;&gt;"Resultado total",('FUENTE NO BORRAR'!G421),""))</f>
        <v>21010.07</v>
      </c>
      <c r="H403" s="6">
        <f>IF('FUENTE NO BORRAR'!H421="","",IF('FUENTE NO BORRAR'!$A421&lt;&gt;"Resultado total",('FUENTE NO BORRAR'!H421),""))</f>
        <v>0</v>
      </c>
      <c r="I403" s="6">
        <f>IF('FUENTE NO BORRAR'!I421="","",IF('FUENTE NO BORRAR'!$A421&lt;&gt;"Resultado total",('FUENTE NO BORRAR'!I421),""))</f>
        <v>0</v>
      </c>
    </row>
    <row r="404" spans="1:9" x14ac:dyDescent="0.2">
      <c r="A404" s="5" t="str">
        <f>IF('FUENTE NO BORRAR'!A422="","",(IF('FUENTE NO BORRAR'!A422&lt;&gt;"Resultado total",'FUENTE NO BORRAR'!A422,"")))</f>
        <v/>
      </c>
      <c r="B404" s="5" t="str">
        <f>IF('FUENTE NO BORRAR'!B422="","",'FUENTE NO BORRAR'!B422)</f>
        <v/>
      </c>
      <c r="C404" s="5" t="str">
        <f>IF('FUENTE NO BORRAR'!C422="","",'FUENTE NO BORRAR'!C422)</f>
        <v/>
      </c>
      <c r="D404" s="5" t="str">
        <f>IF('FUENTE NO BORRAR'!D422="","",'FUENTE NO BORRAR'!D422)</f>
        <v/>
      </c>
      <c r="E404" s="5" t="str">
        <f>IF('FUENTE NO BORRAR'!E422="","",'FUENTE NO BORRAR'!E422)</f>
        <v/>
      </c>
      <c r="F404" s="6">
        <f>IF('FUENTE NO BORRAR'!F422="","",IF('FUENTE NO BORRAR'!$A422&lt;&gt;"Resultado total",('FUENTE NO BORRAR'!F422),""))</f>
        <v>0</v>
      </c>
      <c r="G404" s="6">
        <f>IF('FUENTE NO BORRAR'!G422="","",IF('FUENTE NO BORRAR'!$A422&lt;&gt;"Resultado total",('FUENTE NO BORRAR'!G422),""))</f>
        <v>0</v>
      </c>
      <c r="H404" s="6">
        <f>IF('FUENTE NO BORRAR'!H422="","",IF('FUENTE NO BORRAR'!$A422&lt;&gt;"Resultado total",('FUENTE NO BORRAR'!H422),""))</f>
        <v>0</v>
      </c>
      <c r="I404" s="6">
        <f>IF('FUENTE NO BORRAR'!I422="","",IF('FUENTE NO BORRAR'!$A422&lt;&gt;"Resultado total",('FUENTE NO BORRAR'!I422),""))</f>
        <v>0</v>
      </c>
    </row>
    <row r="405" spans="1:9" x14ac:dyDescent="0.2">
      <c r="A405" s="5" t="str">
        <f>IF('FUENTE NO BORRAR'!A423="","",(IF('FUENTE NO BORRAR'!A423&lt;&gt;"Resultado total",'FUENTE NO BORRAR'!A423,"")))</f>
        <v/>
      </c>
      <c r="B405" s="5" t="str">
        <f>IF('FUENTE NO BORRAR'!B423="","",'FUENTE NO BORRAR'!B423)</f>
        <v/>
      </c>
      <c r="C405" s="5" t="str">
        <f>IF('FUENTE NO BORRAR'!C423="","",'FUENTE NO BORRAR'!C423)</f>
        <v/>
      </c>
      <c r="D405" s="5" t="str">
        <f>IF('FUENTE NO BORRAR'!D423="","",'FUENTE NO BORRAR'!D423)</f>
        <v/>
      </c>
      <c r="E405" s="5" t="str">
        <f>IF('FUENTE NO BORRAR'!E423="","",'FUENTE NO BORRAR'!E423)</f>
        <v/>
      </c>
      <c r="F405" s="6">
        <f>IF('FUENTE NO BORRAR'!F423="","",IF('FUENTE NO BORRAR'!$A423&lt;&gt;"Resultado total",('FUENTE NO BORRAR'!F423),""))</f>
        <v>0</v>
      </c>
      <c r="G405" s="6">
        <f>IF('FUENTE NO BORRAR'!G423="","",IF('FUENTE NO BORRAR'!$A423&lt;&gt;"Resultado total",('FUENTE NO BORRAR'!G423),""))</f>
        <v>0</v>
      </c>
      <c r="H405" s="6">
        <f>IF('FUENTE NO BORRAR'!H423="","",IF('FUENTE NO BORRAR'!$A423&lt;&gt;"Resultado total",('FUENTE NO BORRAR'!H423),""))</f>
        <v>0</v>
      </c>
      <c r="I405" s="6">
        <f>IF('FUENTE NO BORRAR'!I423="","",IF('FUENTE NO BORRAR'!$A423&lt;&gt;"Resultado total",('FUENTE NO BORRAR'!I423),""))</f>
        <v>0</v>
      </c>
    </row>
    <row r="406" spans="1:9" x14ac:dyDescent="0.2">
      <c r="A406" s="5" t="str">
        <f>IF('FUENTE NO BORRAR'!A424="","",(IF('FUENTE NO BORRAR'!A424&lt;&gt;"Resultado total",'FUENTE NO BORRAR'!A424,"")))</f>
        <v/>
      </c>
      <c r="B406" s="5" t="str">
        <f>IF('FUENTE NO BORRAR'!B424="","",'FUENTE NO BORRAR'!B424)</f>
        <v/>
      </c>
      <c r="C406" s="5" t="str">
        <f>IF('FUENTE NO BORRAR'!C424="","",'FUENTE NO BORRAR'!C424)</f>
        <v/>
      </c>
      <c r="D406" s="5" t="str">
        <f>IF('FUENTE NO BORRAR'!D424="","",'FUENTE NO BORRAR'!D424)</f>
        <v/>
      </c>
      <c r="E406" s="5" t="str">
        <f>IF('FUENTE NO BORRAR'!E424="","",'FUENTE NO BORRAR'!E424)</f>
        <v/>
      </c>
      <c r="F406" s="6">
        <f>IF('FUENTE NO BORRAR'!F424="","",IF('FUENTE NO BORRAR'!$A424&lt;&gt;"Resultado total",('FUENTE NO BORRAR'!F424),""))</f>
        <v>2973.13</v>
      </c>
      <c r="G406" s="6">
        <f>IF('FUENTE NO BORRAR'!G424="","",IF('FUENTE NO BORRAR'!$A424&lt;&gt;"Resultado total",('FUENTE NO BORRAR'!G424),""))</f>
        <v>2973.13</v>
      </c>
      <c r="H406" s="6">
        <f>IF('FUENTE NO BORRAR'!H424="","",IF('FUENTE NO BORRAR'!$A424&lt;&gt;"Resultado total",('FUENTE NO BORRAR'!H424),""))</f>
        <v>2973.13</v>
      </c>
      <c r="I406" s="6">
        <f>IF('FUENTE NO BORRAR'!I424="","",IF('FUENTE NO BORRAR'!$A424&lt;&gt;"Resultado total",('FUENTE NO BORRAR'!I424),""))</f>
        <v>0</v>
      </c>
    </row>
    <row r="407" spans="1:9" x14ac:dyDescent="0.2">
      <c r="A407" s="5" t="str">
        <f>IF('FUENTE NO BORRAR'!A425="","",(IF('FUENTE NO BORRAR'!A425&lt;&gt;"Resultado total",'FUENTE NO BORRAR'!A425,"")))</f>
        <v/>
      </c>
      <c r="B407" s="5" t="str">
        <f>IF('FUENTE NO BORRAR'!B425="","",'FUENTE NO BORRAR'!B425)</f>
        <v/>
      </c>
      <c r="C407" s="5" t="str">
        <f>IF('FUENTE NO BORRAR'!C425="","",'FUENTE NO BORRAR'!C425)</f>
        <v/>
      </c>
      <c r="D407" s="5" t="str">
        <f>IF('FUENTE NO BORRAR'!D425="","",'FUENTE NO BORRAR'!D425)</f>
        <v/>
      </c>
      <c r="E407" s="5" t="str">
        <f>IF('FUENTE NO BORRAR'!E425="","",'FUENTE NO BORRAR'!E425)</f>
        <v/>
      </c>
      <c r="F407" s="6">
        <f>IF('FUENTE NO BORRAR'!F425="","",IF('FUENTE NO BORRAR'!$A425&lt;&gt;"Resultado total",('FUENTE NO BORRAR'!F425),""))</f>
        <v>0</v>
      </c>
      <c r="G407" s="6">
        <f>IF('FUENTE NO BORRAR'!G425="","",IF('FUENTE NO BORRAR'!$A425&lt;&gt;"Resultado total",('FUENTE NO BORRAR'!G425),""))</f>
        <v>0</v>
      </c>
      <c r="H407" s="6">
        <f>IF('FUENTE NO BORRAR'!H425="","",IF('FUENTE NO BORRAR'!$A425&lt;&gt;"Resultado total",('FUENTE NO BORRAR'!H425),""))</f>
        <v>0</v>
      </c>
      <c r="I407" s="6">
        <f>IF('FUENTE NO BORRAR'!I425="","",IF('FUENTE NO BORRAR'!$A425&lt;&gt;"Resultado total",('FUENTE NO BORRAR'!I425),""))</f>
        <v>0</v>
      </c>
    </row>
    <row r="408" spans="1:9" x14ac:dyDescent="0.2">
      <c r="A408" s="5" t="str">
        <f>IF('FUENTE NO BORRAR'!A426="","",(IF('FUENTE NO BORRAR'!A426&lt;&gt;"Resultado total",'FUENTE NO BORRAR'!A426,"")))</f>
        <v/>
      </c>
      <c r="B408" s="5" t="str">
        <f>IF('FUENTE NO BORRAR'!B426="","",'FUENTE NO BORRAR'!B426)</f>
        <v/>
      </c>
      <c r="C408" s="5" t="str">
        <f>IF('FUENTE NO BORRAR'!C426="","",'FUENTE NO BORRAR'!C426)</f>
        <v/>
      </c>
      <c r="D408" s="5" t="str">
        <f>IF('FUENTE NO BORRAR'!D426="","",'FUENTE NO BORRAR'!D426)</f>
        <v/>
      </c>
      <c r="E408" s="5" t="str">
        <f>IF('FUENTE NO BORRAR'!E426="","",'FUENTE NO BORRAR'!E426)</f>
        <v/>
      </c>
      <c r="F408" s="6">
        <f>IF('FUENTE NO BORRAR'!F426="","",IF('FUENTE NO BORRAR'!$A426&lt;&gt;"Resultado total",('FUENTE NO BORRAR'!F426),""))</f>
        <v>522</v>
      </c>
      <c r="G408" s="6">
        <f>IF('FUENTE NO BORRAR'!G426="","",IF('FUENTE NO BORRAR'!$A426&lt;&gt;"Resultado total",('FUENTE NO BORRAR'!G426),""))</f>
        <v>522</v>
      </c>
      <c r="H408" s="6">
        <f>IF('FUENTE NO BORRAR'!H426="","",IF('FUENTE NO BORRAR'!$A426&lt;&gt;"Resultado total",('FUENTE NO BORRAR'!H426),""))</f>
        <v>522</v>
      </c>
      <c r="I408" s="6">
        <f>IF('FUENTE NO BORRAR'!I426="","",IF('FUENTE NO BORRAR'!$A426&lt;&gt;"Resultado total",('FUENTE NO BORRAR'!I426),""))</f>
        <v>0</v>
      </c>
    </row>
    <row r="409" spans="1:9" x14ac:dyDescent="0.2">
      <c r="A409" s="5" t="str">
        <f>IF('FUENTE NO BORRAR'!A427="","",(IF('FUENTE NO BORRAR'!A427&lt;&gt;"Resultado total",'FUENTE NO BORRAR'!A427,"")))</f>
        <v/>
      </c>
      <c r="B409" s="5" t="str">
        <f>IF('FUENTE NO BORRAR'!B427="","",'FUENTE NO BORRAR'!B427)</f>
        <v/>
      </c>
      <c r="C409" s="5" t="str">
        <f>IF('FUENTE NO BORRAR'!C427="","",'FUENTE NO BORRAR'!C427)</f>
        <v/>
      </c>
      <c r="D409" s="5" t="str">
        <f>IF('FUENTE NO BORRAR'!D427="","",'FUENTE NO BORRAR'!D427)</f>
        <v/>
      </c>
      <c r="E409" s="5" t="str">
        <f>IF('FUENTE NO BORRAR'!E427="","",'FUENTE NO BORRAR'!E427)</f>
        <v/>
      </c>
      <c r="F409" s="6">
        <f>IF('FUENTE NO BORRAR'!F427="","",IF('FUENTE NO BORRAR'!$A427&lt;&gt;"Resultado total",('FUENTE NO BORRAR'!F427),""))</f>
        <v>0</v>
      </c>
      <c r="G409" s="6">
        <f>IF('FUENTE NO BORRAR'!G427="","",IF('FUENTE NO BORRAR'!$A427&lt;&gt;"Resultado total",('FUENTE NO BORRAR'!G427),""))</f>
        <v>0</v>
      </c>
      <c r="H409" s="6">
        <f>IF('FUENTE NO BORRAR'!H427="","",IF('FUENTE NO BORRAR'!$A427&lt;&gt;"Resultado total",('FUENTE NO BORRAR'!H427),""))</f>
        <v>0</v>
      </c>
      <c r="I409" s="6">
        <f>IF('FUENTE NO BORRAR'!I427="","",IF('FUENTE NO BORRAR'!$A427&lt;&gt;"Resultado total",('FUENTE NO BORRAR'!I427),""))</f>
        <v>0</v>
      </c>
    </row>
    <row r="410" spans="1:9" x14ac:dyDescent="0.2">
      <c r="A410" s="5" t="str">
        <f>IF('FUENTE NO BORRAR'!A428="","",(IF('FUENTE NO BORRAR'!A428&lt;&gt;"Resultado total",'FUENTE NO BORRAR'!A428,"")))</f>
        <v/>
      </c>
      <c r="B410" s="5" t="str">
        <f>IF('FUENTE NO BORRAR'!B428="","",'FUENTE NO BORRAR'!B428)</f>
        <v/>
      </c>
      <c r="C410" s="5" t="str">
        <f>IF('FUENTE NO BORRAR'!C428="","",'FUENTE NO BORRAR'!C428)</f>
        <v/>
      </c>
      <c r="D410" s="5" t="str">
        <f>IF('FUENTE NO BORRAR'!D428="","",'FUENTE NO BORRAR'!D428)</f>
        <v/>
      </c>
      <c r="E410" s="5" t="str">
        <f>IF('FUENTE NO BORRAR'!E428="","",'FUENTE NO BORRAR'!E428)</f>
        <v/>
      </c>
      <c r="F410" s="6">
        <f>IF('FUENTE NO BORRAR'!F428="","",IF('FUENTE NO BORRAR'!$A428&lt;&gt;"Resultado total",('FUENTE NO BORRAR'!F428),""))</f>
        <v>11837</v>
      </c>
      <c r="G410" s="6">
        <f>IF('FUENTE NO BORRAR'!G428="","",IF('FUENTE NO BORRAR'!$A428&lt;&gt;"Resultado total",('FUENTE NO BORRAR'!G428),""))</f>
        <v>11837</v>
      </c>
      <c r="H410" s="6">
        <f>IF('FUENTE NO BORRAR'!H428="","",IF('FUENTE NO BORRAR'!$A428&lt;&gt;"Resultado total",('FUENTE NO BORRAR'!H428),""))</f>
        <v>0</v>
      </c>
      <c r="I410" s="6">
        <f>IF('FUENTE NO BORRAR'!I428="","",IF('FUENTE NO BORRAR'!$A428&lt;&gt;"Resultado total",('FUENTE NO BORRAR'!I428),""))</f>
        <v>0</v>
      </c>
    </row>
    <row r="411" spans="1:9" x14ac:dyDescent="0.2">
      <c r="A411" s="5" t="str">
        <f>IF('FUENTE NO BORRAR'!A429="","",(IF('FUENTE NO BORRAR'!A429&lt;&gt;"Resultado total",'FUENTE NO BORRAR'!A429,"")))</f>
        <v/>
      </c>
      <c r="B411" s="5" t="str">
        <f>IF('FUENTE NO BORRAR'!B429="","",'FUENTE NO BORRAR'!B429)</f>
        <v/>
      </c>
      <c r="C411" s="5" t="str">
        <f>IF('FUENTE NO BORRAR'!C429="","",'FUENTE NO BORRAR'!C429)</f>
        <v/>
      </c>
      <c r="D411" s="5" t="str">
        <f>IF('FUENTE NO BORRAR'!D429="","",'FUENTE NO BORRAR'!D429)</f>
        <v/>
      </c>
      <c r="E411" s="5" t="str">
        <f>IF('FUENTE NO BORRAR'!E429="","",'FUENTE NO BORRAR'!E429)</f>
        <v/>
      </c>
      <c r="F411" s="6">
        <f>IF('FUENTE NO BORRAR'!F429="","",IF('FUENTE NO BORRAR'!$A429&lt;&gt;"Resultado total",('FUENTE NO BORRAR'!F429),""))</f>
        <v>30319</v>
      </c>
      <c r="G411" s="6">
        <f>IF('FUENTE NO BORRAR'!G429="","",IF('FUENTE NO BORRAR'!$A429&lt;&gt;"Resultado total",('FUENTE NO BORRAR'!G429),""))</f>
        <v>30319</v>
      </c>
      <c r="H411" s="6">
        <f>IF('FUENTE NO BORRAR'!H429="","",IF('FUENTE NO BORRAR'!$A429&lt;&gt;"Resultado total",('FUENTE NO BORRAR'!H429),""))</f>
        <v>30318.95</v>
      </c>
      <c r="I411" s="6">
        <f>IF('FUENTE NO BORRAR'!I429="","",IF('FUENTE NO BORRAR'!$A429&lt;&gt;"Resultado total",('FUENTE NO BORRAR'!I429),""))</f>
        <v>0</v>
      </c>
    </row>
    <row r="412" spans="1:9" x14ac:dyDescent="0.2">
      <c r="A412" s="5" t="str">
        <f>IF('FUENTE NO BORRAR'!A430="","",(IF('FUENTE NO BORRAR'!A430&lt;&gt;"Resultado total",'FUENTE NO BORRAR'!A430,"")))</f>
        <v/>
      </c>
      <c r="B412" s="5" t="str">
        <f>IF('FUENTE NO BORRAR'!B430="","",'FUENTE NO BORRAR'!B430)</f>
        <v/>
      </c>
      <c r="C412" s="5" t="str">
        <f>IF('FUENTE NO BORRAR'!C430="","",'FUENTE NO BORRAR'!C430)</f>
        <v/>
      </c>
      <c r="D412" s="5" t="str">
        <f>IF('FUENTE NO BORRAR'!D430="","",'FUENTE NO BORRAR'!D430)</f>
        <v/>
      </c>
      <c r="E412" s="5" t="str">
        <f>IF('FUENTE NO BORRAR'!E430="","",'FUENTE NO BORRAR'!E430)</f>
        <v/>
      </c>
      <c r="F412" s="6">
        <f>IF('FUENTE NO BORRAR'!F430="","",IF('FUENTE NO BORRAR'!$A430&lt;&gt;"Resultado total",('FUENTE NO BORRAR'!F430),""))</f>
        <v>20419.009999999998</v>
      </c>
      <c r="G412" s="6">
        <f>IF('FUENTE NO BORRAR'!G430="","",IF('FUENTE NO BORRAR'!$A430&lt;&gt;"Resultado total",('FUENTE NO BORRAR'!G430),""))</f>
        <v>20419.009999999998</v>
      </c>
      <c r="H412" s="6">
        <f>IF('FUENTE NO BORRAR'!H430="","",IF('FUENTE NO BORRAR'!$A430&lt;&gt;"Resultado total",('FUENTE NO BORRAR'!H430),""))</f>
        <v>16750.009999999998</v>
      </c>
      <c r="I412" s="6">
        <f>IF('FUENTE NO BORRAR'!I430="","",IF('FUENTE NO BORRAR'!$A430&lt;&gt;"Resultado total",('FUENTE NO BORRAR'!I430),""))</f>
        <v>0</v>
      </c>
    </row>
    <row r="413" spans="1:9" x14ac:dyDescent="0.2">
      <c r="A413" s="5" t="str">
        <f>IF('FUENTE NO BORRAR'!A431="","",(IF('FUENTE NO BORRAR'!A431&lt;&gt;"Resultado total",'FUENTE NO BORRAR'!A431,"")))</f>
        <v/>
      </c>
      <c r="B413" s="5" t="str">
        <f>IF('FUENTE NO BORRAR'!B431="","",'FUENTE NO BORRAR'!B431)</f>
        <v/>
      </c>
      <c r="C413" s="5" t="str">
        <f>IF('FUENTE NO BORRAR'!C431="","",'FUENTE NO BORRAR'!C431)</f>
        <v/>
      </c>
      <c r="D413" s="5" t="str">
        <f>IF('FUENTE NO BORRAR'!D431="","",'FUENTE NO BORRAR'!D431)</f>
        <v/>
      </c>
      <c r="E413" s="5" t="str">
        <f>IF('FUENTE NO BORRAR'!E431="","",'FUENTE NO BORRAR'!E431)</f>
        <v/>
      </c>
      <c r="F413" s="6">
        <f>IF('FUENTE NO BORRAR'!F431="","",IF('FUENTE NO BORRAR'!$A431&lt;&gt;"Resultado total",('FUENTE NO BORRAR'!F431),""))</f>
        <v>44998.83</v>
      </c>
      <c r="G413" s="6">
        <f>IF('FUENTE NO BORRAR'!G431="","",IF('FUENTE NO BORRAR'!$A431&lt;&gt;"Resultado total",('FUENTE NO BORRAR'!G431),""))</f>
        <v>44998.83</v>
      </c>
      <c r="H413" s="6">
        <f>IF('FUENTE NO BORRAR'!H431="","",IF('FUENTE NO BORRAR'!$A431&lt;&gt;"Resultado total",('FUENTE NO BORRAR'!H431),""))</f>
        <v>44998.83</v>
      </c>
      <c r="I413" s="6">
        <f>IF('FUENTE NO BORRAR'!I431="","",IF('FUENTE NO BORRAR'!$A431&lt;&gt;"Resultado total",('FUENTE NO BORRAR'!I431),""))</f>
        <v>0</v>
      </c>
    </row>
    <row r="414" spans="1:9" x14ac:dyDescent="0.2">
      <c r="A414" s="5" t="str">
        <f>IF('FUENTE NO BORRAR'!A432="","",(IF('FUENTE NO BORRAR'!A432&lt;&gt;"Resultado total",'FUENTE NO BORRAR'!A432,"")))</f>
        <v/>
      </c>
      <c r="B414" s="5" t="str">
        <f>IF('FUENTE NO BORRAR'!B432="","",'FUENTE NO BORRAR'!B432)</f>
        <v/>
      </c>
      <c r="C414" s="5" t="str">
        <f>IF('FUENTE NO BORRAR'!C432="","",'FUENTE NO BORRAR'!C432)</f>
        <v/>
      </c>
      <c r="D414" s="5" t="str">
        <f>IF('FUENTE NO BORRAR'!D432="","",'FUENTE NO BORRAR'!D432)</f>
        <v/>
      </c>
      <c r="E414" s="5" t="str">
        <f>IF('FUENTE NO BORRAR'!E432="","",'FUENTE NO BORRAR'!E432)</f>
        <v/>
      </c>
      <c r="F414" s="6">
        <f>IF('FUENTE NO BORRAR'!F432="","",IF('FUENTE NO BORRAR'!$A432&lt;&gt;"Resultado total",('FUENTE NO BORRAR'!F432),""))</f>
        <v>0</v>
      </c>
      <c r="G414" s="6">
        <f>IF('FUENTE NO BORRAR'!G432="","",IF('FUENTE NO BORRAR'!$A432&lt;&gt;"Resultado total",('FUENTE NO BORRAR'!G432),""))</f>
        <v>0</v>
      </c>
      <c r="H414" s="6">
        <f>IF('FUENTE NO BORRAR'!H432="","",IF('FUENTE NO BORRAR'!$A432&lt;&gt;"Resultado total",('FUENTE NO BORRAR'!H432),""))</f>
        <v>0</v>
      </c>
      <c r="I414" s="6">
        <f>IF('FUENTE NO BORRAR'!I432="","",IF('FUENTE NO BORRAR'!$A432&lt;&gt;"Resultado total",('FUENTE NO BORRAR'!I432),""))</f>
        <v>0</v>
      </c>
    </row>
    <row r="415" spans="1:9" x14ac:dyDescent="0.2">
      <c r="A415" s="5" t="str">
        <f>IF('FUENTE NO BORRAR'!A433="","",(IF('FUENTE NO BORRAR'!A433&lt;&gt;"Resultado total",'FUENTE NO BORRAR'!A433,"")))</f>
        <v/>
      </c>
      <c r="B415" s="5" t="str">
        <f>IF('FUENTE NO BORRAR'!B433="","",'FUENTE NO BORRAR'!B433)</f>
        <v/>
      </c>
      <c r="C415" s="5" t="str">
        <f>IF('FUENTE NO BORRAR'!C433="","",'FUENTE NO BORRAR'!C433)</f>
        <v/>
      </c>
      <c r="D415" s="5" t="str">
        <f>IF('FUENTE NO BORRAR'!D433="","",'FUENTE NO BORRAR'!D433)</f>
        <v/>
      </c>
      <c r="E415" s="5" t="str">
        <f>IF('FUENTE NO BORRAR'!E433="","",'FUENTE NO BORRAR'!E433)</f>
        <v/>
      </c>
      <c r="F415" s="6">
        <f>IF('FUENTE NO BORRAR'!F433="","",IF('FUENTE NO BORRAR'!$A433&lt;&gt;"Resultado total",('FUENTE NO BORRAR'!F433),""))</f>
        <v>0</v>
      </c>
      <c r="G415" s="6">
        <f>IF('FUENTE NO BORRAR'!G433="","",IF('FUENTE NO BORRAR'!$A433&lt;&gt;"Resultado total",('FUENTE NO BORRAR'!G433),""))</f>
        <v>0</v>
      </c>
      <c r="H415" s="6">
        <f>IF('FUENTE NO BORRAR'!H433="","",IF('FUENTE NO BORRAR'!$A433&lt;&gt;"Resultado total",('FUENTE NO BORRAR'!H433),""))</f>
        <v>0</v>
      </c>
      <c r="I415" s="6">
        <f>IF('FUENTE NO BORRAR'!I433="","",IF('FUENTE NO BORRAR'!$A433&lt;&gt;"Resultado total",('FUENTE NO BORRAR'!I433),""))</f>
        <v>0</v>
      </c>
    </row>
    <row r="416" spans="1:9" x14ac:dyDescent="0.2">
      <c r="A416" s="5" t="str">
        <f>IF('FUENTE NO BORRAR'!A434="","",(IF('FUENTE NO BORRAR'!A434&lt;&gt;"Resultado total",'FUENTE NO BORRAR'!A434,"")))</f>
        <v/>
      </c>
      <c r="B416" s="5" t="str">
        <f>IF('FUENTE NO BORRAR'!B434="","",'FUENTE NO BORRAR'!B434)</f>
        <v/>
      </c>
      <c r="C416" s="5" t="str">
        <f>IF('FUENTE NO BORRAR'!C434="","",'FUENTE NO BORRAR'!C434)</f>
        <v/>
      </c>
      <c r="D416" s="5" t="str">
        <f>IF('FUENTE NO BORRAR'!D434="","",'FUENTE NO BORRAR'!D434)</f>
        <v/>
      </c>
      <c r="E416" s="5" t="str">
        <f>IF('FUENTE NO BORRAR'!E434="","",'FUENTE NO BORRAR'!E434)</f>
        <v/>
      </c>
      <c r="F416" s="6">
        <f>IF('FUENTE NO BORRAR'!F434="","",IF('FUENTE NO BORRAR'!$A434&lt;&gt;"Resultado total",('FUENTE NO BORRAR'!F434),""))</f>
        <v>133319.71</v>
      </c>
      <c r="G416" s="6">
        <f>IF('FUENTE NO BORRAR'!G434="","",IF('FUENTE NO BORRAR'!$A434&lt;&gt;"Resultado total",('FUENTE NO BORRAR'!G434),""))</f>
        <v>133319.71</v>
      </c>
      <c r="H416" s="6">
        <f>IF('FUENTE NO BORRAR'!H434="","",IF('FUENTE NO BORRAR'!$A434&lt;&gt;"Resultado total",('FUENTE NO BORRAR'!H434),""))</f>
        <v>74779.710000000006</v>
      </c>
      <c r="I416" s="6">
        <f>IF('FUENTE NO BORRAR'!I434="","",IF('FUENTE NO BORRAR'!$A434&lt;&gt;"Resultado total",('FUENTE NO BORRAR'!I434),""))</f>
        <v>0</v>
      </c>
    </row>
    <row r="417" spans="1:9" x14ac:dyDescent="0.2">
      <c r="A417" s="5" t="str">
        <f>IF('FUENTE NO BORRAR'!A435="","",(IF('FUENTE NO BORRAR'!A435&lt;&gt;"Resultado total",'FUENTE NO BORRAR'!A435,"")))</f>
        <v/>
      </c>
      <c r="B417" s="5" t="str">
        <f>IF('FUENTE NO BORRAR'!B435="","",'FUENTE NO BORRAR'!B435)</f>
        <v/>
      </c>
      <c r="C417" s="5" t="str">
        <f>IF('FUENTE NO BORRAR'!C435="","",'FUENTE NO BORRAR'!C435)</f>
        <v/>
      </c>
      <c r="D417" s="5" t="str">
        <f>IF('FUENTE NO BORRAR'!D435="","",'FUENTE NO BORRAR'!D435)</f>
        <v/>
      </c>
      <c r="E417" s="5" t="str">
        <f>IF('FUENTE NO BORRAR'!E435="","",'FUENTE NO BORRAR'!E435)</f>
        <v/>
      </c>
      <c r="F417" s="6">
        <f>IF('FUENTE NO BORRAR'!F435="","",IF('FUENTE NO BORRAR'!$A435&lt;&gt;"Resultado total",('FUENTE NO BORRAR'!F435),""))</f>
        <v>140.80000000000001</v>
      </c>
      <c r="G417" s="6">
        <f>IF('FUENTE NO BORRAR'!G435="","",IF('FUENTE NO BORRAR'!$A435&lt;&gt;"Resultado total",('FUENTE NO BORRAR'!G435),""))</f>
        <v>140.80000000000001</v>
      </c>
      <c r="H417" s="6">
        <f>IF('FUENTE NO BORRAR'!H435="","",IF('FUENTE NO BORRAR'!$A435&lt;&gt;"Resultado total",('FUENTE NO BORRAR'!H435),""))</f>
        <v>140.80000000000001</v>
      </c>
      <c r="I417" s="6">
        <f>IF('FUENTE NO BORRAR'!I435="","",IF('FUENTE NO BORRAR'!$A435&lt;&gt;"Resultado total",('FUENTE NO BORRAR'!I435),""))</f>
        <v>0</v>
      </c>
    </row>
    <row r="418" spans="1:9" x14ac:dyDescent="0.2">
      <c r="A418" s="5" t="str">
        <f>IF('FUENTE NO BORRAR'!A436="","",(IF('FUENTE NO BORRAR'!A436&lt;&gt;"Resultado total",'FUENTE NO BORRAR'!A436,"")))</f>
        <v/>
      </c>
      <c r="B418" s="5" t="str">
        <f>IF('FUENTE NO BORRAR'!B436="","",'FUENTE NO BORRAR'!B436)</f>
        <v/>
      </c>
      <c r="C418" s="5" t="str">
        <f>IF('FUENTE NO BORRAR'!C436="","",'FUENTE NO BORRAR'!C436)</f>
        <v/>
      </c>
      <c r="D418" s="5" t="str">
        <f>IF('FUENTE NO BORRAR'!D436="","",'FUENTE NO BORRAR'!D436)</f>
        <v/>
      </c>
      <c r="E418" s="5" t="str">
        <f>IF('FUENTE NO BORRAR'!E436="","",'FUENTE NO BORRAR'!E436)</f>
        <v/>
      </c>
      <c r="F418" s="6">
        <f>IF('FUENTE NO BORRAR'!F436="","",IF('FUENTE NO BORRAR'!$A436&lt;&gt;"Resultado total",('FUENTE NO BORRAR'!F436),""))</f>
        <v>696</v>
      </c>
      <c r="G418" s="6">
        <f>IF('FUENTE NO BORRAR'!G436="","",IF('FUENTE NO BORRAR'!$A436&lt;&gt;"Resultado total",('FUENTE NO BORRAR'!G436),""))</f>
        <v>696</v>
      </c>
      <c r="H418" s="6">
        <f>IF('FUENTE NO BORRAR'!H436="","",IF('FUENTE NO BORRAR'!$A436&lt;&gt;"Resultado total",('FUENTE NO BORRAR'!H436),""))</f>
        <v>696</v>
      </c>
      <c r="I418" s="6">
        <f>IF('FUENTE NO BORRAR'!I436="","",IF('FUENTE NO BORRAR'!$A436&lt;&gt;"Resultado total",('FUENTE NO BORRAR'!I436),""))</f>
        <v>0</v>
      </c>
    </row>
    <row r="419" spans="1:9" x14ac:dyDescent="0.2">
      <c r="A419" s="5" t="str">
        <f>IF('FUENTE NO BORRAR'!A437="","",(IF('FUENTE NO BORRAR'!A437&lt;&gt;"Resultado total",'FUENTE NO BORRAR'!A437,"")))</f>
        <v/>
      </c>
      <c r="B419" s="5" t="str">
        <f>IF('FUENTE NO BORRAR'!B437="","",'FUENTE NO BORRAR'!B437)</f>
        <v/>
      </c>
      <c r="C419" s="5" t="str">
        <f>IF('FUENTE NO BORRAR'!C437="","",'FUENTE NO BORRAR'!C437)</f>
        <v/>
      </c>
      <c r="D419" s="5" t="str">
        <f>IF('FUENTE NO BORRAR'!D437="","",'FUENTE NO BORRAR'!D437)</f>
        <v/>
      </c>
      <c r="E419" s="5" t="str">
        <f>IF('FUENTE NO BORRAR'!E437="","",'FUENTE NO BORRAR'!E437)</f>
        <v/>
      </c>
      <c r="F419" s="6">
        <f>IF('FUENTE NO BORRAR'!F437="","",IF('FUENTE NO BORRAR'!$A437&lt;&gt;"Resultado total",('FUENTE NO BORRAR'!F437),""))</f>
        <v>15995.82</v>
      </c>
      <c r="G419" s="6">
        <f>IF('FUENTE NO BORRAR'!G437="","",IF('FUENTE NO BORRAR'!$A437&lt;&gt;"Resultado total",('FUENTE NO BORRAR'!G437),""))</f>
        <v>15995.82</v>
      </c>
      <c r="H419" s="6">
        <f>IF('FUENTE NO BORRAR'!H437="","",IF('FUENTE NO BORRAR'!$A437&lt;&gt;"Resultado total",('FUENTE NO BORRAR'!H437),""))</f>
        <v>15995.82</v>
      </c>
      <c r="I419" s="6">
        <f>IF('FUENTE NO BORRAR'!I437="","",IF('FUENTE NO BORRAR'!$A437&lt;&gt;"Resultado total",('FUENTE NO BORRAR'!I437),""))</f>
        <v>0</v>
      </c>
    </row>
    <row r="420" spans="1:9" x14ac:dyDescent="0.2">
      <c r="A420" s="5" t="str">
        <f>IF('FUENTE NO BORRAR'!A438="","",(IF('FUENTE NO BORRAR'!A438&lt;&gt;"Resultado total",'FUENTE NO BORRAR'!A438,"")))</f>
        <v/>
      </c>
      <c r="B420" s="5" t="str">
        <f>IF('FUENTE NO BORRAR'!B438="","",'FUENTE NO BORRAR'!B438)</f>
        <v/>
      </c>
      <c r="C420" s="5" t="str">
        <f>IF('FUENTE NO BORRAR'!C438="","",'FUENTE NO BORRAR'!C438)</f>
        <v/>
      </c>
      <c r="D420" s="5" t="str">
        <f>IF('FUENTE NO BORRAR'!D438="","",'FUENTE NO BORRAR'!D438)</f>
        <v/>
      </c>
      <c r="E420" s="5" t="str">
        <f>IF('FUENTE NO BORRAR'!E438="","",'FUENTE NO BORRAR'!E438)</f>
        <v/>
      </c>
      <c r="F420" s="6">
        <f>IF('FUENTE NO BORRAR'!F438="","",IF('FUENTE NO BORRAR'!$A438&lt;&gt;"Resultado total",('FUENTE NO BORRAR'!F438),""))</f>
        <v>44574.45</v>
      </c>
      <c r="G420" s="6">
        <f>IF('FUENTE NO BORRAR'!G438="","",IF('FUENTE NO BORRAR'!$A438&lt;&gt;"Resultado total",('FUENTE NO BORRAR'!G438),""))</f>
        <v>44574.45</v>
      </c>
      <c r="H420" s="6">
        <f>IF('FUENTE NO BORRAR'!H438="","",IF('FUENTE NO BORRAR'!$A438&lt;&gt;"Resultado total",('FUENTE NO BORRAR'!H438),""))</f>
        <v>44574.45</v>
      </c>
      <c r="I420" s="6">
        <f>IF('FUENTE NO BORRAR'!I438="","",IF('FUENTE NO BORRAR'!$A438&lt;&gt;"Resultado total",('FUENTE NO BORRAR'!I438),""))</f>
        <v>0</v>
      </c>
    </row>
    <row r="421" spans="1:9" x14ac:dyDescent="0.2">
      <c r="A421" s="5" t="str">
        <f>IF('FUENTE NO BORRAR'!A439="","",(IF('FUENTE NO BORRAR'!A439&lt;&gt;"Resultado total",'FUENTE NO BORRAR'!A439,"")))</f>
        <v/>
      </c>
      <c r="B421" s="5" t="str">
        <f>IF('FUENTE NO BORRAR'!B439="","",'FUENTE NO BORRAR'!B439)</f>
        <v/>
      </c>
      <c r="C421" s="5" t="str">
        <f>IF('FUENTE NO BORRAR'!C439="","",'FUENTE NO BORRAR'!C439)</f>
        <v>13041061E1E1</v>
      </c>
      <c r="D421" s="5" t="str">
        <f>IF('FUENTE NO BORRAR'!D439="","",'FUENTE NO BORRAR'!D439)</f>
        <v>SECRETARÍA MUNICIPAL</v>
      </c>
      <c r="E421" s="5" t="str">
        <f>IF('FUENTE NO BORRAR'!E439="","",'FUENTE NO BORRAR'!E439)</f>
        <v/>
      </c>
      <c r="F421" s="6">
        <f>IF('FUENTE NO BORRAR'!F439="","",IF('FUENTE NO BORRAR'!$A439&lt;&gt;"Resultado total",('FUENTE NO BORRAR'!F439),""))</f>
        <v>15280.05</v>
      </c>
      <c r="G421" s="6">
        <f>IF('FUENTE NO BORRAR'!G439="","",IF('FUENTE NO BORRAR'!$A439&lt;&gt;"Resultado total",('FUENTE NO BORRAR'!G439),""))</f>
        <v>15280.05</v>
      </c>
      <c r="H421" s="6">
        <f>IF('FUENTE NO BORRAR'!H439="","",IF('FUENTE NO BORRAR'!$A439&lt;&gt;"Resultado total",('FUENTE NO BORRAR'!H439),""))</f>
        <v>15280.05</v>
      </c>
      <c r="I421" s="6">
        <f>IF('FUENTE NO BORRAR'!I439="","",IF('FUENTE NO BORRAR'!$A439&lt;&gt;"Resultado total",('FUENTE NO BORRAR'!I439),""))</f>
        <v>0</v>
      </c>
    </row>
    <row r="422" spans="1:9" x14ac:dyDescent="0.2">
      <c r="A422" s="5" t="str">
        <f>IF('FUENTE NO BORRAR'!A440="","",(IF('FUENTE NO BORRAR'!A440&lt;&gt;"Resultado total",'FUENTE NO BORRAR'!A440,"")))</f>
        <v/>
      </c>
      <c r="B422" s="5" t="str">
        <f>IF('FUENTE NO BORRAR'!B440="","",'FUENTE NO BORRAR'!B440)</f>
        <v/>
      </c>
      <c r="C422" s="5" t="str">
        <f>IF('FUENTE NO BORRAR'!C440="","",'FUENTE NO BORRAR'!C440)</f>
        <v>13041071E102</v>
      </c>
      <c r="D422" s="5" t="str">
        <f>IF('FUENTE NO BORRAR'!D440="","",'FUENTE NO BORRAR'!D440)</f>
        <v>13041071E102</v>
      </c>
      <c r="E422" s="5" t="str">
        <f>IF('FUENTE NO BORRAR'!E440="","",'FUENTE NO BORRAR'!E440)</f>
        <v/>
      </c>
      <c r="F422" s="6">
        <f>IF('FUENTE NO BORRAR'!F440="","",IF('FUENTE NO BORRAR'!$A440&lt;&gt;"Resultado total",('FUENTE NO BORRAR'!F440),""))</f>
        <v>1730666.09</v>
      </c>
      <c r="G422" s="6">
        <f>IF('FUENTE NO BORRAR'!G440="","",IF('FUENTE NO BORRAR'!$A440&lt;&gt;"Resultado total",('FUENTE NO BORRAR'!G440),""))</f>
        <v>1730666.09</v>
      </c>
      <c r="H422" s="6">
        <f>IF('FUENTE NO BORRAR'!H440="","",IF('FUENTE NO BORRAR'!$A440&lt;&gt;"Resultado total",('FUENTE NO BORRAR'!H440),""))</f>
        <v>1730666.09</v>
      </c>
      <c r="I422" s="6">
        <f>IF('FUENTE NO BORRAR'!I440="","",IF('FUENTE NO BORRAR'!$A440&lt;&gt;"Resultado total",('FUENTE NO BORRAR'!I440),""))</f>
        <v>0</v>
      </c>
    </row>
    <row r="423" spans="1:9" x14ac:dyDescent="0.2">
      <c r="A423" s="5" t="str">
        <f>IF('FUENTE NO BORRAR'!A441="","",(IF('FUENTE NO BORRAR'!A441&lt;&gt;"Resultado total",'FUENTE NO BORRAR'!A441,"")))</f>
        <v/>
      </c>
      <c r="B423" s="5" t="str">
        <f>IF('FUENTE NO BORRAR'!B441="","",'FUENTE NO BORRAR'!B441)</f>
        <v/>
      </c>
      <c r="C423" s="5" t="str">
        <f>IF('FUENTE NO BORRAR'!C441="","",'FUENTE NO BORRAR'!C441)</f>
        <v/>
      </c>
      <c r="D423" s="5" t="str">
        <f>IF('FUENTE NO BORRAR'!D441="","",'FUENTE NO BORRAR'!D441)</f>
        <v/>
      </c>
      <c r="E423" s="5" t="str">
        <f>IF('FUENTE NO BORRAR'!E441="","",'FUENTE NO BORRAR'!E441)</f>
        <v/>
      </c>
      <c r="F423" s="6">
        <f>IF('FUENTE NO BORRAR'!F441="","",IF('FUENTE NO BORRAR'!$A441&lt;&gt;"Resultado total",('FUENTE NO BORRAR'!F441),""))</f>
        <v>1992629.06</v>
      </c>
      <c r="G423" s="6">
        <f>IF('FUENTE NO BORRAR'!G441="","",IF('FUENTE NO BORRAR'!$A441&lt;&gt;"Resultado total",('FUENTE NO BORRAR'!G441),""))</f>
        <v>1992629.06</v>
      </c>
      <c r="H423" s="6">
        <f>IF('FUENTE NO BORRAR'!H441="","",IF('FUENTE NO BORRAR'!$A441&lt;&gt;"Resultado total",('FUENTE NO BORRAR'!H441),""))</f>
        <v>1992629.06</v>
      </c>
      <c r="I423" s="6">
        <f>IF('FUENTE NO BORRAR'!I441="","",IF('FUENTE NO BORRAR'!$A441&lt;&gt;"Resultado total",('FUENTE NO BORRAR'!I441),""))</f>
        <v>0</v>
      </c>
    </row>
    <row r="424" spans="1:9" x14ac:dyDescent="0.2">
      <c r="A424" s="5" t="str">
        <f>IF('FUENTE NO BORRAR'!A442="","",(IF('FUENTE NO BORRAR'!A442&lt;&gt;"Resultado total",'FUENTE NO BORRAR'!A442,"")))</f>
        <v/>
      </c>
      <c r="B424" s="5" t="str">
        <f>IF('FUENTE NO BORRAR'!B442="","",'FUENTE NO BORRAR'!B442)</f>
        <v/>
      </c>
      <c r="C424" s="5" t="str">
        <f>IF('FUENTE NO BORRAR'!C442="","",'FUENTE NO BORRAR'!C442)</f>
        <v/>
      </c>
      <c r="D424" s="5" t="str">
        <f>IF('FUENTE NO BORRAR'!D442="","",'FUENTE NO BORRAR'!D442)</f>
        <v/>
      </c>
      <c r="E424" s="5" t="str">
        <f>IF('FUENTE NO BORRAR'!E442="","",'FUENTE NO BORRAR'!E442)</f>
        <v/>
      </c>
      <c r="F424" s="6">
        <f>IF('FUENTE NO BORRAR'!F442="","",IF('FUENTE NO BORRAR'!$A442&lt;&gt;"Resultado total",('FUENTE NO BORRAR'!F442),""))</f>
        <v>329793.53000000003</v>
      </c>
      <c r="G424" s="6">
        <f>IF('FUENTE NO BORRAR'!G442="","",IF('FUENTE NO BORRAR'!$A442&lt;&gt;"Resultado total",('FUENTE NO BORRAR'!G442),""))</f>
        <v>329793.53000000003</v>
      </c>
      <c r="H424" s="6">
        <f>IF('FUENTE NO BORRAR'!H442="","",IF('FUENTE NO BORRAR'!$A442&lt;&gt;"Resultado total",('FUENTE NO BORRAR'!H442),""))</f>
        <v>329793.53000000003</v>
      </c>
      <c r="I424" s="6">
        <f>IF('FUENTE NO BORRAR'!I442="","",IF('FUENTE NO BORRAR'!$A442&lt;&gt;"Resultado total",('FUENTE NO BORRAR'!I442),""))</f>
        <v>0</v>
      </c>
    </row>
    <row r="425" spans="1:9" x14ac:dyDescent="0.2">
      <c r="A425" s="5" t="str">
        <f>IF('FUENTE NO BORRAR'!A443="","",(IF('FUENTE NO BORRAR'!A443&lt;&gt;"Resultado total",'FUENTE NO BORRAR'!A443,"")))</f>
        <v/>
      </c>
      <c r="B425" s="5" t="str">
        <f>IF('FUENTE NO BORRAR'!B443="","",'FUENTE NO BORRAR'!B443)</f>
        <v/>
      </c>
      <c r="C425" s="5" t="str">
        <f>IF('FUENTE NO BORRAR'!C443="","",'FUENTE NO BORRAR'!C443)</f>
        <v/>
      </c>
      <c r="D425" s="5" t="str">
        <f>IF('FUENTE NO BORRAR'!D443="","",'FUENTE NO BORRAR'!D443)</f>
        <v/>
      </c>
      <c r="E425" s="5" t="str">
        <f>IF('FUENTE NO BORRAR'!E443="","",'FUENTE NO BORRAR'!E443)</f>
        <v/>
      </c>
      <c r="F425" s="6">
        <f>IF('FUENTE NO BORRAR'!F443="","",IF('FUENTE NO BORRAR'!$A443&lt;&gt;"Resultado total",('FUENTE NO BORRAR'!F443),""))</f>
        <v>210133.46</v>
      </c>
      <c r="G425" s="6">
        <f>IF('FUENTE NO BORRAR'!G443="","",IF('FUENTE NO BORRAR'!$A443&lt;&gt;"Resultado total",('FUENTE NO BORRAR'!G443),""))</f>
        <v>210133.46</v>
      </c>
      <c r="H425" s="6">
        <f>IF('FUENTE NO BORRAR'!H443="","",IF('FUENTE NO BORRAR'!$A443&lt;&gt;"Resultado total",('FUENTE NO BORRAR'!H443),""))</f>
        <v>210133.46</v>
      </c>
      <c r="I425" s="6">
        <f>IF('FUENTE NO BORRAR'!I443="","",IF('FUENTE NO BORRAR'!$A443&lt;&gt;"Resultado total",('FUENTE NO BORRAR'!I443),""))</f>
        <v>0</v>
      </c>
    </row>
    <row r="426" spans="1:9" x14ac:dyDescent="0.2">
      <c r="A426" s="5" t="str">
        <f>IF('FUENTE NO BORRAR'!A444="","",(IF('FUENTE NO BORRAR'!A444&lt;&gt;"Resultado total",'FUENTE NO BORRAR'!A444,"")))</f>
        <v/>
      </c>
      <c r="B426" s="5" t="str">
        <f>IF('FUENTE NO BORRAR'!B444="","",'FUENTE NO BORRAR'!B444)</f>
        <v/>
      </c>
      <c r="C426" s="5" t="str">
        <f>IF('FUENTE NO BORRAR'!C444="","",'FUENTE NO BORRAR'!C444)</f>
        <v/>
      </c>
      <c r="D426" s="5" t="str">
        <f>IF('FUENTE NO BORRAR'!D444="","",'FUENTE NO BORRAR'!D444)</f>
        <v/>
      </c>
      <c r="E426" s="5" t="str">
        <f>IF('FUENTE NO BORRAR'!E444="","",'FUENTE NO BORRAR'!E444)</f>
        <v/>
      </c>
      <c r="F426" s="6">
        <f>IF('FUENTE NO BORRAR'!F444="","",IF('FUENTE NO BORRAR'!$A444&lt;&gt;"Resultado total",('FUENTE NO BORRAR'!F444),""))</f>
        <v>39896.639999999999</v>
      </c>
      <c r="G426" s="6">
        <f>IF('FUENTE NO BORRAR'!G444="","",IF('FUENTE NO BORRAR'!$A444&lt;&gt;"Resultado total",('FUENTE NO BORRAR'!G444),""))</f>
        <v>39896.639999999999</v>
      </c>
      <c r="H426" s="6">
        <f>IF('FUENTE NO BORRAR'!H444="","",IF('FUENTE NO BORRAR'!$A444&lt;&gt;"Resultado total",('FUENTE NO BORRAR'!H444),""))</f>
        <v>39896.639999999999</v>
      </c>
      <c r="I426" s="6">
        <f>IF('FUENTE NO BORRAR'!I444="","",IF('FUENTE NO BORRAR'!$A444&lt;&gt;"Resultado total",('FUENTE NO BORRAR'!I444),""))</f>
        <v>0</v>
      </c>
    </row>
    <row r="427" spans="1:9" x14ac:dyDescent="0.2">
      <c r="A427" s="5" t="str">
        <f>IF('FUENTE NO BORRAR'!A445="","",(IF('FUENTE NO BORRAR'!A445&lt;&gt;"Resultado total",'FUENTE NO BORRAR'!A445,"")))</f>
        <v/>
      </c>
      <c r="B427" s="5" t="str">
        <f>IF('FUENTE NO BORRAR'!B445="","",'FUENTE NO BORRAR'!B445)</f>
        <v/>
      </c>
      <c r="C427" s="5" t="str">
        <f>IF('FUENTE NO BORRAR'!C445="","",'FUENTE NO BORRAR'!C445)</f>
        <v/>
      </c>
      <c r="D427" s="5" t="str">
        <f>IF('FUENTE NO BORRAR'!D445="","",'FUENTE NO BORRAR'!D445)</f>
        <v/>
      </c>
      <c r="E427" s="5" t="str">
        <f>IF('FUENTE NO BORRAR'!E445="","",'FUENTE NO BORRAR'!E445)</f>
        <v/>
      </c>
      <c r="F427" s="6">
        <f>IF('FUENTE NO BORRAR'!F445="","",IF('FUENTE NO BORRAR'!$A445&lt;&gt;"Resultado total",('FUENTE NO BORRAR'!F445),""))</f>
        <v>167551.16</v>
      </c>
      <c r="G427" s="6">
        <f>IF('FUENTE NO BORRAR'!G445="","",IF('FUENTE NO BORRAR'!$A445&lt;&gt;"Resultado total",('FUENTE NO BORRAR'!G445),""))</f>
        <v>167551.16</v>
      </c>
      <c r="H427" s="6">
        <f>IF('FUENTE NO BORRAR'!H445="","",IF('FUENTE NO BORRAR'!$A445&lt;&gt;"Resultado total",('FUENTE NO BORRAR'!H445),""))</f>
        <v>167551.16</v>
      </c>
      <c r="I427" s="6">
        <f>IF('FUENTE NO BORRAR'!I445="","",IF('FUENTE NO BORRAR'!$A445&lt;&gt;"Resultado total",('FUENTE NO BORRAR'!I445),""))</f>
        <v>0</v>
      </c>
    </row>
    <row r="428" spans="1:9" x14ac:dyDescent="0.2">
      <c r="A428" s="5" t="str">
        <f>IF('FUENTE NO BORRAR'!A446="","",(IF('FUENTE NO BORRAR'!A446&lt;&gt;"Resultado total",'FUENTE NO BORRAR'!A446,"")))</f>
        <v/>
      </c>
      <c r="B428" s="5" t="str">
        <f>IF('FUENTE NO BORRAR'!B446="","",'FUENTE NO BORRAR'!B446)</f>
        <v/>
      </c>
      <c r="C428" s="5" t="str">
        <f>IF('FUENTE NO BORRAR'!C446="","",'FUENTE NO BORRAR'!C446)</f>
        <v/>
      </c>
      <c r="D428" s="5" t="str">
        <f>IF('FUENTE NO BORRAR'!D446="","",'FUENTE NO BORRAR'!D446)</f>
        <v/>
      </c>
      <c r="E428" s="5" t="str">
        <f>IF('FUENTE NO BORRAR'!E446="","",'FUENTE NO BORRAR'!E446)</f>
        <v/>
      </c>
      <c r="F428" s="6">
        <f>IF('FUENTE NO BORRAR'!F446="","",IF('FUENTE NO BORRAR'!$A446&lt;&gt;"Resultado total",('FUENTE NO BORRAR'!F446),""))</f>
        <v>805402.09</v>
      </c>
      <c r="G428" s="6">
        <f>IF('FUENTE NO BORRAR'!G446="","",IF('FUENTE NO BORRAR'!$A446&lt;&gt;"Resultado total",('FUENTE NO BORRAR'!G446),""))</f>
        <v>805402.09</v>
      </c>
      <c r="H428" s="6">
        <f>IF('FUENTE NO BORRAR'!H446="","",IF('FUENTE NO BORRAR'!$A446&lt;&gt;"Resultado total",('FUENTE NO BORRAR'!H446),""))</f>
        <v>805402.09</v>
      </c>
      <c r="I428" s="6">
        <f>IF('FUENTE NO BORRAR'!I446="","",IF('FUENTE NO BORRAR'!$A446&lt;&gt;"Resultado total",('FUENTE NO BORRAR'!I446),""))</f>
        <v>0</v>
      </c>
    </row>
    <row r="429" spans="1:9" x14ac:dyDescent="0.2">
      <c r="A429" s="5" t="str">
        <f>IF('FUENTE NO BORRAR'!A447="","",(IF('FUENTE NO BORRAR'!A447&lt;&gt;"Resultado total",'FUENTE NO BORRAR'!A447,"")))</f>
        <v/>
      </c>
      <c r="B429" s="5" t="str">
        <f>IF('FUENTE NO BORRAR'!B447="","",'FUENTE NO BORRAR'!B447)</f>
        <v/>
      </c>
      <c r="C429" s="5" t="str">
        <f>IF('FUENTE NO BORRAR'!C447="","",'FUENTE NO BORRAR'!C447)</f>
        <v/>
      </c>
      <c r="D429" s="5" t="str">
        <f>IF('FUENTE NO BORRAR'!D447="","",'FUENTE NO BORRAR'!D447)</f>
        <v/>
      </c>
      <c r="E429" s="5" t="str">
        <f>IF('FUENTE NO BORRAR'!E447="","",'FUENTE NO BORRAR'!E447)</f>
        <v/>
      </c>
      <c r="F429" s="6">
        <f>IF('FUENTE NO BORRAR'!F447="","",IF('FUENTE NO BORRAR'!$A447&lt;&gt;"Resultado total",('FUENTE NO BORRAR'!F447),""))</f>
        <v>2336939.96</v>
      </c>
      <c r="G429" s="6">
        <f>IF('FUENTE NO BORRAR'!G447="","",IF('FUENTE NO BORRAR'!$A447&lt;&gt;"Resultado total",('FUENTE NO BORRAR'!G447),""))</f>
        <v>2336939.96</v>
      </c>
      <c r="H429" s="6">
        <f>IF('FUENTE NO BORRAR'!H447="","",IF('FUENTE NO BORRAR'!$A447&lt;&gt;"Resultado total",('FUENTE NO BORRAR'!H447),""))</f>
        <v>2374643.9</v>
      </c>
      <c r="I429" s="6">
        <f>IF('FUENTE NO BORRAR'!I447="","",IF('FUENTE NO BORRAR'!$A447&lt;&gt;"Resultado total",('FUENTE NO BORRAR'!I447),""))</f>
        <v>-1.0000000000000001E-9</v>
      </c>
    </row>
    <row r="430" spans="1:9" x14ac:dyDescent="0.2">
      <c r="A430" s="5" t="str">
        <f>IF('FUENTE NO BORRAR'!A448="","",(IF('FUENTE NO BORRAR'!A448&lt;&gt;"Resultado total",'FUENTE NO BORRAR'!A448,"")))</f>
        <v/>
      </c>
      <c r="B430" s="5" t="str">
        <f>IF('FUENTE NO BORRAR'!B448="","",'FUENTE NO BORRAR'!B448)</f>
        <v/>
      </c>
      <c r="C430" s="5" t="str">
        <f>IF('FUENTE NO BORRAR'!C448="","",'FUENTE NO BORRAR'!C448)</f>
        <v/>
      </c>
      <c r="D430" s="5" t="str">
        <f>IF('FUENTE NO BORRAR'!D448="","",'FUENTE NO BORRAR'!D448)</f>
        <v/>
      </c>
      <c r="E430" s="5" t="str">
        <f>IF('FUENTE NO BORRAR'!E448="","",'FUENTE NO BORRAR'!E448)</f>
        <v/>
      </c>
      <c r="F430" s="6">
        <f>IF('FUENTE NO BORRAR'!F448="","",IF('FUENTE NO BORRAR'!$A448&lt;&gt;"Resultado total",('FUENTE NO BORRAR'!F448),""))</f>
        <v>2226172.06</v>
      </c>
      <c r="G430" s="6">
        <f>IF('FUENTE NO BORRAR'!G448="","",IF('FUENTE NO BORRAR'!$A448&lt;&gt;"Resultado total",('FUENTE NO BORRAR'!G448),""))</f>
        <v>2226172.06</v>
      </c>
      <c r="H430" s="6">
        <f>IF('FUENTE NO BORRAR'!H448="","",IF('FUENTE NO BORRAR'!$A448&lt;&gt;"Resultado total",('FUENTE NO BORRAR'!H448),""))</f>
        <v>2226172.06</v>
      </c>
      <c r="I430" s="6">
        <f>IF('FUENTE NO BORRAR'!I448="","",IF('FUENTE NO BORRAR'!$A448&lt;&gt;"Resultado total",('FUENTE NO BORRAR'!I448),""))</f>
        <v>0</v>
      </c>
    </row>
    <row r="431" spans="1:9" x14ac:dyDescent="0.2">
      <c r="A431" s="5" t="str">
        <f>IF('FUENTE NO BORRAR'!A449="","",(IF('FUENTE NO BORRAR'!A449&lt;&gt;"Resultado total",'FUENTE NO BORRAR'!A449,"")))</f>
        <v/>
      </c>
      <c r="B431" s="5" t="str">
        <f>IF('FUENTE NO BORRAR'!B449="","",'FUENTE NO BORRAR'!B449)</f>
        <v/>
      </c>
      <c r="C431" s="5" t="str">
        <f>IF('FUENTE NO BORRAR'!C449="","",'FUENTE NO BORRAR'!C449)</f>
        <v/>
      </c>
      <c r="D431" s="5" t="str">
        <f>IF('FUENTE NO BORRAR'!D449="","",'FUENTE NO BORRAR'!D449)</f>
        <v/>
      </c>
      <c r="E431" s="5" t="str">
        <f>IF('FUENTE NO BORRAR'!E449="","",'FUENTE NO BORRAR'!E449)</f>
        <v/>
      </c>
      <c r="F431" s="6">
        <f>IF('FUENTE NO BORRAR'!F449="","",IF('FUENTE NO BORRAR'!$A449&lt;&gt;"Resultado total",('FUENTE NO BORRAR'!F449),""))</f>
        <v>752616.61</v>
      </c>
      <c r="G431" s="6">
        <f>IF('FUENTE NO BORRAR'!G449="","",IF('FUENTE NO BORRAR'!$A449&lt;&gt;"Resultado total",('FUENTE NO BORRAR'!G449),""))</f>
        <v>752616.61</v>
      </c>
      <c r="H431" s="6">
        <f>IF('FUENTE NO BORRAR'!H449="","",IF('FUENTE NO BORRAR'!$A449&lt;&gt;"Resultado total",('FUENTE NO BORRAR'!H449),""))</f>
        <v>752616.61</v>
      </c>
      <c r="I431" s="6">
        <f>IF('FUENTE NO BORRAR'!I449="","",IF('FUENTE NO BORRAR'!$A449&lt;&gt;"Resultado total",('FUENTE NO BORRAR'!I449),""))</f>
        <v>0</v>
      </c>
    </row>
    <row r="432" spans="1:9" x14ac:dyDescent="0.2">
      <c r="A432" s="5" t="str">
        <f>IF('FUENTE NO BORRAR'!A450="","",(IF('FUENTE NO BORRAR'!A450&lt;&gt;"Resultado total",'FUENTE NO BORRAR'!A450,"")))</f>
        <v/>
      </c>
      <c r="B432" s="5" t="str">
        <f>IF('FUENTE NO BORRAR'!B450="","",'FUENTE NO BORRAR'!B450)</f>
        <v/>
      </c>
      <c r="C432" s="5" t="str">
        <f>IF('FUENTE NO BORRAR'!C450="","",'FUENTE NO BORRAR'!C450)</f>
        <v/>
      </c>
      <c r="D432" s="5" t="str">
        <f>IF('FUENTE NO BORRAR'!D450="","",'FUENTE NO BORRAR'!D450)</f>
        <v/>
      </c>
      <c r="E432" s="5" t="str">
        <f>IF('FUENTE NO BORRAR'!E450="","",'FUENTE NO BORRAR'!E450)</f>
        <v/>
      </c>
      <c r="F432" s="6">
        <f>IF('FUENTE NO BORRAR'!F450="","",IF('FUENTE NO BORRAR'!$A450&lt;&gt;"Resultado total",('FUENTE NO BORRAR'!F450),""))</f>
        <v>239041.73</v>
      </c>
      <c r="G432" s="6">
        <f>IF('FUENTE NO BORRAR'!G450="","",IF('FUENTE NO BORRAR'!$A450&lt;&gt;"Resultado total",('FUENTE NO BORRAR'!G450),""))</f>
        <v>239041.73</v>
      </c>
      <c r="H432" s="6">
        <f>IF('FUENTE NO BORRAR'!H450="","",IF('FUENTE NO BORRAR'!$A450&lt;&gt;"Resultado total",('FUENTE NO BORRAR'!H450),""))</f>
        <v>239041.73</v>
      </c>
      <c r="I432" s="6">
        <f>IF('FUENTE NO BORRAR'!I450="","",IF('FUENTE NO BORRAR'!$A450&lt;&gt;"Resultado total",('FUENTE NO BORRAR'!I450),""))</f>
        <v>0</v>
      </c>
    </row>
    <row r="433" spans="1:9" x14ac:dyDescent="0.2">
      <c r="A433" s="5" t="str">
        <f>IF('FUENTE NO BORRAR'!A451="","",(IF('FUENTE NO BORRAR'!A451&lt;&gt;"Resultado total",'FUENTE NO BORRAR'!A451,"")))</f>
        <v/>
      </c>
      <c r="B433" s="5" t="str">
        <f>IF('FUENTE NO BORRAR'!B451="","",'FUENTE NO BORRAR'!B451)</f>
        <v/>
      </c>
      <c r="C433" s="5" t="str">
        <f>IF('FUENTE NO BORRAR'!C451="","",'FUENTE NO BORRAR'!C451)</f>
        <v/>
      </c>
      <c r="D433" s="5" t="str">
        <f>IF('FUENTE NO BORRAR'!D451="","",'FUENTE NO BORRAR'!D451)</f>
        <v/>
      </c>
      <c r="E433" s="5" t="str">
        <f>IF('FUENTE NO BORRAR'!E451="","",'FUENTE NO BORRAR'!E451)</f>
        <v/>
      </c>
      <c r="F433" s="6">
        <f>IF('FUENTE NO BORRAR'!F451="","",IF('FUENTE NO BORRAR'!$A451&lt;&gt;"Resultado total",('FUENTE NO BORRAR'!F451),""))</f>
        <v>112658.2</v>
      </c>
      <c r="G433" s="6">
        <f>IF('FUENTE NO BORRAR'!G451="","",IF('FUENTE NO BORRAR'!$A451&lt;&gt;"Resultado total",('FUENTE NO BORRAR'!G451),""))</f>
        <v>112658.2</v>
      </c>
      <c r="H433" s="6">
        <f>IF('FUENTE NO BORRAR'!H451="","",IF('FUENTE NO BORRAR'!$A451&lt;&gt;"Resultado total",('FUENTE NO BORRAR'!H451),""))</f>
        <v>112658.2</v>
      </c>
      <c r="I433" s="6">
        <f>IF('FUENTE NO BORRAR'!I451="","",IF('FUENTE NO BORRAR'!$A451&lt;&gt;"Resultado total",('FUENTE NO BORRAR'!I451),""))</f>
        <v>0</v>
      </c>
    </row>
    <row r="434" spans="1:9" x14ac:dyDescent="0.2">
      <c r="A434" s="5" t="str">
        <f>IF('FUENTE NO BORRAR'!A452="","",(IF('FUENTE NO BORRAR'!A452&lt;&gt;"Resultado total",'FUENTE NO BORRAR'!A452,"")))</f>
        <v/>
      </c>
      <c r="B434" s="5" t="str">
        <f>IF('FUENTE NO BORRAR'!B452="","",'FUENTE NO BORRAR'!B452)</f>
        <v/>
      </c>
      <c r="C434" s="5" t="str">
        <f>IF('FUENTE NO BORRAR'!C452="","",'FUENTE NO BORRAR'!C452)</f>
        <v/>
      </c>
      <c r="D434" s="5" t="str">
        <f>IF('FUENTE NO BORRAR'!D452="","",'FUENTE NO BORRAR'!D452)</f>
        <v/>
      </c>
      <c r="E434" s="5" t="str">
        <f>IF('FUENTE NO BORRAR'!E452="","",'FUENTE NO BORRAR'!E452)</f>
        <v/>
      </c>
      <c r="F434" s="6">
        <f>IF('FUENTE NO BORRAR'!F452="","",IF('FUENTE NO BORRAR'!$A452&lt;&gt;"Resultado total",('FUENTE NO BORRAR'!F452),""))</f>
        <v>447369.24</v>
      </c>
      <c r="G434" s="6">
        <f>IF('FUENTE NO BORRAR'!G452="","",IF('FUENTE NO BORRAR'!$A452&lt;&gt;"Resultado total",('FUENTE NO BORRAR'!G452),""))</f>
        <v>447369.24</v>
      </c>
      <c r="H434" s="6">
        <f>IF('FUENTE NO BORRAR'!H452="","",IF('FUENTE NO BORRAR'!$A452&lt;&gt;"Resultado total",('FUENTE NO BORRAR'!H452),""))</f>
        <v>447369.24</v>
      </c>
      <c r="I434" s="6">
        <f>IF('FUENTE NO BORRAR'!I452="","",IF('FUENTE NO BORRAR'!$A452&lt;&gt;"Resultado total",('FUENTE NO BORRAR'!I452),""))</f>
        <v>0</v>
      </c>
    </row>
    <row r="435" spans="1:9" x14ac:dyDescent="0.2">
      <c r="A435" s="5" t="str">
        <f>IF('FUENTE NO BORRAR'!A453="","",(IF('FUENTE NO BORRAR'!A453&lt;&gt;"Resultado total",'FUENTE NO BORRAR'!A453,"")))</f>
        <v/>
      </c>
      <c r="B435" s="5" t="str">
        <f>IF('FUENTE NO BORRAR'!B453="","",'FUENTE NO BORRAR'!B453)</f>
        <v/>
      </c>
      <c r="C435" s="5" t="str">
        <f>IF('FUENTE NO BORRAR'!C453="","",'FUENTE NO BORRAR'!C453)</f>
        <v/>
      </c>
      <c r="D435" s="5" t="str">
        <f>IF('FUENTE NO BORRAR'!D453="","",'FUENTE NO BORRAR'!D453)</f>
        <v/>
      </c>
      <c r="E435" s="5" t="str">
        <f>IF('FUENTE NO BORRAR'!E453="","",'FUENTE NO BORRAR'!E453)</f>
        <v/>
      </c>
      <c r="F435" s="6">
        <f>IF('FUENTE NO BORRAR'!F453="","",IF('FUENTE NO BORRAR'!$A453&lt;&gt;"Resultado total",('FUENTE NO BORRAR'!F453),""))</f>
        <v>1783612.03</v>
      </c>
      <c r="G435" s="6">
        <f>IF('FUENTE NO BORRAR'!G453="","",IF('FUENTE NO BORRAR'!$A453&lt;&gt;"Resultado total",('FUENTE NO BORRAR'!G453),""))</f>
        <v>1783612.03</v>
      </c>
      <c r="H435" s="6">
        <f>IF('FUENTE NO BORRAR'!H453="","",IF('FUENTE NO BORRAR'!$A453&lt;&gt;"Resultado total",('FUENTE NO BORRAR'!H453),""))</f>
        <v>1768852.03</v>
      </c>
      <c r="I435" s="6">
        <f>IF('FUENTE NO BORRAR'!I453="","",IF('FUENTE NO BORRAR'!$A453&lt;&gt;"Resultado total",('FUENTE NO BORRAR'!I453),""))</f>
        <v>0</v>
      </c>
    </row>
    <row r="436" spans="1:9" x14ac:dyDescent="0.2">
      <c r="A436" s="5" t="str">
        <f>IF('FUENTE NO BORRAR'!A454="","",(IF('FUENTE NO BORRAR'!A454&lt;&gt;"Resultado total",'FUENTE NO BORRAR'!A454,"")))</f>
        <v/>
      </c>
      <c r="B436" s="5" t="str">
        <f>IF('FUENTE NO BORRAR'!B454="","",'FUENTE NO BORRAR'!B454)</f>
        <v/>
      </c>
      <c r="C436" s="5" t="str">
        <f>IF('FUENTE NO BORRAR'!C454="","",'FUENTE NO BORRAR'!C454)</f>
        <v/>
      </c>
      <c r="D436" s="5" t="str">
        <f>IF('FUENTE NO BORRAR'!D454="","",'FUENTE NO BORRAR'!D454)</f>
        <v/>
      </c>
      <c r="E436" s="5" t="str">
        <f>IF('FUENTE NO BORRAR'!E454="","",'FUENTE NO BORRAR'!E454)</f>
        <v/>
      </c>
      <c r="F436" s="6">
        <f>IF('FUENTE NO BORRAR'!F454="","",IF('FUENTE NO BORRAR'!$A454&lt;&gt;"Resultado total",('FUENTE NO BORRAR'!F454),""))</f>
        <v>54734.45</v>
      </c>
      <c r="G436" s="6">
        <f>IF('FUENTE NO BORRAR'!G454="","",IF('FUENTE NO BORRAR'!$A454&lt;&gt;"Resultado total",('FUENTE NO BORRAR'!G454),""))</f>
        <v>54734.45</v>
      </c>
      <c r="H436" s="6">
        <f>IF('FUENTE NO BORRAR'!H454="","",IF('FUENTE NO BORRAR'!$A454&lt;&gt;"Resultado total",('FUENTE NO BORRAR'!H454),""))</f>
        <v>51724.25</v>
      </c>
      <c r="I436" s="6">
        <f>IF('FUENTE NO BORRAR'!I454="","",IF('FUENTE NO BORRAR'!$A454&lt;&gt;"Resultado total",('FUENTE NO BORRAR'!I454),""))</f>
        <v>0</v>
      </c>
    </row>
    <row r="437" spans="1:9" x14ac:dyDescent="0.2">
      <c r="A437" s="5" t="str">
        <f>IF('FUENTE NO BORRAR'!A455="","",(IF('FUENTE NO BORRAR'!A455&lt;&gt;"Resultado total",'FUENTE NO BORRAR'!A455,"")))</f>
        <v/>
      </c>
      <c r="B437" s="5" t="str">
        <f>IF('FUENTE NO BORRAR'!B455="","",'FUENTE NO BORRAR'!B455)</f>
        <v/>
      </c>
      <c r="C437" s="5" t="str">
        <f>IF('FUENTE NO BORRAR'!C455="","",'FUENTE NO BORRAR'!C455)</f>
        <v/>
      </c>
      <c r="D437" s="5" t="str">
        <f>IF('FUENTE NO BORRAR'!D455="","",'FUENTE NO BORRAR'!D455)</f>
        <v/>
      </c>
      <c r="E437" s="5" t="str">
        <f>IF('FUENTE NO BORRAR'!E455="","",'FUENTE NO BORRAR'!E455)</f>
        <v/>
      </c>
      <c r="F437" s="6">
        <f>IF('FUENTE NO BORRAR'!F455="","",IF('FUENTE NO BORRAR'!$A455&lt;&gt;"Resultado total",('FUENTE NO BORRAR'!F455),""))</f>
        <v>17280.95</v>
      </c>
      <c r="G437" s="6">
        <f>IF('FUENTE NO BORRAR'!G455="","",IF('FUENTE NO BORRAR'!$A455&lt;&gt;"Resultado total",('FUENTE NO BORRAR'!G455),""))</f>
        <v>17280.95</v>
      </c>
      <c r="H437" s="6">
        <f>IF('FUENTE NO BORRAR'!H455="","",IF('FUENTE NO BORRAR'!$A455&lt;&gt;"Resultado total",('FUENTE NO BORRAR'!H455),""))</f>
        <v>17280.95</v>
      </c>
      <c r="I437" s="6">
        <f>IF('FUENTE NO BORRAR'!I455="","",IF('FUENTE NO BORRAR'!$A455&lt;&gt;"Resultado total",('FUENTE NO BORRAR'!I455),""))</f>
        <v>0</v>
      </c>
    </row>
    <row r="438" spans="1:9" x14ac:dyDescent="0.2">
      <c r="A438" s="5" t="str">
        <f>IF('FUENTE NO BORRAR'!A456="","",(IF('FUENTE NO BORRAR'!A456&lt;&gt;"Resultado total",'FUENTE NO BORRAR'!A456,"")))</f>
        <v/>
      </c>
      <c r="B438" s="5" t="str">
        <f>IF('FUENTE NO BORRAR'!B456="","",'FUENTE NO BORRAR'!B456)</f>
        <v/>
      </c>
      <c r="C438" s="5" t="str">
        <f>IF('FUENTE NO BORRAR'!C456="","",'FUENTE NO BORRAR'!C456)</f>
        <v/>
      </c>
      <c r="D438" s="5" t="str">
        <f>IF('FUENTE NO BORRAR'!D456="","",'FUENTE NO BORRAR'!D456)</f>
        <v/>
      </c>
      <c r="E438" s="5" t="str">
        <f>IF('FUENTE NO BORRAR'!E456="","",'FUENTE NO BORRAR'!E456)</f>
        <v/>
      </c>
      <c r="F438" s="6">
        <f>IF('FUENTE NO BORRAR'!F456="","",IF('FUENTE NO BORRAR'!$A456&lt;&gt;"Resultado total",('FUENTE NO BORRAR'!F456),""))</f>
        <v>35320.01</v>
      </c>
      <c r="G438" s="6">
        <f>IF('FUENTE NO BORRAR'!G456="","",IF('FUENTE NO BORRAR'!$A456&lt;&gt;"Resultado total",('FUENTE NO BORRAR'!G456),""))</f>
        <v>35320.01</v>
      </c>
      <c r="H438" s="6">
        <f>IF('FUENTE NO BORRAR'!H456="","",IF('FUENTE NO BORRAR'!$A456&lt;&gt;"Resultado total",('FUENTE NO BORRAR'!H456),""))</f>
        <v>35319.910000000003</v>
      </c>
      <c r="I438" s="6">
        <f>IF('FUENTE NO BORRAR'!I456="","",IF('FUENTE NO BORRAR'!$A456&lt;&gt;"Resultado total",('FUENTE NO BORRAR'!I456),""))</f>
        <v>0</v>
      </c>
    </row>
    <row r="439" spans="1:9" x14ac:dyDescent="0.2">
      <c r="A439" s="5" t="str">
        <f>IF('FUENTE NO BORRAR'!A457="","",(IF('FUENTE NO BORRAR'!A457&lt;&gt;"Resultado total",'FUENTE NO BORRAR'!A457,"")))</f>
        <v/>
      </c>
      <c r="B439" s="5" t="str">
        <f>IF('FUENTE NO BORRAR'!B457="","",'FUENTE NO BORRAR'!B457)</f>
        <v/>
      </c>
      <c r="C439" s="5" t="str">
        <f>IF('FUENTE NO BORRAR'!C457="","",'FUENTE NO BORRAR'!C457)</f>
        <v/>
      </c>
      <c r="D439" s="5" t="str">
        <f>IF('FUENTE NO BORRAR'!D457="","",'FUENTE NO BORRAR'!D457)</f>
        <v/>
      </c>
      <c r="E439" s="5" t="str">
        <f>IF('FUENTE NO BORRAR'!E457="","",'FUENTE NO BORRAR'!E457)</f>
        <v/>
      </c>
      <c r="F439" s="6">
        <f>IF('FUENTE NO BORRAR'!F457="","",IF('FUENTE NO BORRAR'!$A457&lt;&gt;"Resultado total",('FUENTE NO BORRAR'!F457),""))</f>
        <v>5220</v>
      </c>
      <c r="G439" s="6">
        <f>IF('FUENTE NO BORRAR'!G457="","",IF('FUENTE NO BORRAR'!$A457&lt;&gt;"Resultado total",('FUENTE NO BORRAR'!G457),""))</f>
        <v>5220</v>
      </c>
      <c r="H439" s="6">
        <f>IF('FUENTE NO BORRAR'!H457="","",IF('FUENTE NO BORRAR'!$A457&lt;&gt;"Resultado total",('FUENTE NO BORRAR'!H457),""))</f>
        <v>5220</v>
      </c>
      <c r="I439" s="6">
        <f>IF('FUENTE NO BORRAR'!I457="","",IF('FUENTE NO BORRAR'!$A457&lt;&gt;"Resultado total",('FUENTE NO BORRAR'!I457),""))</f>
        <v>0</v>
      </c>
    </row>
    <row r="440" spans="1:9" x14ac:dyDescent="0.2">
      <c r="A440" s="5" t="str">
        <f>IF('FUENTE NO BORRAR'!A458="","",(IF('FUENTE NO BORRAR'!A458&lt;&gt;"Resultado total",'FUENTE NO BORRAR'!A458,"")))</f>
        <v/>
      </c>
      <c r="B440" s="5" t="str">
        <f>IF('FUENTE NO BORRAR'!B458="","",'FUENTE NO BORRAR'!B458)</f>
        <v/>
      </c>
      <c r="C440" s="5" t="str">
        <f>IF('FUENTE NO BORRAR'!C458="","",'FUENTE NO BORRAR'!C458)</f>
        <v/>
      </c>
      <c r="D440" s="5" t="str">
        <f>IF('FUENTE NO BORRAR'!D458="","",'FUENTE NO BORRAR'!D458)</f>
        <v/>
      </c>
      <c r="E440" s="5" t="str">
        <f>IF('FUENTE NO BORRAR'!E458="","",'FUENTE NO BORRAR'!E458)</f>
        <v/>
      </c>
      <c r="F440" s="6">
        <f>IF('FUENTE NO BORRAR'!F458="","",IF('FUENTE NO BORRAR'!$A458&lt;&gt;"Resultado total",('FUENTE NO BORRAR'!F458),""))</f>
        <v>48495.63</v>
      </c>
      <c r="G440" s="6">
        <f>IF('FUENTE NO BORRAR'!G458="","",IF('FUENTE NO BORRAR'!$A458&lt;&gt;"Resultado total",('FUENTE NO BORRAR'!G458),""))</f>
        <v>48495.63</v>
      </c>
      <c r="H440" s="6">
        <f>IF('FUENTE NO BORRAR'!H458="","",IF('FUENTE NO BORRAR'!$A458&lt;&gt;"Resultado total",('FUENTE NO BORRAR'!H458),""))</f>
        <v>48495.63</v>
      </c>
      <c r="I440" s="6">
        <f>IF('FUENTE NO BORRAR'!I458="","",IF('FUENTE NO BORRAR'!$A458&lt;&gt;"Resultado total",('FUENTE NO BORRAR'!I458),""))</f>
        <v>0</v>
      </c>
    </row>
    <row r="441" spans="1:9" x14ac:dyDescent="0.2">
      <c r="A441" s="5" t="str">
        <f>IF('FUENTE NO BORRAR'!A459="","",(IF('FUENTE NO BORRAR'!A459&lt;&gt;"Resultado total",'FUENTE NO BORRAR'!A459,"")))</f>
        <v/>
      </c>
      <c r="B441" s="5" t="str">
        <f>IF('FUENTE NO BORRAR'!B459="","",'FUENTE NO BORRAR'!B459)</f>
        <v/>
      </c>
      <c r="C441" s="5" t="str">
        <f>IF('FUENTE NO BORRAR'!C459="","",'FUENTE NO BORRAR'!C459)</f>
        <v/>
      </c>
      <c r="D441" s="5" t="str">
        <f>IF('FUENTE NO BORRAR'!D459="","",'FUENTE NO BORRAR'!D459)</f>
        <v/>
      </c>
      <c r="E441" s="5" t="str">
        <f>IF('FUENTE NO BORRAR'!E459="","",'FUENTE NO BORRAR'!E459)</f>
        <v/>
      </c>
      <c r="F441" s="6">
        <f>IF('FUENTE NO BORRAR'!F459="","",IF('FUENTE NO BORRAR'!$A459&lt;&gt;"Resultado total",('FUENTE NO BORRAR'!F459),""))</f>
        <v>30</v>
      </c>
      <c r="G441" s="6">
        <f>IF('FUENTE NO BORRAR'!G459="","",IF('FUENTE NO BORRAR'!$A459&lt;&gt;"Resultado total",('FUENTE NO BORRAR'!G459),""))</f>
        <v>30</v>
      </c>
      <c r="H441" s="6">
        <f>IF('FUENTE NO BORRAR'!H459="","",IF('FUENTE NO BORRAR'!$A459&lt;&gt;"Resultado total",('FUENTE NO BORRAR'!H459),""))</f>
        <v>30</v>
      </c>
      <c r="I441" s="6">
        <f>IF('FUENTE NO BORRAR'!I459="","",IF('FUENTE NO BORRAR'!$A459&lt;&gt;"Resultado total",('FUENTE NO BORRAR'!I459),""))</f>
        <v>0</v>
      </c>
    </row>
    <row r="442" spans="1:9" x14ac:dyDescent="0.2">
      <c r="A442" s="5" t="str">
        <f>IF('FUENTE NO BORRAR'!A460="","",(IF('FUENTE NO BORRAR'!A460&lt;&gt;"Resultado total",'FUENTE NO BORRAR'!A460,"")))</f>
        <v/>
      </c>
      <c r="B442" s="5" t="str">
        <f>IF('FUENTE NO BORRAR'!B460="","",'FUENTE NO BORRAR'!B460)</f>
        <v/>
      </c>
      <c r="C442" s="5" t="str">
        <f>IF('FUENTE NO BORRAR'!C460="","",'FUENTE NO BORRAR'!C460)</f>
        <v/>
      </c>
      <c r="D442" s="5" t="str">
        <f>IF('FUENTE NO BORRAR'!D460="","",'FUENTE NO BORRAR'!D460)</f>
        <v/>
      </c>
      <c r="E442" s="5" t="str">
        <f>IF('FUENTE NO BORRAR'!E460="","",'FUENTE NO BORRAR'!E460)</f>
        <v/>
      </c>
      <c r="F442" s="6">
        <f>IF('FUENTE NO BORRAR'!F460="","",IF('FUENTE NO BORRAR'!$A460&lt;&gt;"Resultado total",('FUENTE NO BORRAR'!F460),""))</f>
        <v>19554.41</v>
      </c>
      <c r="G442" s="6">
        <f>IF('FUENTE NO BORRAR'!G460="","",IF('FUENTE NO BORRAR'!$A460&lt;&gt;"Resultado total",('FUENTE NO BORRAR'!G460),""))</f>
        <v>19554.41</v>
      </c>
      <c r="H442" s="6">
        <f>IF('FUENTE NO BORRAR'!H460="","",IF('FUENTE NO BORRAR'!$A460&lt;&gt;"Resultado total",('FUENTE NO BORRAR'!H460),""))</f>
        <v>19554.400000000001</v>
      </c>
      <c r="I442" s="6">
        <f>IF('FUENTE NO BORRAR'!I460="","",IF('FUENTE NO BORRAR'!$A460&lt;&gt;"Resultado total",('FUENTE NO BORRAR'!I460),""))</f>
        <v>0</v>
      </c>
    </row>
    <row r="443" spans="1:9" x14ac:dyDescent="0.2">
      <c r="A443" s="5" t="str">
        <f>IF('FUENTE NO BORRAR'!A461="","",(IF('FUENTE NO BORRAR'!A461&lt;&gt;"Resultado total",'FUENTE NO BORRAR'!A461,"")))</f>
        <v/>
      </c>
      <c r="B443" s="5" t="str">
        <f>IF('FUENTE NO BORRAR'!B461="","",'FUENTE NO BORRAR'!B461)</f>
        <v/>
      </c>
      <c r="C443" s="5" t="str">
        <f>IF('FUENTE NO BORRAR'!C461="","",'FUENTE NO BORRAR'!C461)</f>
        <v/>
      </c>
      <c r="D443" s="5" t="str">
        <f>IF('FUENTE NO BORRAR'!D461="","",'FUENTE NO BORRAR'!D461)</f>
        <v/>
      </c>
      <c r="E443" s="5" t="str">
        <f>IF('FUENTE NO BORRAR'!E461="","",'FUENTE NO BORRAR'!E461)</f>
        <v/>
      </c>
      <c r="F443" s="6">
        <f>IF('FUENTE NO BORRAR'!F461="","",IF('FUENTE NO BORRAR'!$A461&lt;&gt;"Resultado total",('FUENTE NO BORRAR'!F461),""))</f>
        <v>21610</v>
      </c>
      <c r="G443" s="6">
        <f>IF('FUENTE NO BORRAR'!G461="","",IF('FUENTE NO BORRAR'!$A461&lt;&gt;"Resultado total",('FUENTE NO BORRAR'!G461),""))</f>
        <v>21610</v>
      </c>
      <c r="H443" s="6">
        <f>IF('FUENTE NO BORRAR'!H461="","",IF('FUENTE NO BORRAR'!$A461&lt;&gt;"Resultado total",('FUENTE NO BORRAR'!H461),""))</f>
        <v>21609.97</v>
      </c>
      <c r="I443" s="6">
        <f>IF('FUENTE NO BORRAR'!I461="","",IF('FUENTE NO BORRAR'!$A461&lt;&gt;"Resultado total",('FUENTE NO BORRAR'!I461),""))</f>
        <v>0</v>
      </c>
    </row>
    <row r="444" spans="1:9" x14ac:dyDescent="0.2">
      <c r="A444" s="5" t="str">
        <f>IF('FUENTE NO BORRAR'!A462="","",(IF('FUENTE NO BORRAR'!A462&lt;&gt;"Resultado total",'FUENTE NO BORRAR'!A462,"")))</f>
        <v/>
      </c>
      <c r="B444" s="5" t="str">
        <f>IF('FUENTE NO BORRAR'!B462="","",'FUENTE NO BORRAR'!B462)</f>
        <v/>
      </c>
      <c r="C444" s="5" t="str">
        <f>IF('FUENTE NO BORRAR'!C462="","",'FUENTE NO BORRAR'!C462)</f>
        <v/>
      </c>
      <c r="D444" s="5" t="str">
        <f>IF('FUENTE NO BORRAR'!D462="","",'FUENTE NO BORRAR'!D462)</f>
        <v/>
      </c>
      <c r="E444" s="5" t="str">
        <f>IF('FUENTE NO BORRAR'!E462="","",'FUENTE NO BORRAR'!E462)</f>
        <v/>
      </c>
      <c r="F444" s="6">
        <f>IF('FUENTE NO BORRAR'!F462="","",IF('FUENTE NO BORRAR'!$A462&lt;&gt;"Resultado total",('FUENTE NO BORRAR'!F462),""))</f>
        <v>1074.33</v>
      </c>
      <c r="G444" s="6">
        <f>IF('FUENTE NO BORRAR'!G462="","",IF('FUENTE NO BORRAR'!$A462&lt;&gt;"Resultado total",('FUENTE NO BORRAR'!G462),""))</f>
        <v>1074.33</v>
      </c>
      <c r="H444" s="6">
        <f>IF('FUENTE NO BORRAR'!H462="","",IF('FUENTE NO BORRAR'!$A462&lt;&gt;"Resultado total",('FUENTE NO BORRAR'!H462),""))</f>
        <v>1074.33</v>
      </c>
      <c r="I444" s="6">
        <f>IF('FUENTE NO BORRAR'!I462="","",IF('FUENTE NO BORRAR'!$A462&lt;&gt;"Resultado total",('FUENTE NO BORRAR'!I462),""))</f>
        <v>0</v>
      </c>
    </row>
    <row r="445" spans="1:9" x14ac:dyDescent="0.2">
      <c r="A445" s="5" t="str">
        <f>IF('FUENTE NO BORRAR'!A463="","",(IF('FUENTE NO BORRAR'!A463&lt;&gt;"Resultado total",'FUENTE NO BORRAR'!A463,"")))</f>
        <v/>
      </c>
      <c r="B445" s="5" t="str">
        <f>IF('FUENTE NO BORRAR'!B463="","",'FUENTE NO BORRAR'!B463)</f>
        <v/>
      </c>
      <c r="C445" s="5" t="str">
        <f>IF('FUENTE NO BORRAR'!C463="","",'FUENTE NO BORRAR'!C463)</f>
        <v/>
      </c>
      <c r="D445" s="5" t="str">
        <f>IF('FUENTE NO BORRAR'!D463="","",'FUENTE NO BORRAR'!D463)</f>
        <v/>
      </c>
      <c r="E445" s="5" t="str">
        <f>IF('FUENTE NO BORRAR'!E463="","",'FUENTE NO BORRAR'!E463)</f>
        <v/>
      </c>
      <c r="F445" s="6">
        <f>IF('FUENTE NO BORRAR'!F463="","",IF('FUENTE NO BORRAR'!$A463&lt;&gt;"Resultado total",('FUENTE NO BORRAR'!F463),""))</f>
        <v>437</v>
      </c>
      <c r="G445" s="6">
        <f>IF('FUENTE NO BORRAR'!G463="","",IF('FUENTE NO BORRAR'!$A463&lt;&gt;"Resultado total",('FUENTE NO BORRAR'!G463),""))</f>
        <v>437</v>
      </c>
      <c r="H445" s="6">
        <f>IF('FUENTE NO BORRAR'!H463="","",IF('FUENTE NO BORRAR'!$A463&lt;&gt;"Resultado total",('FUENTE NO BORRAR'!H463),""))</f>
        <v>437</v>
      </c>
      <c r="I445" s="6">
        <f>IF('FUENTE NO BORRAR'!I463="","",IF('FUENTE NO BORRAR'!$A463&lt;&gt;"Resultado total",('FUENTE NO BORRAR'!I463),""))</f>
        <v>0</v>
      </c>
    </row>
    <row r="446" spans="1:9" x14ac:dyDescent="0.2">
      <c r="A446" s="5" t="str">
        <f>IF('FUENTE NO BORRAR'!A464="","",(IF('FUENTE NO BORRAR'!A464&lt;&gt;"Resultado total",'FUENTE NO BORRAR'!A464,"")))</f>
        <v/>
      </c>
      <c r="B446" s="5" t="str">
        <f>IF('FUENTE NO BORRAR'!B464="","",'FUENTE NO BORRAR'!B464)</f>
        <v/>
      </c>
      <c r="C446" s="5" t="str">
        <f>IF('FUENTE NO BORRAR'!C464="","",'FUENTE NO BORRAR'!C464)</f>
        <v/>
      </c>
      <c r="D446" s="5" t="str">
        <f>IF('FUENTE NO BORRAR'!D464="","",'FUENTE NO BORRAR'!D464)</f>
        <v/>
      </c>
      <c r="E446" s="5" t="str">
        <f>IF('FUENTE NO BORRAR'!E464="","",'FUENTE NO BORRAR'!E464)</f>
        <v/>
      </c>
      <c r="F446" s="6">
        <f>IF('FUENTE NO BORRAR'!F464="","",IF('FUENTE NO BORRAR'!$A464&lt;&gt;"Resultado total",('FUENTE NO BORRAR'!F464),""))</f>
        <v>94.79</v>
      </c>
      <c r="G446" s="6">
        <f>IF('FUENTE NO BORRAR'!G464="","",IF('FUENTE NO BORRAR'!$A464&lt;&gt;"Resultado total",('FUENTE NO BORRAR'!G464),""))</f>
        <v>94.79</v>
      </c>
      <c r="H446" s="6">
        <f>IF('FUENTE NO BORRAR'!H464="","",IF('FUENTE NO BORRAR'!$A464&lt;&gt;"Resultado total",('FUENTE NO BORRAR'!H464),""))</f>
        <v>94.79</v>
      </c>
      <c r="I446" s="6">
        <f>IF('FUENTE NO BORRAR'!I464="","",IF('FUENTE NO BORRAR'!$A464&lt;&gt;"Resultado total",('FUENTE NO BORRAR'!I464),""))</f>
        <v>0</v>
      </c>
    </row>
    <row r="447" spans="1:9" x14ac:dyDescent="0.2">
      <c r="A447" s="5" t="str">
        <f>IF('FUENTE NO BORRAR'!A465="","",(IF('FUENTE NO BORRAR'!A465&lt;&gt;"Resultado total",'FUENTE NO BORRAR'!A465,"")))</f>
        <v/>
      </c>
      <c r="B447" s="5" t="str">
        <f>IF('FUENTE NO BORRAR'!B465="","",'FUENTE NO BORRAR'!B465)</f>
        <v/>
      </c>
      <c r="C447" s="5" t="str">
        <f>IF('FUENTE NO BORRAR'!C465="","",'FUENTE NO BORRAR'!C465)</f>
        <v/>
      </c>
      <c r="D447" s="5" t="str">
        <f>IF('FUENTE NO BORRAR'!D465="","",'FUENTE NO BORRAR'!D465)</f>
        <v/>
      </c>
      <c r="E447" s="5" t="str">
        <f>IF('FUENTE NO BORRAR'!E465="","",'FUENTE NO BORRAR'!E465)</f>
        <v/>
      </c>
      <c r="F447" s="6">
        <f>IF('FUENTE NO BORRAR'!F465="","",IF('FUENTE NO BORRAR'!$A465&lt;&gt;"Resultado total",('FUENTE NO BORRAR'!F465),""))</f>
        <v>9792.08</v>
      </c>
      <c r="G447" s="6">
        <f>IF('FUENTE NO BORRAR'!G465="","",IF('FUENTE NO BORRAR'!$A465&lt;&gt;"Resultado total",('FUENTE NO BORRAR'!G465),""))</f>
        <v>9792.08</v>
      </c>
      <c r="H447" s="6">
        <f>IF('FUENTE NO BORRAR'!H465="","",IF('FUENTE NO BORRAR'!$A465&lt;&gt;"Resultado total",('FUENTE NO BORRAR'!H465),""))</f>
        <v>9792.08</v>
      </c>
      <c r="I447" s="6">
        <f>IF('FUENTE NO BORRAR'!I465="","",IF('FUENTE NO BORRAR'!$A465&lt;&gt;"Resultado total",('FUENTE NO BORRAR'!I465),""))</f>
        <v>0</v>
      </c>
    </row>
    <row r="448" spans="1:9" x14ac:dyDescent="0.2">
      <c r="A448" s="5" t="str">
        <f>IF('FUENTE NO BORRAR'!A466="","",(IF('FUENTE NO BORRAR'!A466&lt;&gt;"Resultado total",'FUENTE NO BORRAR'!A466,"")))</f>
        <v/>
      </c>
      <c r="B448" s="5" t="str">
        <f>IF('FUENTE NO BORRAR'!B466="","",'FUENTE NO BORRAR'!B466)</f>
        <v/>
      </c>
      <c r="C448" s="5" t="str">
        <f>IF('FUENTE NO BORRAR'!C466="","",'FUENTE NO BORRAR'!C466)</f>
        <v/>
      </c>
      <c r="D448" s="5" t="str">
        <f>IF('FUENTE NO BORRAR'!D466="","",'FUENTE NO BORRAR'!D466)</f>
        <v/>
      </c>
      <c r="E448" s="5" t="str">
        <f>IF('FUENTE NO BORRAR'!E466="","",'FUENTE NO BORRAR'!E466)</f>
        <v/>
      </c>
      <c r="F448" s="6">
        <f>IF('FUENTE NO BORRAR'!F466="","",IF('FUENTE NO BORRAR'!$A466&lt;&gt;"Resultado total",('FUENTE NO BORRAR'!F466),""))</f>
        <v>3116.7</v>
      </c>
      <c r="G448" s="6">
        <f>IF('FUENTE NO BORRAR'!G466="","",IF('FUENTE NO BORRAR'!$A466&lt;&gt;"Resultado total",('FUENTE NO BORRAR'!G466),""))</f>
        <v>3116.7</v>
      </c>
      <c r="H448" s="6">
        <f>IF('FUENTE NO BORRAR'!H466="","",IF('FUENTE NO BORRAR'!$A466&lt;&gt;"Resultado total",('FUENTE NO BORRAR'!H466),""))</f>
        <v>3116.7</v>
      </c>
      <c r="I448" s="6">
        <f>IF('FUENTE NO BORRAR'!I466="","",IF('FUENTE NO BORRAR'!$A466&lt;&gt;"Resultado total",('FUENTE NO BORRAR'!I466),""))</f>
        <v>0</v>
      </c>
    </row>
    <row r="449" spans="1:9" x14ac:dyDescent="0.2">
      <c r="A449" s="5" t="str">
        <f>IF('FUENTE NO BORRAR'!A467="","",(IF('FUENTE NO BORRAR'!A467&lt;&gt;"Resultado total",'FUENTE NO BORRAR'!A467,"")))</f>
        <v/>
      </c>
      <c r="B449" s="5" t="str">
        <f>IF('FUENTE NO BORRAR'!B467="","",'FUENTE NO BORRAR'!B467)</f>
        <v/>
      </c>
      <c r="C449" s="5" t="str">
        <f>IF('FUENTE NO BORRAR'!C467="","",'FUENTE NO BORRAR'!C467)</f>
        <v/>
      </c>
      <c r="D449" s="5" t="str">
        <f>IF('FUENTE NO BORRAR'!D467="","",'FUENTE NO BORRAR'!D467)</f>
        <v/>
      </c>
      <c r="E449" s="5" t="str">
        <f>IF('FUENTE NO BORRAR'!E467="","",'FUENTE NO BORRAR'!E467)</f>
        <v/>
      </c>
      <c r="F449" s="6">
        <f>IF('FUENTE NO BORRAR'!F467="","",IF('FUENTE NO BORRAR'!$A467&lt;&gt;"Resultado total",('FUENTE NO BORRAR'!F467),""))</f>
        <v>10995</v>
      </c>
      <c r="G449" s="6">
        <f>IF('FUENTE NO BORRAR'!G467="","",IF('FUENTE NO BORRAR'!$A467&lt;&gt;"Resultado total",('FUENTE NO BORRAR'!G467),""))</f>
        <v>10995</v>
      </c>
      <c r="H449" s="6">
        <f>IF('FUENTE NO BORRAR'!H467="","",IF('FUENTE NO BORRAR'!$A467&lt;&gt;"Resultado total",('FUENTE NO BORRAR'!H467),""))</f>
        <v>9103</v>
      </c>
      <c r="I449" s="6">
        <f>IF('FUENTE NO BORRAR'!I467="","",IF('FUENTE NO BORRAR'!$A467&lt;&gt;"Resultado total",('FUENTE NO BORRAR'!I467),""))</f>
        <v>0</v>
      </c>
    </row>
    <row r="450" spans="1:9" x14ac:dyDescent="0.2">
      <c r="A450" s="5" t="str">
        <f>IF('FUENTE NO BORRAR'!A468="","",(IF('FUENTE NO BORRAR'!A468&lt;&gt;"Resultado total",'FUENTE NO BORRAR'!A468,"")))</f>
        <v/>
      </c>
      <c r="B450" s="5" t="str">
        <f>IF('FUENTE NO BORRAR'!B468="","",'FUENTE NO BORRAR'!B468)</f>
        <v/>
      </c>
      <c r="C450" s="5" t="str">
        <f>IF('FUENTE NO BORRAR'!C468="","",'FUENTE NO BORRAR'!C468)</f>
        <v/>
      </c>
      <c r="D450" s="5" t="str">
        <f>IF('FUENTE NO BORRAR'!D468="","",'FUENTE NO BORRAR'!D468)</f>
        <v/>
      </c>
      <c r="E450" s="5" t="str">
        <f>IF('FUENTE NO BORRAR'!E468="","",'FUENTE NO BORRAR'!E468)</f>
        <v/>
      </c>
      <c r="F450" s="6">
        <f>IF('FUENTE NO BORRAR'!F468="","",IF('FUENTE NO BORRAR'!$A468&lt;&gt;"Resultado total",('FUENTE NO BORRAR'!F468),""))</f>
        <v>2001</v>
      </c>
      <c r="G450" s="6">
        <f>IF('FUENTE NO BORRAR'!G468="","",IF('FUENTE NO BORRAR'!$A468&lt;&gt;"Resultado total",('FUENTE NO BORRAR'!G468),""))</f>
        <v>2001</v>
      </c>
      <c r="H450" s="6">
        <f>IF('FUENTE NO BORRAR'!H468="","",IF('FUENTE NO BORRAR'!$A468&lt;&gt;"Resultado total",('FUENTE NO BORRAR'!H468),""))</f>
        <v>2001</v>
      </c>
      <c r="I450" s="6">
        <f>IF('FUENTE NO BORRAR'!I468="","",IF('FUENTE NO BORRAR'!$A468&lt;&gt;"Resultado total",('FUENTE NO BORRAR'!I468),""))</f>
        <v>0</v>
      </c>
    </row>
    <row r="451" spans="1:9" x14ac:dyDescent="0.2">
      <c r="A451" s="5" t="str">
        <f>IF('FUENTE NO BORRAR'!A469="","",(IF('FUENTE NO BORRAR'!A469&lt;&gt;"Resultado total",'FUENTE NO BORRAR'!A469,"")))</f>
        <v/>
      </c>
      <c r="B451" s="5" t="str">
        <f>IF('FUENTE NO BORRAR'!B469="","",'FUENTE NO BORRAR'!B469)</f>
        <v/>
      </c>
      <c r="C451" s="5" t="str">
        <f>IF('FUENTE NO BORRAR'!C469="","",'FUENTE NO BORRAR'!C469)</f>
        <v/>
      </c>
      <c r="D451" s="5" t="str">
        <f>IF('FUENTE NO BORRAR'!D469="","",'FUENTE NO BORRAR'!D469)</f>
        <v/>
      </c>
      <c r="E451" s="5" t="str">
        <f>IF('FUENTE NO BORRAR'!E469="","",'FUENTE NO BORRAR'!E469)</f>
        <v/>
      </c>
      <c r="F451" s="6">
        <f>IF('FUENTE NO BORRAR'!F469="","",IF('FUENTE NO BORRAR'!$A469&lt;&gt;"Resultado total",('FUENTE NO BORRAR'!F469),""))</f>
        <v>21699.61</v>
      </c>
      <c r="G451" s="6">
        <f>IF('FUENTE NO BORRAR'!G469="","",IF('FUENTE NO BORRAR'!$A469&lt;&gt;"Resultado total",('FUENTE NO BORRAR'!G469),""))</f>
        <v>21699.61</v>
      </c>
      <c r="H451" s="6">
        <f>IF('FUENTE NO BORRAR'!H469="","",IF('FUENTE NO BORRAR'!$A469&lt;&gt;"Resultado total",('FUENTE NO BORRAR'!H469),""))</f>
        <v>21699.61</v>
      </c>
      <c r="I451" s="6">
        <f>IF('FUENTE NO BORRAR'!I469="","",IF('FUENTE NO BORRAR'!$A469&lt;&gt;"Resultado total",('FUENTE NO BORRAR'!I469),""))</f>
        <v>0</v>
      </c>
    </row>
    <row r="452" spans="1:9" x14ac:dyDescent="0.2">
      <c r="A452" s="5" t="str">
        <f>IF('FUENTE NO BORRAR'!A470="","",(IF('FUENTE NO BORRAR'!A470&lt;&gt;"Resultado total",'FUENTE NO BORRAR'!A470,"")))</f>
        <v/>
      </c>
      <c r="B452" s="5" t="str">
        <f>IF('FUENTE NO BORRAR'!B470="","",'FUENTE NO BORRAR'!B470)</f>
        <v/>
      </c>
      <c r="C452" s="5" t="str">
        <f>IF('FUENTE NO BORRAR'!C470="","",'FUENTE NO BORRAR'!C470)</f>
        <v/>
      </c>
      <c r="D452" s="5" t="str">
        <f>IF('FUENTE NO BORRAR'!D470="","",'FUENTE NO BORRAR'!D470)</f>
        <v/>
      </c>
      <c r="E452" s="5" t="str">
        <f>IF('FUENTE NO BORRAR'!E470="","",'FUENTE NO BORRAR'!E470)</f>
        <v/>
      </c>
      <c r="F452" s="6">
        <f>IF('FUENTE NO BORRAR'!F470="","",IF('FUENTE NO BORRAR'!$A470&lt;&gt;"Resultado total",('FUENTE NO BORRAR'!F470),""))</f>
        <v>4610</v>
      </c>
      <c r="G452" s="6">
        <f>IF('FUENTE NO BORRAR'!G470="","",IF('FUENTE NO BORRAR'!$A470&lt;&gt;"Resultado total",('FUENTE NO BORRAR'!G470),""))</f>
        <v>4610</v>
      </c>
      <c r="H452" s="6">
        <f>IF('FUENTE NO BORRAR'!H470="","",IF('FUENTE NO BORRAR'!$A470&lt;&gt;"Resultado total",('FUENTE NO BORRAR'!H470),""))</f>
        <v>4609.9799999999996</v>
      </c>
      <c r="I452" s="6">
        <f>IF('FUENTE NO BORRAR'!I470="","",IF('FUENTE NO BORRAR'!$A470&lt;&gt;"Resultado total",('FUENTE NO BORRAR'!I470),""))</f>
        <v>0</v>
      </c>
    </row>
    <row r="453" spans="1:9" x14ac:dyDescent="0.2">
      <c r="A453" s="5" t="str">
        <f>IF('FUENTE NO BORRAR'!A471="","",(IF('FUENTE NO BORRAR'!A471&lt;&gt;"Resultado total",'FUENTE NO BORRAR'!A471,"")))</f>
        <v/>
      </c>
      <c r="B453" s="5" t="str">
        <f>IF('FUENTE NO BORRAR'!B471="","",'FUENTE NO BORRAR'!B471)</f>
        <v/>
      </c>
      <c r="C453" s="5" t="str">
        <f>IF('FUENTE NO BORRAR'!C471="","",'FUENTE NO BORRAR'!C471)</f>
        <v/>
      </c>
      <c r="D453" s="5" t="str">
        <f>IF('FUENTE NO BORRAR'!D471="","",'FUENTE NO BORRAR'!D471)</f>
        <v/>
      </c>
      <c r="E453" s="5" t="str">
        <f>IF('FUENTE NO BORRAR'!E471="","",'FUENTE NO BORRAR'!E471)</f>
        <v/>
      </c>
      <c r="F453" s="6">
        <f>IF('FUENTE NO BORRAR'!F471="","",IF('FUENTE NO BORRAR'!$A471&lt;&gt;"Resultado total",('FUENTE NO BORRAR'!F471),""))</f>
        <v>167244.75</v>
      </c>
      <c r="G453" s="6">
        <f>IF('FUENTE NO BORRAR'!G471="","",IF('FUENTE NO BORRAR'!$A471&lt;&gt;"Resultado total",('FUENTE NO BORRAR'!G471),""))</f>
        <v>167244.75</v>
      </c>
      <c r="H453" s="6">
        <f>IF('FUENTE NO BORRAR'!H471="","",IF('FUENTE NO BORRAR'!$A471&lt;&gt;"Resultado total",('FUENTE NO BORRAR'!H471),""))</f>
        <v>153324.75</v>
      </c>
      <c r="I453" s="6">
        <f>IF('FUENTE NO BORRAR'!I471="","",IF('FUENTE NO BORRAR'!$A471&lt;&gt;"Resultado total",('FUENTE NO BORRAR'!I471),""))</f>
        <v>0</v>
      </c>
    </row>
    <row r="454" spans="1:9" x14ac:dyDescent="0.2">
      <c r="A454" s="5" t="str">
        <f>IF('FUENTE NO BORRAR'!A472="","",(IF('FUENTE NO BORRAR'!A472&lt;&gt;"Resultado total",'FUENTE NO BORRAR'!A472,"")))</f>
        <v/>
      </c>
      <c r="B454" s="5" t="str">
        <f>IF('FUENTE NO BORRAR'!B472="","",'FUENTE NO BORRAR'!B472)</f>
        <v/>
      </c>
      <c r="C454" s="5" t="str">
        <f>IF('FUENTE NO BORRAR'!C472="","",'FUENTE NO BORRAR'!C472)</f>
        <v/>
      </c>
      <c r="D454" s="5" t="str">
        <f>IF('FUENTE NO BORRAR'!D472="","",'FUENTE NO BORRAR'!D472)</f>
        <v/>
      </c>
      <c r="E454" s="5" t="str">
        <f>IF('FUENTE NO BORRAR'!E472="","",'FUENTE NO BORRAR'!E472)</f>
        <v/>
      </c>
      <c r="F454" s="6">
        <f>IF('FUENTE NO BORRAR'!F472="","",IF('FUENTE NO BORRAR'!$A472&lt;&gt;"Resultado total",('FUENTE NO BORRAR'!F472),""))</f>
        <v>1500</v>
      </c>
      <c r="G454" s="6">
        <f>IF('FUENTE NO BORRAR'!G472="","",IF('FUENTE NO BORRAR'!$A472&lt;&gt;"Resultado total",('FUENTE NO BORRAR'!G472),""))</f>
        <v>1500</v>
      </c>
      <c r="H454" s="6">
        <f>IF('FUENTE NO BORRAR'!H472="","",IF('FUENTE NO BORRAR'!$A472&lt;&gt;"Resultado total",('FUENTE NO BORRAR'!H472),""))</f>
        <v>1500</v>
      </c>
      <c r="I454" s="6">
        <f>IF('FUENTE NO BORRAR'!I472="","",IF('FUENTE NO BORRAR'!$A472&lt;&gt;"Resultado total",('FUENTE NO BORRAR'!I472),""))</f>
        <v>0</v>
      </c>
    </row>
    <row r="455" spans="1:9" x14ac:dyDescent="0.2">
      <c r="A455" s="5" t="str">
        <f>IF('FUENTE NO BORRAR'!A473="","",(IF('FUENTE NO BORRAR'!A473&lt;&gt;"Resultado total",'FUENTE NO BORRAR'!A473,"")))</f>
        <v/>
      </c>
      <c r="B455" s="5" t="str">
        <f>IF('FUENTE NO BORRAR'!B473="","",'FUENTE NO BORRAR'!B473)</f>
        <v/>
      </c>
      <c r="C455" s="5" t="str">
        <f>IF('FUENTE NO BORRAR'!C473="","",'FUENTE NO BORRAR'!C473)</f>
        <v/>
      </c>
      <c r="D455" s="5" t="str">
        <f>IF('FUENTE NO BORRAR'!D473="","",'FUENTE NO BORRAR'!D473)</f>
        <v/>
      </c>
      <c r="E455" s="5" t="str">
        <f>IF('FUENTE NO BORRAR'!E473="","",'FUENTE NO BORRAR'!E473)</f>
        <v/>
      </c>
      <c r="F455" s="6">
        <f>IF('FUENTE NO BORRAR'!F473="","",IF('FUENTE NO BORRAR'!$A473&lt;&gt;"Resultado total",('FUENTE NO BORRAR'!F473),""))</f>
        <v>40421.07</v>
      </c>
      <c r="G455" s="6">
        <f>IF('FUENTE NO BORRAR'!G473="","",IF('FUENTE NO BORRAR'!$A473&lt;&gt;"Resultado total",('FUENTE NO BORRAR'!G473),""))</f>
        <v>40421.07</v>
      </c>
      <c r="H455" s="6">
        <f>IF('FUENTE NO BORRAR'!H473="","",IF('FUENTE NO BORRAR'!$A473&lt;&gt;"Resultado total",('FUENTE NO BORRAR'!H473),""))</f>
        <v>34899.47</v>
      </c>
      <c r="I455" s="6">
        <f>IF('FUENTE NO BORRAR'!I473="","",IF('FUENTE NO BORRAR'!$A473&lt;&gt;"Resultado total",('FUENTE NO BORRAR'!I473),""))</f>
        <v>0</v>
      </c>
    </row>
    <row r="456" spans="1:9" x14ac:dyDescent="0.2">
      <c r="A456" s="5" t="str">
        <f>IF('FUENTE NO BORRAR'!A474="","",(IF('FUENTE NO BORRAR'!A474&lt;&gt;"Resultado total",'FUENTE NO BORRAR'!A474,"")))</f>
        <v/>
      </c>
      <c r="B456" s="5" t="str">
        <f>IF('FUENTE NO BORRAR'!B474="","",'FUENTE NO BORRAR'!B474)</f>
        <v/>
      </c>
      <c r="C456" s="5" t="str">
        <f>IF('FUENTE NO BORRAR'!C474="","",'FUENTE NO BORRAR'!C474)</f>
        <v/>
      </c>
      <c r="D456" s="5" t="str">
        <f>IF('FUENTE NO BORRAR'!D474="","",'FUENTE NO BORRAR'!D474)</f>
        <v/>
      </c>
      <c r="E456" s="5" t="str">
        <f>IF('FUENTE NO BORRAR'!E474="","",'FUENTE NO BORRAR'!E474)</f>
        <v/>
      </c>
      <c r="F456" s="6">
        <f>IF('FUENTE NO BORRAR'!F474="","",IF('FUENTE NO BORRAR'!$A474&lt;&gt;"Resultado total",('FUENTE NO BORRAR'!F474),""))</f>
        <v>2900</v>
      </c>
      <c r="G456" s="6">
        <f>IF('FUENTE NO BORRAR'!G474="","",IF('FUENTE NO BORRAR'!$A474&lt;&gt;"Resultado total",('FUENTE NO BORRAR'!G474),""))</f>
        <v>2900</v>
      </c>
      <c r="H456" s="6">
        <f>IF('FUENTE NO BORRAR'!H474="","",IF('FUENTE NO BORRAR'!$A474&lt;&gt;"Resultado total",('FUENTE NO BORRAR'!H474),""))</f>
        <v>2900</v>
      </c>
      <c r="I456" s="6">
        <f>IF('FUENTE NO BORRAR'!I474="","",IF('FUENTE NO BORRAR'!$A474&lt;&gt;"Resultado total",('FUENTE NO BORRAR'!I474),""))</f>
        <v>0</v>
      </c>
    </row>
    <row r="457" spans="1:9" x14ac:dyDescent="0.2">
      <c r="A457" s="5" t="str">
        <f>IF('FUENTE NO BORRAR'!A475="","",(IF('FUENTE NO BORRAR'!A475&lt;&gt;"Resultado total",'FUENTE NO BORRAR'!A475,"")))</f>
        <v/>
      </c>
      <c r="B457" s="5" t="str">
        <f>IF('FUENTE NO BORRAR'!B475="","",'FUENTE NO BORRAR'!B475)</f>
        <v/>
      </c>
      <c r="C457" s="5" t="str">
        <f>IF('FUENTE NO BORRAR'!C475="","",'FUENTE NO BORRAR'!C475)</f>
        <v/>
      </c>
      <c r="D457" s="5" t="str">
        <f>IF('FUENTE NO BORRAR'!D475="","",'FUENTE NO BORRAR'!D475)</f>
        <v/>
      </c>
      <c r="E457" s="5" t="str">
        <f>IF('FUENTE NO BORRAR'!E475="","",'FUENTE NO BORRAR'!E475)</f>
        <v/>
      </c>
      <c r="F457" s="6">
        <f>IF('FUENTE NO BORRAR'!F475="","",IF('FUENTE NO BORRAR'!$A475&lt;&gt;"Resultado total",('FUENTE NO BORRAR'!F475),""))</f>
        <v>6799.92</v>
      </c>
      <c r="G457" s="6">
        <f>IF('FUENTE NO BORRAR'!G475="","",IF('FUENTE NO BORRAR'!$A475&lt;&gt;"Resultado total",('FUENTE NO BORRAR'!G475),""))</f>
        <v>6799.92</v>
      </c>
      <c r="H457" s="6">
        <f>IF('FUENTE NO BORRAR'!H475="","",IF('FUENTE NO BORRAR'!$A475&lt;&gt;"Resultado total",('FUENTE NO BORRAR'!H475),""))</f>
        <v>6799.92</v>
      </c>
      <c r="I457" s="6">
        <f>IF('FUENTE NO BORRAR'!I475="","",IF('FUENTE NO BORRAR'!$A475&lt;&gt;"Resultado total",('FUENTE NO BORRAR'!I475),""))</f>
        <v>0</v>
      </c>
    </row>
    <row r="458" spans="1:9" x14ac:dyDescent="0.2">
      <c r="A458" s="5" t="str">
        <f>IF('FUENTE NO BORRAR'!A476="","",(IF('FUENTE NO BORRAR'!A476&lt;&gt;"Resultado total",'FUENTE NO BORRAR'!A476,"")))</f>
        <v/>
      </c>
      <c r="B458" s="5" t="str">
        <f>IF('FUENTE NO BORRAR'!B476="","",'FUENTE NO BORRAR'!B476)</f>
        <v/>
      </c>
      <c r="C458" s="5" t="str">
        <f>IF('FUENTE NO BORRAR'!C476="","",'FUENTE NO BORRAR'!C476)</f>
        <v/>
      </c>
      <c r="D458" s="5" t="str">
        <f>IF('FUENTE NO BORRAR'!D476="","",'FUENTE NO BORRAR'!D476)</f>
        <v/>
      </c>
      <c r="E458" s="5" t="str">
        <f>IF('FUENTE NO BORRAR'!E476="","",'FUENTE NO BORRAR'!E476)</f>
        <v/>
      </c>
      <c r="F458" s="6">
        <f>IF('FUENTE NO BORRAR'!F476="","",IF('FUENTE NO BORRAR'!$A476&lt;&gt;"Resultado total",('FUENTE NO BORRAR'!F476),""))</f>
        <v>17413</v>
      </c>
      <c r="G458" s="6">
        <f>IF('FUENTE NO BORRAR'!G476="","",IF('FUENTE NO BORRAR'!$A476&lt;&gt;"Resultado total",('FUENTE NO BORRAR'!G476),""))</f>
        <v>17413</v>
      </c>
      <c r="H458" s="6">
        <f>IF('FUENTE NO BORRAR'!H476="","",IF('FUENTE NO BORRAR'!$A476&lt;&gt;"Resultado total",('FUENTE NO BORRAR'!H476),""))</f>
        <v>17412.900000000001</v>
      </c>
      <c r="I458" s="6">
        <f>IF('FUENTE NO BORRAR'!I476="","",IF('FUENTE NO BORRAR'!$A476&lt;&gt;"Resultado total",('FUENTE NO BORRAR'!I476),""))</f>
        <v>0</v>
      </c>
    </row>
    <row r="459" spans="1:9" x14ac:dyDescent="0.2">
      <c r="A459" s="5" t="str">
        <f>IF('FUENTE NO BORRAR'!A477="","",(IF('FUENTE NO BORRAR'!A477&lt;&gt;"Resultado total",'FUENTE NO BORRAR'!A477,"")))</f>
        <v/>
      </c>
      <c r="B459" s="5" t="str">
        <f>IF('FUENTE NO BORRAR'!B477="","",'FUENTE NO BORRAR'!B477)</f>
        <v/>
      </c>
      <c r="C459" s="5" t="str">
        <f>IF('FUENTE NO BORRAR'!C477="","",'FUENTE NO BORRAR'!C477)</f>
        <v/>
      </c>
      <c r="D459" s="5" t="str">
        <f>IF('FUENTE NO BORRAR'!D477="","",'FUENTE NO BORRAR'!D477)</f>
        <v/>
      </c>
      <c r="E459" s="5" t="str">
        <f>IF('FUENTE NO BORRAR'!E477="","",'FUENTE NO BORRAR'!E477)</f>
        <v/>
      </c>
      <c r="F459" s="6">
        <f>IF('FUENTE NO BORRAR'!F477="","",IF('FUENTE NO BORRAR'!$A477&lt;&gt;"Resultado total",('FUENTE NO BORRAR'!F477),""))</f>
        <v>3000</v>
      </c>
      <c r="G459" s="6">
        <f>IF('FUENTE NO BORRAR'!G477="","",IF('FUENTE NO BORRAR'!$A477&lt;&gt;"Resultado total",('FUENTE NO BORRAR'!G477),""))</f>
        <v>3000</v>
      </c>
      <c r="H459" s="6">
        <f>IF('FUENTE NO BORRAR'!H477="","",IF('FUENTE NO BORRAR'!$A477&lt;&gt;"Resultado total",('FUENTE NO BORRAR'!H477),""))</f>
        <v>3000</v>
      </c>
      <c r="I459" s="6">
        <f>IF('FUENTE NO BORRAR'!I477="","",IF('FUENTE NO BORRAR'!$A477&lt;&gt;"Resultado total",('FUENTE NO BORRAR'!I477),""))</f>
        <v>0</v>
      </c>
    </row>
    <row r="460" spans="1:9" x14ac:dyDescent="0.2">
      <c r="A460" s="5" t="str">
        <f>IF('FUENTE NO BORRAR'!A478="","",(IF('FUENTE NO BORRAR'!A478&lt;&gt;"Resultado total",'FUENTE NO BORRAR'!A478,"")))</f>
        <v/>
      </c>
      <c r="B460" s="5" t="str">
        <f>IF('FUENTE NO BORRAR'!B478="","",'FUENTE NO BORRAR'!B478)</f>
        <v/>
      </c>
      <c r="C460" s="5" t="str">
        <f>IF('FUENTE NO BORRAR'!C478="","",'FUENTE NO BORRAR'!C478)</f>
        <v/>
      </c>
      <c r="D460" s="5" t="str">
        <f>IF('FUENTE NO BORRAR'!D478="","",'FUENTE NO BORRAR'!D478)</f>
        <v/>
      </c>
      <c r="E460" s="5" t="str">
        <f>IF('FUENTE NO BORRAR'!E478="","",'FUENTE NO BORRAR'!E478)</f>
        <v/>
      </c>
      <c r="F460" s="6">
        <f>IF('FUENTE NO BORRAR'!F478="","",IF('FUENTE NO BORRAR'!$A478&lt;&gt;"Resultado total",('FUENTE NO BORRAR'!F478),""))</f>
        <v>51570</v>
      </c>
      <c r="G460" s="6">
        <f>IF('FUENTE NO BORRAR'!G478="","",IF('FUENTE NO BORRAR'!$A478&lt;&gt;"Resultado total",('FUENTE NO BORRAR'!G478),""))</f>
        <v>51570</v>
      </c>
      <c r="H460" s="6">
        <f>IF('FUENTE NO BORRAR'!H478="","",IF('FUENTE NO BORRAR'!$A478&lt;&gt;"Resultado total",('FUENTE NO BORRAR'!H478),""))</f>
        <v>51570</v>
      </c>
      <c r="I460" s="6">
        <f>IF('FUENTE NO BORRAR'!I478="","",IF('FUENTE NO BORRAR'!$A478&lt;&gt;"Resultado total",('FUENTE NO BORRAR'!I478),""))</f>
        <v>0</v>
      </c>
    </row>
    <row r="461" spans="1:9" x14ac:dyDescent="0.2">
      <c r="A461" s="5" t="str">
        <f>IF('FUENTE NO BORRAR'!A479="","",(IF('FUENTE NO BORRAR'!A479&lt;&gt;"Resultado total",'FUENTE NO BORRAR'!A479,"")))</f>
        <v/>
      </c>
      <c r="B461" s="5" t="str">
        <f>IF('FUENTE NO BORRAR'!B479="","",'FUENTE NO BORRAR'!B479)</f>
        <v/>
      </c>
      <c r="C461" s="5" t="str">
        <f>IF('FUENTE NO BORRAR'!C479="","",'FUENTE NO BORRAR'!C479)</f>
        <v/>
      </c>
      <c r="D461" s="5" t="str">
        <f>IF('FUENTE NO BORRAR'!D479="","",'FUENTE NO BORRAR'!D479)</f>
        <v/>
      </c>
      <c r="E461" s="5" t="str">
        <f>IF('FUENTE NO BORRAR'!E479="","",'FUENTE NO BORRAR'!E479)</f>
        <v/>
      </c>
      <c r="F461" s="6">
        <f>IF('FUENTE NO BORRAR'!F479="","",IF('FUENTE NO BORRAR'!$A479&lt;&gt;"Resultado total",('FUENTE NO BORRAR'!F479),""))</f>
        <v>26896.92</v>
      </c>
      <c r="G461" s="6">
        <f>IF('FUENTE NO BORRAR'!G479="","",IF('FUENTE NO BORRAR'!$A479&lt;&gt;"Resultado total",('FUENTE NO BORRAR'!G479),""))</f>
        <v>26896.92</v>
      </c>
      <c r="H461" s="6">
        <f>IF('FUENTE NO BORRAR'!H479="","",IF('FUENTE NO BORRAR'!$A479&lt;&gt;"Resultado total",('FUENTE NO BORRAR'!H479),""))</f>
        <v>26896.92</v>
      </c>
      <c r="I461" s="6">
        <f>IF('FUENTE NO BORRAR'!I479="","",IF('FUENTE NO BORRAR'!$A479&lt;&gt;"Resultado total",('FUENTE NO BORRAR'!I479),""))</f>
        <v>0</v>
      </c>
    </row>
    <row r="462" spans="1:9" x14ac:dyDescent="0.2">
      <c r="A462" s="5" t="str">
        <f>IF('FUENTE NO BORRAR'!A480="","",(IF('FUENTE NO BORRAR'!A480&lt;&gt;"Resultado total",'FUENTE NO BORRAR'!A480,"")))</f>
        <v/>
      </c>
      <c r="B462" s="5" t="str">
        <f>IF('FUENTE NO BORRAR'!B480="","",'FUENTE NO BORRAR'!B480)</f>
        <v/>
      </c>
      <c r="C462" s="5" t="str">
        <f>IF('FUENTE NO BORRAR'!C480="","",'FUENTE NO BORRAR'!C480)</f>
        <v/>
      </c>
      <c r="D462" s="5" t="str">
        <f>IF('FUENTE NO BORRAR'!D480="","",'FUENTE NO BORRAR'!D480)</f>
        <v/>
      </c>
      <c r="E462" s="5" t="str">
        <f>IF('FUENTE NO BORRAR'!E480="","",'FUENTE NO BORRAR'!E480)</f>
        <v/>
      </c>
      <c r="F462" s="6">
        <f>IF('FUENTE NO BORRAR'!F480="","",IF('FUENTE NO BORRAR'!$A480&lt;&gt;"Resultado total",('FUENTE NO BORRAR'!F480),""))</f>
        <v>69600</v>
      </c>
      <c r="G462" s="6">
        <f>IF('FUENTE NO BORRAR'!G480="","",IF('FUENTE NO BORRAR'!$A480&lt;&gt;"Resultado total",('FUENTE NO BORRAR'!G480),""))</f>
        <v>69600</v>
      </c>
      <c r="H462" s="6">
        <f>IF('FUENTE NO BORRAR'!H480="","",IF('FUENTE NO BORRAR'!$A480&lt;&gt;"Resultado total",('FUENTE NO BORRAR'!H480),""))</f>
        <v>69600</v>
      </c>
      <c r="I462" s="6">
        <f>IF('FUENTE NO BORRAR'!I480="","",IF('FUENTE NO BORRAR'!$A480&lt;&gt;"Resultado total",('FUENTE NO BORRAR'!I480),""))</f>
        <v>0</v>
      </c>
    </row>
    <row r="463" spans="1:9" x14ac:dyDescent="0.2">
      <c r="A463" s="5" t="str">
        <f>IF('FUENTE NO BORRAR'!A481="","",(IF('FUENTE NO BORRAR'!A481&lt;&gt;"Resultado total",'FUENTE NO BORRAR'!A481,"")))</f>
        <v/>
      </c>
      <c r="B463" s="5" t="str">
        <f>IF('FUENTE NO BORRAR'!B481="","",'FUENTE NO BORRAR'!B481)</f>
        <v/>
      </c>
      <c r="C463" s="5" t="str">
        <f>IF('FUENTE NO BORRAR'!C481="","",'FUENTE NO BORRAR'!C481)</f>
        <v>13041071E209</v>
      </c>
      <c r="D463" s="5" t="str">
        <f>IF('FUENTE NO BORRAR'!D481="","",'FUENTE NO BORRAR'!D481)</f>
        <v>13041071E209</v>
      </c>
      <c r="E463" s="5" t="str">
        <f>IF('FUENTE NO BORRAR'!E481="","",'FUENTE NO BORRAR'!E481)</f>
        <v/>
      </c>
      <c r="F463" s="6">
        <f>IF('FUENTE NO BORRAR'!F481="","",IF('FUENTE NO BORRAR'!$A481&lt;&gt;"Resultado total",('FUENTE NO BORRAR'!F481),""))</f>
        <v>1620366.42</v>
      </c>
      <c r="G463" s="6">
        <f>IF('FUENTE NO BORRAR'!G481="","",IF('FUENTE NO BORRAR'!$A481&lt;&gt;"Resultado total",('FUENTE NO BORRAR'!G481),""))</f>
        <v>1620366.42</v>
      </c>
      <c r="H463" s="6">
        <f>IF('FUENTE NO BORRAR'!H481="","",IF('FUENTE NO BORRAR'!$A481&lt;&gt;"Resultado total",('FUENTE NO BORRAR'!H481),""))</f>
        <v>1620366.42</v>
      </c>
      <c r="I463" s="6">
        <f>IF('FUENTE NO BORRAR'!I481="","",IF('FUENTE NO BORRAR'!$A481&lt;&gt;"Resultado total",('FUENTE NO BORRAR'!I481),""))</f>
        <v>0</v>
      </c>
    </row>
    <row r="464" spans="1:9" x14ac:dyDescent="0.2">
      <c r="A464" s="5" t="str">
        <f>IF('FUENTE NO BORRAR'!A482="","",(IF('FUENTE NO BORRAR'!A482&lt;&gt;"Resultado total",'FUENTE NO BORRAR'!A482,"")))</f>
        <v/>
      </c>
      <c r="B464" s="5" t="str">
        <f>IF('FUENTE NO BORRAR'!B482="","",'FUENTE NO BORRAR'!B482)</f>
        <v/>
      </c>
      <c r="C464" s="5" t="str">
        <f>IF('FUENTE NO BORRAR'!C482="","",'FUENTE NO BORRAR'!C482)</f>
        <v/>
      </c>
      <c r="D464" s="5" t="str">
        <f>IF('FUENTE NO BORRAR'!D482="","",'FUENTE NO BORRAR'!D482)</f>
        <v/>
      </c>
      <c r="E464" s="5" t="str">
        <f>IF('FUENTE NO BORRAR'!E482="","",'FUENTE NO BORRAR'!E482)</f>
        <v/>
      </c>
      <c r="F464" s="6">
        <f>IF('FUENTE NO BORRAR'!F482="","",IF('FUENTE NO BORRAR'!$A482&lt;&gt;"Resultado total",('FUENTE NO BORRAR'!F482),""))</f>
        <v>2422653.48</v>
      </c>
      <c r="G464" s="6">
        <f>IF('FUENTE NO BORRAR'!G482="","",IF('FUENTE NO BORRAR'!$A482&lt;&gt;"Resultado total",('FUENTE NO BORRAR'!G482),""))</f>
        <v>2422653.48</v>
      </c>
      <c r="H464" s="6">
        <f>IF('FUENTE NO BORRAR'!H482="","",IF('FUENTE NO BORRAR'!$A482&lt;&gt;"Resultado total",('FUENTE NO BORRAR'!H482),""))</f>
        <v>2422653.48</v>
      </c>
      <c r="I464" s="6">
        <f>IF('FUENTE NO BORRAR'!I482="","",IF('FUENTE NO BORRAR'!$A482&lt;&gt;"Resultado total",('FUENTE NO BORRAR'!I482),""))</f>
        <v>0</v>
      </c>
    </row>
    <row r="465" spans="1:9" x14ac:dyDescent="0.2">
      <c r="A465" s="5" t="str">
        <f>IF('FUENTE NO BORRAR'!A483="","",(IF('FUENTE NO BORRAR'!A483&lt;&gt;"Resultado total",'FUENTE NO BORRAR'!A483,"")))</f>
        <v/>
      </c>
      <c r="B465" s="5" t="str">
        <f>IF('FUENTE NO BORRAR'!B483="","",'FUENTE NO BORRAR'!B483)</f>
        <v/>
      </c>
      <c r="C465" s="5" t="str">
        <f>IF('FUENTE NO BORRAR'!C483="","",'FUENTE NO BORRAR'!C483)</f>
        <v/>
      </c>
      <c r="D465" s="5" t="str">
        <f>IF('FUENTE NO BORRAR'!D483="","",'FUENTE NO BORRAR'!D483)</f>
        <v/>
      </c>
      <c r="E465" s="5" t="str">
        <f>IF('FUENTE NO BORRAR'!E483="","",'FUENTE NO BORRAR'!E483)</f>
        <v/>
      </c>
      <c r="F465" s="6">
        <f>IF('FUENTE NO BORRAR'!F483="","",IF('FUENTE NO BORRAR'!$A483&lt;&gt;"Resultado total",('FUENTE NO BORRAR'!F483),""))</f>
        <v>24113.81</v>
      </c>
      <c r="G465" s="6">
        <f>IF('FUENTE NO BORRAR'!G483="","",IF('FUENTE NO BORRAR'!$A483&lt;&gt;"Resultado total",('FUENTE NO BORRAR'!G483),""))</f>
        <v>24113.81</v>
      </c>
      <c r="H465" s="6">
        <f>IF('FUENTE NO BORRAR'!H483="","",IF('FUENTE NO BORRAR'!$A483&lt;&gt;"Resultado total",('FUENTE NO BORRAR'!H483),""))</f>
        <v>24113.81</v>
      </c>
      <c r="I465" s="6">
        <f>IF('FUENTE NO BORRAR'!I483="","",IF('FUENTE NO BORRAR'!$A483&lt;&gt;"Resultado total",('FUENTE NO BORRAR'!I483),""))</f>
        <v>0</v>
      </c>
    </row>
    <row r="466" spans="1:9" x14ac:dyDescent="0.2">
      <c r="A466" s="5" t="str">
        <f>IF('FUENTE NO BORRAR'!A484="","",(IF('FUENTE NO BORRAR'!A484&lt;&gt;"Resultado total",'FUENTE NO BORRAR'!A484,"")))</f>
        <v/>
      </c>
      <c r="B466" s="5" t="str">
        <f>IF('FUENTE NO BORRAR'!B484="","",'FUENTE NO BORRAR'!B484)</f>
        <v/>
      </c>
      <c r="C466" s="5" t="str">
        <f>IF('FUENTE NO BORRAR'!C484="","",'FUENTE NO BORRAR'!C484)</f>
        <v/>
      </c>
      <c r="D466" s="5" t="str">
        <f>IF('FUENTE NO BORRAR'!D484="","",'FUENTE NO BORRAR'!D484)</f>
        <v/>
      </c>
      <c r="E466" s="5" t="str">
        <f>IF('FUENTE NO BORRAR'!E484="","",'FUENTE NO BORRAR'!E484)</f>
        <v/>
      </c>
      <c r="F466" s="6">
        <f>IF('FUENTE NO BORRAR'!F484="","",IF('FUENTE NO BORRAR'!$A484&lt;&gt;"Resultado total",('FUENTE NO BORRAR'!F484),""))</f>
        <v>4979296.49</v>
      </c>
      <c r="G466" s="6">
        <f>IF('FUENTE NO BORRAR'!G484="","",IF('FUENTE NO BORRAR'!$A484&lt;&gt;"Resultado total",('FUENTE NO BORRAR'!G484),""))</f>
        <v>4979296.49</v>
      </c>
      <c r="H466" s="6">
        <f>IF('FUENTE NO BORRAR'!H484="","",IF('FUENTE NO BORRAR'!$A484&lt;&gt;"Resultado total",('FUENTE NO BORRAR'!H484),""))</f>
        <v>4979296.49</v>
      </c>
      <c r="I466" s="6">
        <f>IF('FUENTE NO BORRAR'!I484="","",IF('FUENTE NO BORRAR'!$A484&lt;&gt;"Resultado total",('FUENTE NO BORRAR'!I484),""))</f>
        <v>0</v>
      </c>
    </row>
    <row r="467" spans="1:9" x14ac:dyDescent="0.2">
      <c r="A467" s="5" t="str">
        <f>IF('FUENTE NO BORRAR'!A485="","",(IF('FUENTE NO BORRAR'!A485&lt;&gt;"Resultado total",'FUENTE NO BORRAR'!A485,"")))</f>
        <v/>
      </c>
      <c r="B467" s="5" t="str">
        <f>IF('FUENTE NO BORRAR'!B485="","",'FUENTE NO BORRAR'!B485)</f>
        <v/>
      </c>
      <c r="C467" s="5" t="str">
        <f>IF('FUENTE NO BORRAR'!C485="","",'FUENTE NO BORRAR'!C485)</f>
        <v/>
      </c>
      <c r="D467" s="5" t="str">
        <f>IF('FUENTE NO BORRAR'!D485="","",'FUENTE NO BORRAR'!D485)</f>
        <v/>
      </c>
      <c r="E467" s="5" t="str">
        <f>IF('FUENTE NO BORRAR'!E485="","",'FUENTE NO BORRAR'!E485)</f>
        <v/>
      </c>
      <c r="F467" s="6">
        <f>IF('FUENTE NO BORRAR'!F485="","",IF('FUENTE NO BORRAR'!$A485&lt;&gt;"Resultado total",('FUENTE NO BORRAR'!F485),""))</f>
        <v>263156.28000000003</v>
      </c>
      <c r="G467" s="6">
        <f>IF('FUENTE NO BORRAR'!G485="","",IF('FUENTE NO BORRAR'!$A485&lt;&gt;"Resultado total",('FUENTE NO BORRAR'!G485),""))</f>
        <v>263156.28000000003</v>
      </c>
      <c r="H467" s="6">
        <f>IF('FUENTE NO BORRAR'!H485="","",IF('FUENTE NO BORRAR'!$A485&lt;&gt;"Resultado total",('FUENTE NO BORRAR'!H485),""))</f>
        <v>263156.28000000003</v>
      </c>
      <c r="I467" s="6">
        <f>IF('FUENTE NO BORRAR'!I485="","",IF('FUENTE NO BORRAR'!$A485&lt;&gt;"Resultado total",('FUENTE NO BORRAR'!I485),""))</f>
        <v>0</v>
      </c>
    </row>
    <row r="468" spans="1:9" x14ac:dyDescent="0.2">
      <c r="A468" s="5" t="str">
        <f>IF('FUENTE NO BORRAR'!A486="","",(IF('FUENTE NO BORRAR'!A486&lt;&gt;"Resultado total",'FUENTE NO BORRAR'!A486,"")))</f>
        <v/>
      </c>
      <c r="B468" s="5" t="str">
        <f>IF('FUENTE NO BORRAR'!B486="","",'FUENTE NO BORRAR'!B486)</f>
        <v/>
      </c>
      <c r="C468" s="5" t="str">
        <f>IF('FUENTE NO BORRAR'!C486="","",'FUENTE NO BORRAR'!C486)</f>
        <v/>
      </c>
      <c r="D468" s="5" t="str">
        <f>IF('FUENTE NO BORRAR'!D486="","",'FUENTE NO BORRAR'!D486)</f>
        <v/>
      </c>
      <c r="E468" s="5" t="str">
        <f>IF('FUENTE NO BORRAR'!E486="","",'FUENTE NO BORRAR'!E486)</f>
        <v/>
      </c>
      <c r="F468" s="6">
        <f>IF('FUENTE NO BORRAR'!F486="","",IF('FUENTE NO BORRAR'!$A486&lt;&gt;"Resultado total",('FUENTE NO BORRAR'!F486),""))</f>
        <v>10041.83</v>
      </c>
      <c r="G468" s="6">
        <f>IF('FUENTE NO BORRAR'!G486="","",IF('FUENTE NO BORRAR'!$A486&lt;&gt;"Resultado total",('FUENTE NO BORRAR'!G486),""))</f>
        <v>10041.83</v>
      </c>
      <c r="H468" s="6">
        <f>IF('FUENTE NO BORRAR'!H486="","",IF('FUENTE NO BORRAR'!$A486&lt;&gt;"Resultado total",('FUENTE NO BORRAR'!H486),""))</f>
        <v>10041.83</v>
      </c>
      <c r="I468" s="6">
        <f>IF('FUENTE NO BORRAR'!I486="","",IF('FUENTE NO BORRAR'!$A486&lt;&gt;"Resultado total",('FUENTE NO BORRAR'!I486),""))</f>
        <v>0</v>
      </c>
    </row>
    <row r="469" spans="1:9" x14ac:dyDescent="0.2">
      <c r="A469" s="5" t="str">
        <f>IF('FUENTE NO BORRAR'!A487="","",(IF('FUENTE NO BORRAR'!A487&lt;&gt;"Resultado total",'FUENTE NO BORRAR'!A487,"")))</f>
        <v/>
      </c>
      <c r="B469" s="5" t="str">
        <f>IF('FUENTE NO BORRAR'!B487="","",'FUENTE NO BORRAR'!B487)</f>
        <v/>
      </c>
      <c r="C469" s="5" t="str">
        <f>IF('FUENTE NO BORRAR'!C487="","",'FUENTE NO BORRAR'!C487)</f>
        <v/>
      </c>
      <c r="D469" s="5" t="str">
        <f>IF('FUENTE NO BORRAR'!D487="","",'FUENTE NO BORRAR'!D487)</f>
        <v/>
      </c>
      <c r="E469" s="5" t="str">
        <f>IF('FUENTE NO BORRAR'!E487="","",'FUENTE NO BORRAR'!E487)</f>
        <v/>
      </c>
      <c r="F469" s="6">
        <f>IF('FUENTE NO BORRAR'!F487="","",IF('FUENTE NO BORRAR'!$A487&lt;&gt;"Resultado total",('FUENTE NO BORRAR'!F487),""))</f>
        <v>165403.56</v>
      </c>
      <c r="G469" s="6">
        <f>IF('FUENTE NO BORRAR'!G487="","",IF('FUENTE NO BORRAR'!$A487&lt;&gt;"Resultado total",('FUENTE NO BORRAR'!G487),""))</f>
        <v>165403.56</v>
      </c>
      <c r="H469" s="6">
        <f>IF('FUENTE NO BORRAR'!H487="","",IF('FUENTE NO BORRAR'!$A487&lt;&gt;"Resultado total",('FUENTE NO BORRAR'!H487),""))</f>
        <v>165403.56</v>
      </c>
      <c r="I469" s="6">
        <f>IF('FUENTE NO BORRAR'!I487="","",IF('FUENTE NO BORRAR'!$A487&lt;&gt;"Resultado total",('FUENTE NO BORRAR'!I487),""))</f>
        <v>0</v>
      </c>
    </row>
    <row r="470" spans="1:9" x14ac:dyDescent="0.2">
      <c r="A470" s="5" t="str">
        <f>IF('FUENTE NO BORRAR'!A488="","",(IF('FUENTE NO BORRAR'!A488&lt;&gt;"Resultado total",'FUENTE NO BORRAR'!A488,"")))</f>
        <v/>
      </c>
      <c r="B470" s="5" t="str">
        <f>IF('FUENTE NO BORRAR'!B488="","",'FUENTE NO BORRAR'!B488)</f>
        <v/>
      </c>
      <c r="C470" s="5" t="str">
        <f>IF('FUENTE NO BORRAR'!C488="","",'FUENTE NO BORRAR'!C488)</f>
        <v/>
      </c>
      <c r="D470" s="5" t="str">
        <f>IF('FUENTE NO BORRAR'!D488="","",'FUENTE NO BORRAR'!D488)</f>
        <v/>
      </c>
      <c r="E470" s="5" t="str">
        <f>IF('FUENTE NO BORRAR'!E488="","",'FUENTE NO BORRAR'!E488)</f>
        <v/>
      </c>
      <c r="F470" s="6">
        <f>IF('FUENTE NO BORRAR'!F488="","",IF('FUENTE NO BORRAR'!$A488&lt;&gt;"Resultado total",('FUENTE NO BORRAR'!F488),""))</f>
        <v>1065644.75</v>
      </c>
      <c r="G470" s="6">
        <f>IF('FUENTE NO BORRAR'!G488="","",IF('FUENTE NO BORRAR'!$A488&lt;&gt;"Resultado total",('FUENTE NO BORRAR'!G488),""))</f>
        <v>1065644.75</v>
      </c>
      <c r="H470" s="6">
        <f>IF('FUENTE NO BORRAR'!H488="","",IF('FUENTE NO BORRAR'!$A488&lt;&gt;"Resultado total",('FUENTE NO BORRAR'!H488),""))</f>
        <v>1065644.75</v>
      </c>
      <c r="I470" s="6">
        <f>IF('FUENTE NO BORRAR'!I488="","",IF('FUENTE NO BORRAR'!$A488&lt;&gt;"Resultado total",('FUENTE NO BORRAR'!I488),""))</f>
        <v>0</v>
      </c>
    </row>
    <row r="471" spans="1:9" x14ac:dyDescent="0.2">
      <c r="A471" s="5" t="str">
        <f>IF('FUENTE NO BORRAR'!A489="","",(IF('FUENTE NO BORRAR'!A489&lt;&gt;"Resultado total",'FUENTE NO BORRAR'!A489,"")))</f>
        <v/>
      </c>
      <c r="B471" s="5" t="str">
        <f>IF('FUENTE NO BORRAR'!B489="","",'FUENTE NO BORRAR'!B489)</f>
        <v/>
      </c>
      <c r="C471" s="5" t="str">
        <f>IF('FUENTE NO BORRAR'!C489="","",'FUENTE NO BORRAR'!C489)</f>
        <v/>
      </c>
      <c r="D471" s="5" t="str">
        <f>IF('FUENTE NO BORRAR'!D489="","",'FUENTE NO BORRAR'!D489)</f>
        <v/>
      </c>
      <c r="E471" s="5" t="str">
        <f>IF('FUENTE NO BORRAR'!E489="","",'FUENTE NO BORRAR'!E489)</f>
        <v/>
      </c>
      <c r="F471" s="6">
        <f>IF('FUENTE NO BORRAR'!F489="","",IF('FUENTE NO BORRAR'!$A489&lt;&gt;"Resultado total",('FUENTE NO BORRAR'!F489),""))</f>
        <v>19091334.059999999</v>
      </c>
      <c r="G471" s="6">
        <f>IF('FUENTE NO BORRAR'!G489="","",IF('FUENTE NO BORRAR'!$A489&lt;&gt;"Resultado total",('FUENTE NO BORRAR'!G489),""))</f>
        <v>19091334.059999999</v>
      </c>
      <c r="H471" s="6">
        <f>IF('FUENTE NO BORRAR'!H489="","",IF('FUENTE NO BORRAR'!$A489&lt;&gt;"Resultado total",('FUENTE NO BORRAR'!H489),""))</f>
        <v>18591580.989999998</v>
      </c>
      <c r="I471" s="6">
        <f>IF('FUENTE NO BORRAR'!I489="","",IF('FUENTE NO BORRAR'!$A489&lt;&gt;"Resultado total",('FUENTE NO BORRAR'!I489),""))</f>
        <v>0</v>
      </c>
    </row>
    <row r="472" spans="1:9" x14ac:dyDescent="0.2">
      <c r="A472" s="5" t="str">
        <f>IF('FUENTE NO BORRAR'!A490="","",(IF('FUENTE NO BORRAR'!A490&lt;&gt;"Resultado total",'FUENTE NO BORRAR'!A490,"")))</f>
        <v/>
      </c>
      <c r="B472" s="5" t="str">
        <f>IF('FUENTE NO BORRAR'!B490="","",'FUENTE NO BORRAR'!B490)</f>
        <v/>
      </c>
      <c r="C472" s="5" t="str">
        <f>IF('FUENTE NO BORRAR'!C490="","",'FUENTE NO BORRAR'!C490)</f>
        <v/>
      </c>
      <c r="D472" s="5" t="str">
        <f>IF('FUENTE NO BORRAR'!D490="","",'FUENTE NO BORRAR'!D490)</f>
        <v/>
      </c>
      <c r="E472" s="5" t="str">
        <f>IF('FUENTE NO BORRAR'!E490="","",'FUENTE NO BORRAR'!E490)</f>
        <v/>
      </c>
      <c r="F472" s="6">
        <f>IF('FUENTE NO BORRAR'!F490="","",IF('FUENTE NO BORRAR'!$A490&lt;&gt;"Resultado total",('FUENTE NO BORRAR'!F490),""))</f>
        <v>7068400.3399999999</v>
      </c>
      <c r="G472" s="6">
        <f>IF('FUENTE NO BORRAR'!G490="","",IF('FUENTE NO BORRAR'!$A490&lt;&gt;"Resultado total",('FUENTE NO BORRAR'!G490),""))</f>
        <v>7068400.3399999999</v>
      </c>
      <c r="H472" s="6">
        <f>IF('FUENTE NO BORRAR'!H490="","",IF('FUENTE NO BORRAR'!$A490&lt;&gt;"Resultado total",('FUENTE NO BORRAR'!H490),""))</f>
        <v>7068400.3399999999</v>
      </c>
      <c r="I472" s="6">
        <f>IF('FUENTE NO BORRAR'!I490="","",IF('FUENTE NO BORRAR'!$A490&lt;&gt;"Resultado total",('FUENTE NO BORRAR'!I490),""))</f>
        <v>-1.0000000000000001E-9</v>
      </c>
    </row>
    <row r="473" spans="1:9" x14ac:dyDescent="0.2">
      <c r="A473" s="5" t="str">
        <f>IF('FUENTE NO BORRAR'!A491="","",(IF('FUENTE NO BORRAR'!A491&lt;&gt;"Resultado total",'FUENTE NO BORRAR'!A491,"")))</f>
        <v/>
      </c>
      <c r="B473" s="5" t="str">
        <f>IF('FUENTE NO BORRAR'!B491="","",'FUENTE NO BORRAR'!B491)</f>
        <v/>
      </c>
      <c r="C473" s="5" t="str">
        <f>IF('FUENTE NO BORRAR'!C491="","",'FUENTE NO BORRAR'!C491)</f>
        <v/>
      </c>
      <c r="D473" s="5" t="str">
        <f>IF('FUENTE NO BORRAR'!D491="","",'FUENTE NO BORRAR'!D491)</f>
        <v/>
      </c>
      <c r="E473" s="5" t="str">
        <f>IF('FUENTE NO BORRAR'!E491="","",'FUENTE NO BORRAR'!E491)</f>
        <v/>
      </c>
      <c r="F473" s="6">
        <f>IF('FUENTE NO BORRAR'!F491="","",IF('FUENTE NO BORRAR'!$A491&lt;&gt;"Resultado total",('FUENTE NO BORRAR'!F491),""))</f>
        <v>1459829.22</v>
      </c>
      <c r="G473" s="6">
        <f>IF('FUENTE NO BORRAR'!G491="","",IF('FUENTE NO BORRAR'!$A491&lt;&gt;"Resultado total",('FUENTE NO BORRAR'!G491),""))</f>
        <v>1459829.22</v>
      </c>
      <c r="H473" s="6">
        <f>IF('FUENTE NO BORRAR'!H491="","",IF('FUENTE NO BORRAR'!$A491&lt;&gt;"Resultado total",('FUENTE NO BORRAR'!H491),""))</f>
        <v>1459829.22</v>
      </c>
      <c r="I473" s="6">
        <f>IF('FUENTE NO BORRAR'!I491="","",IF('FUENTE NO BORRAR'!$A491&lt;&gt;"Resultado total",('FUENTE NO BORRAR'!I491),""))</f>
        <v>0</v>
      </c>
    </row>
    <row r="474" spans="1:9" x14ac:dyDescent="0.2">
      <c r="A474" s="5" t="str">
        <f>IF('FUENTE NO BORRAR'!A492="","",(IF('FUENTE NO BORRAR'!A492&lt;&gt;"Resultado total",'FUENTE NO BORRAR'!A492,"")))</f>
        <v/>
      </c>
      <c r="B474" s="5" t="str">
        <f>IF('FUENTE NO BORRAR'!B492="","",'FUENTE NO BORRAR'!B492)</f>
        <v/>
      </c>
      <c r="C474" s="5" t="str">
        <f>IF('FUENTE NO BORRAR'!C492="","",'FUENTE NO BORRAR'!C492)</f>
        <v/>
      </c>
      <c r="D474" s="5" t="str">
        <f>IF('FUENTE NO BORRAR'!D492="","",'FUENTE NO BORRAR'!D492)</f>
        <v/>
      </c>
      <c r="E474" s="5" t="str">
        <f>IF('FUENTE NO BORRAR'!E492="","",'FUENTE NO BORRAR'!E492)</f>
        <v/>
      </c>
      <c r="F474" s="6">
        <f>IF('FUENTE NO BORRAR'!F492="","",IF('FUENTE NO BORRAR'!$A492&lt;&gt;"Resultado total",('FUENTE NO BORRAR'!F492),""))</f>
        <v>469283.06</v>
      </c>
      <c r="G474" s="6">
        <f>IF('FUENTE NO BORRAR'!G492="","",IF('FUENTE NO BORRAR'!$A492&lt;&gt;"Resultado total",('FUENTE NO BORRAR'!G492),""))</f>
        <v>469283.06</v>
      </c>
      <c r="H474" s="6">
        <f>IF('FUENTE NO BORRAR'!H492="","",IF('FUENTE NO BORRAR'!$A492&lt;&gt;"Resultado total",('FUENTE NO BORRAR'!H492),""))</f>
        <v>469283.06</v>
      </c>
      <c r="I474" s="6">
        <f>IF('FUENTE NO BORRAR'!I492="","",IF('FUENTE NO BORRAR'!$A492&lt;&gt;"Resultado total",('FUENTE NO BORRAR'!I492),""))</f>
        <v>0</v>
      </c>
    </row>
    <row r="475" spans="1:9" x14ac:dyDescent="0.2">
      <c r="A475" s="5" t="str">
        <f>IF('FUENTE NO BORRAR'!A493="","",(IF('FUENTE NO BORRAR'!A493&lt;&gt;"Resultado total",'FUENTE NO BORRAR'!A493,"")))</f>
        <v/>
      </c>
      <c r="B475" s="5" t="str">
        <f>IF('FUENTE NO BORRAR'!B493="","",'FUENTE NO BORRAR'!B493)</f>
        <v/>
      </c>
      <c r="C475" s="5" t="str">
        <f>IF('FUENTE NO BORRAR'!C493="","",'FUENTE NO BORRAR'!C493)</f>
        <v/>
      </c>
      <c r="D475" s="5" t="str">
        <f>IF('FUENTE NO BORRAR'!D493="","",'FUENTE NO BORRAR'!D493)</f>
        <v/>
      </c>
      <c r="E475" s="5" t="str">
        <f>IF('FUENTE NO BORRAR'!E493="","",'FUENTE NO BORRAR'!E493)</f>
        <v/>
      </c>
      <c r="F475" s="6">
        <f>IF('FUENTE NO BORRAR'!F493="","",IF('FUENTE NO BORRAR'!$A493&lt;&gt;"Resultado total",('FUENTE NO BORRAR'!F493),""))</f>
        <v>221871.12</v>
      </c>
      <c r="G475" s="6">
        <f>IF('FUENTE NO BORRAR'!G493="","",IF('FUENTE NO BORRAR'!$A493&lt;&gt;"Resultado total",('FUENTE NO BORRAR'!G493),""))</f>
        <v>221871.12</v>
      </c>
      <c r="H475" s="6">
        <f>IF('FUENTE NO BORRAR'!H493="","",IF('FUENTE NO BORRAR'!$A493&lt;&gt;"Resultado total",('FUENTE NO BORRAR'!H493),""))</f>
        <v>221871.12</v>
      </c>
      <c r="I475" s="6">
        <f>IF('FUENTE NO BORRAR'!I493="","",IF('FUENTE NO BORRAR'!$A493&lt;&gt;"Resultado total",('FUENTE NO BORRAR'!I493),""))</f>
        <v>0</v>
      </c>
    </row>
    <row r="476" spans="1:9" x14ac:dyDescent="0.2">
      <c r="A476" s="5" t="str">
        <f>IF('FUENTE NO BORRAR'!A494="","",(IF('FUENTE NO BORRAR'!A494&lt;&gt;"Resultado total",'FUENTE NO BORRAR'!A494,"")))</f>
        <v/>
      </c>
      <c r="B476" s="5" t="str">
        <f>IF('FUENTE NO BORRAR'!B494="","",'FUENTE NO BORRAR'!B494)</f>
        <v/>
      </c>
      <c r="C476" s="5" t="str">
        <f>IF('FUENTE NO BORRAR'!C494="","",'FUENTE NO BORRAR'!C494)</f>
        <v/>
      </c>
      <c r="D476" s="5" t="str">
        <f>IF('FUENTE NO BORRAR'!D494="","",'FUENTE NO BORRAR'!D494)</f>
        <v/>
      </c>
      <c r="E476" s="5" t="str">
        <f>IF('FUENTE NO BORRAR'!E494="","",'FUENTE NO BORRAR'!E494)</f>
        <v/>
      </c>
      <c r="F476" s="6">
        <f>IF('FUENTE NO BORRAR'!F494="","",IF('FUENTE NO BORRAR'!$A494&lt;&gt;"Resultado total",('FUENTE NO BORRAR'!F494),""))</f>
        <v>341453.88</v>
      </c>
      <c r="G476" s="6">
        <f>IF('FUENTE NO BORRAR'!G494="","",IF('FUENTE NO BORRAR'!$A494&lt;&gt;"Resultado total",('FUENTE NO BORRAR'!G494),""))</f>
        <v>341453.88</v>
      </c>
      <c r="H476" s="6">
        <f>IF('FUENTE NO BORRAR'!H494="","",IF('FUENTE NO BORRAR'!$A494&lt;&gt;"Resultado total",('FUENTE NO BORRAR'!H494),""))</f>
        <v>341453.88</v>
      </c>
      <c r="I476" s="6">
        <f>IF('FUENTE NO BORRAR'!I494="","",IF('FUENTE NO BORRAR'!$A494&lt;&gt;"Resultado total",('FUENTE NO BORRAR'!I494),""))</f>
        <v>0</v>
      </c>
    </row>
    <row r="477" spans="1:9" x14ac:dyDescent="0.2">
      <c r="A477" s="5" t="str">
        <f>IF('FUENTE NO BORRAR'!A495="","",(IF('FUENTE NO BORRAR'!A495&lt;&gt;"Resultado total",'FUENTE NO BORRAR'!A495,"")))</f>
        <v/>
      </c>
      <c r="B477" s="5" t="str">
        <f>IF('FUENTE NO BORRAR'!B495="","",'FUENTE NO BORRAR'!B495)</f>
        <v/>
      </c>
      <c r="C477" s="5" t="str">
        <f>IF('FUENTE NO BORRAR'!C495="","",'FUENTE NO BORRAR'!C495)</f>
        <v/>
      </c>
      <c r="D477" s="5" t="str">
        <f>IF('FUENTE NO BORRAR'!D495="","",'FUENTE NO BORRAR'!D495)</f>
        <v/>
      </c>
      <c r="E477" s="5" t="str">
        <f>IF('FUENTE NO BORRAR'!E495="","",'FUENTE NO BORRAR'!E495)</f>
        <v/>
      </c>
      <c r="F477" s="6">
        <f>IF('FUENTE NO BORRAR'!F495="","",IF('FUENTE NO BORRAR'!$A495&lt;&gt;"Resultado total",('FUENTE NO BORRAR'!F495),""))</f>
        <v>1772036.15</v>
      </c>
      <c r="G477" s="6">
        <f>IF('FUENTE NO BORRAR'!G495="","",IF('FUENTE NO BORRAR'!$A495&lt;&gt;"Resultado total",('FUENTE NO BORRAR'!G495),""))</f>
        <v>1772036.15</v>
      </c>
      <c r="H477" s="6">
        <f>IF('FUENTE NO BORRAR'!H495="","",IF('FUENTE NO BORRAR'!$A495&lt;&gt;"Resultado total",('FUENTE NO BORRAR'!H495),""))</f>
        <v>1770086.15</v>
      </c>
      <c r="I477" s="6">
        <f>IF('FUENTE NO BORRAR'!I495="","",IF('FUENTE NO BORRAR'!$A495&lt;&gt;"Resultado total",('FUENTE NO BORRAR'!I495),""))</f>
        <v>0</v>
      </c>
    </row>
    <row r="478" spans="1:9" x14ac:dyDescent="0.2">
      <c r="A478" s="5" t="str">
        <f>IF('FUENTE NO BORRAR'!A496="","",(IF('FUENTE NO BORRAR'!A496&lt;&gt;"Resultado total",'FUENTE NO BORRAR'!A496,"")))</f>
        <v/>
      </c>
      <c r="B478" s="5" t="str">
        <f>IF('FUENTE NO BORRAR'!B496="","",'FUENTE NO BORRAR'!B496)</f>
        <v/>
      </c>
      <c r="C478" s="5" t="str">
        <f>IF('FUENTE NO BORRAR'!C496="","",'FUENTE NO BORRAR'!C496)</f>
        <v/>
      </c>
      <c r="D478" s="5" t="str">
        <f>IF('FUENTE NO BORRAR'!D496="","",'FUENTE NO BORRAR'!D496)</f>
        <v/>
      </c>
      <c r="E478" s="5" t="str">
        <f>IF('FUENTE NO BORRAR'!E496="","",'FUENTE NO BORRAR'!E496)</f>
        <v/>
      </c>
      <c r="F478" s="6">
        <f>IF('FUENTE NO BORRAR'!F496="","",IF('FUENTE NO BORRAR'!$A496&lt;&gt;"Resultado total",('FUENTE NO BORRAR'!F496),""))</f>
        <v>90216.78</v>
      </c>
      <c r="G478" s="6">
        <f>IF('FUENTE NO BORRAR'!G496="","",IF('FUENTE NO BORRAR'!$A496&lt;&gt;"Resultado total",('FUENTE NO BORRAR'!G496),""))</f>
        <v>90216.78</v>
      </c>
      <c r="H478" s="6">
        <f>IF('FUENTE NO BORRAR'!H496="","",IF('FUENTE NO BORRAR'!$A496&lt;&gt;"Resultado total",('FUENTE NO BORRAR'!H496),""))</f>
        <v>89277.18</v>
      </c>
      <c r="I478" s="6">
        <f>IF('FUENTE NO BORRAR'!I496="","",IF('FUENTE NO BORRAR'!$A496&lt;&gt;"Resultado total",('FUENTE NO BORRAR'!I496),""))</f>
        <v>0</v>
      </c>
    </row>
    <row r="479" spans="1:9" x14ac:dyDescent="0.2">
      <c r="A479" s="5" t="str">
        <f>IF('FUENTE NO BORRAR'!A497="","",(IF('FUENTE NO BORRAR'!A497&lt;&gt;"Resultado total",'FUENTE NO BORRAR'!A497,"")))</f>
        <v/>
      </c>
      <c r="B479" s="5" t="str">
        <f>IF('FUENTE NO BORRAR'!B497="","",'FUENTE NO BORRAR'!B497)</f>
        <v/>
      </c>
      <c r="C479" s="5" t="str">
        <f>IF('FUENTE NO BORRAR'!C497="","",'FUENTE NO BORRAR'!C497)</f>
        <v/>
      </c>
      <c r="D479" s="5" t="str">
        <f>IF('FUENTE NO BORRAR'!D497="","",'FUENTE NO BORRAR'!D497)</f>
        <v/>
      </c>
      <c r="E479" s="5" t="str">
        <f>IF('FUENTE NO BORRAR'!E497="","",'FUENTE NO BORRAR'!E497)</f>
        <v/>
      </c>
      <c r="F479" s="6">
        <f>IF('FUENTE NO BORRAR'!F497="","",IF('FUENTE NO BORRAR'!$A497&lt;&gt;"Resultado total",('FUENTE NO BORRAR'!F497),""))</f>
        <v>71030.75</v>
      </c>
      <c r="G479" s="6">
        <f>IF('FUENTE NO BORRAR'!G497="","",IF('FUENTE NO BORRAR'!$A497&lt;&gt;"Resultado total",('FUENTE NO BORRAR'!G497),""))</f>
        <v>71030.75</v>
      </c>
      <c r="H479" s="6">
        <f>IF('FUENTE NO BORRAR'!H497="","",IF('FUENTE NO BORRAR'!$A497&lt;&gt;"Resultado total",('FUENTE NO BORRAR'!H497),""))</f>
        <v>65713.73</v>
      </c>
      <c r="I479" s="6">
        <f>IF('FUENTE NO BORRAR'!I497="","",IF('FUENTE NO BORRAR'!$A497&lt;&gt;"Resultado total",('FUENTE NO BORRAR'!I497),""))</f>
        <v>0</v>
      </c>
    </row>
    <row r="480" spans="1:9" x14ac:dyDescent="0.2">
      <c r="A480" s="5" t="str">
        <f>IF('FUENTE NO BORRAR'!A498="","",(IF('FUENTE NO BORRAR'!A498&lt;&gt;"Resultado total",'FUENTE NO BORRAR'!A498,"")))</f>
        <v/>
      </c>
      <c r="B480" s="5" t="str">
        <f>IF('FUENTE NO BORRAR'!B498="","",'FUENTE NO BORRAR'!B498)</f>
        <v/>
      </c>
      <c r="C480" s="5" t="str">
        <f>IF('FUENTE NO BORRAR'!C498="","",'FUENTE NO BORRAR'!C498)</f>
        <v/>
      </c>
      <c r="D480" s="5" t="str">
        <f>IF('FUENTE NO BORRAR'!D498="","",'FUENTE NO BORRAR'!D498)</f>
        <v/>
      </c>
      <c r="E480" s="5" t="str">
        <f>IF('FUENTE NO BORRAR'!E498="","",'FUENTE NO BORRAR'!E498)</f>
        <v/>
      </c>
      <c r="F480" s="6">
        <f>IF('FUENTE NO BORRAR'!F498="","",IF('FUENTE NO BORRAR'!$A498&lt;&gt;"Resultado total",('FUENTE NO BORRAR'!F498),""))</f>
        <v>355</v>
      </c>
      <c r="G480" s="6">
        <f>IF('FUENTE NO BORRAR'!G498="","",IF('FUENTE NO BORRAR'!$A498&lt;&gt;"Resultado total",('FUENTE NO BORRAR'!G498),""))</f>
        <v>355</v>
      </c>
      <c r="H480" s="6">
        <f>IF('FUENTE NO BORRAR'!H498="","",IF('FUENTE NO BORRAR'!$A498&lt;&gt;"Resultado total",('FUENTE NO BORRAR'!H498),""))</f>
        <v>355</v>
      </c>
      <c r="I480" s="6">
        <f>IF('FUENTE NO BORRAR'!I498="","",IF('FUENTE NO BORRAR'!$A498&lt;&gt;"Resultado total",('FUENTE NO BORRAR'!I498),""))</f>
        <v>0</v>
      </c>
    </row>
    <row r="481" spans="1:9" x14ac:dyDescent="0.2">
      <c r="A481" s="5" t="str">
        <f>IF('FUENTE NO BORRAR'!A499="","",(IF('FUENTE NO BORRAR'!A499&lt;&gt;"Resultado total",'FUENTE NO BORRAR'!A499,"")))</f>
        <v/>
      </c>
      <c r="B481" s="5" t="str">
        <f>IF('FUENTE NO BORRAR'!B499="","",'FUENTE NO BORRAR'!B499)</f>
        <v/>
      </c>
      <c r="C481" s="5" t="str">
        <f>IF('FUENTE NO BORRAR'!C499="","",'FUENTE NO BORRAR'!C499)</f>
        <v/>
      </c>
      <c r="D481" s="5" t="str">
        <f>IF('FUENTE NO BORRAR'!D499="","",'FUENTE NO BORRAR'!D499)</f>
        <v/>
      </c>
      <c r="E481" s="5" t="str">
        <f>IF('FUENTE NO BORRAR'!E499="","",'FUENTE NO BORRAR'!E499)</f>
        <v/>
      </c>
      <c r="F481" s="6">
        <f>IF('FUENTE NO BORRAR'!F499="","",IF('FUENTE NO BORRAR'!$A499&lt;&gt;"Resultado total",('FUENTE NO BORRAR'!F499),""))</f>
        <v>72589.06</v>
      </c>
      <c r="G481" s="6">
        <f>IF('FUENTE NO BORRAR'!G499="","",IF('FUENTE NO BORRAR'!$A499&lt;&gt;"Resultado total",('FUENTE NO BORRAR'!G499),""))</f>
        <v>72589.06</v>
      </c>
      <c r="H481" s="6">
        <f>IF('FUENTE NO BORRAR'!H499="","",IF('FUENTE NO BORRAR'!$A499&lt;&gt;"Resultado total",('FUENTE NO BORRAR'!H499),""))</f>
        <v>67188.100000000006</v>
      </c>
      <c r="I481" s="6">
        <f>IF('FUENTE NO BORRAR'!I499="","",IF('FUENTE NO BORRAR'!$A499&lt;&gt;"Resultado total",('FUENTE NO BORRAR'!I499),""))</f>
        <v>0</v>
      </c>
    </row>
    <row r="482" spans="1:9" x14ac:dyDescent="0.2">
      <c r="A482" s="5" t="str">
        <f>IF('FUENTE NO BORRAR'!A500="","",(IF('FUENTE NO BORRAR'!A500&lt;&gt;"Resultado total",'FUENTE NO BORRAR'!A500,"")))</f>
        <v/>
      </c>
      <c r="B482" s="5" t="str">
        <f>IF('FUENTE NO BORRAR'!B500="","",'FUENTE NO BORRAR'!B500)</f>
        <v/>
      </c>
      <c r="C482" s="5" t="str">
        <f>IF('FUENTE NO BORRAR'!C500="","",'FUENTE NO BORRAR'!C500)</f>
        <v/>
      </c>
      <c r="D482" s="5" t="str">
        <f>IF('FUENTE NO BORRAR'!D500="","",'FUENTE NO BORRAR'!D500)</f>
        <v/>
      </c>
      <c r="E482" s="5" t="str">
        <f>IF('FUENTE NO BORRAR'!E500="","",'FUENTE NO BORRAR'!E500)</f>
        <v/>
      </c>
      <c r="F482" s="6">
        <f>IF('FUENTE NO BORRAR'!F500="","",IF('FUENTE NO BORRAR'!$A500&lt;&gt;"Resultado total",('FUENTE NO BORRAR'!F500),""))</f>
        <v>7319.55</v>
      </c>
      <c r="G482" s="6">
        <f>IF('FUENTE NO BORRAR'!G500="","",IF('FUENTE NO BORRAR'!$A500&lt;&gt;"Resultado total",('FUENTE NO BORRAR'!G500),""))</f>
        <v>7319.55</v>
      </c>
      <c r="H482" s="6">
        <f>IF('FUENTE NO BORRAR'!H500="","",IF('FUENTE NO BORRAR'!$A500&lt;&gt;"Resultado total",('FUENTE NO BORRAR'!H500),""))</f>
        <v>5492.55</v>
      </c>
      <c r="I482" s="6">
        <f>IF('FUENTE NO BORRAR'!I500="","",IF('FUENTE NO BORRAR'!$A500&lt;&gt;"Resultado total",('FUENTE NO BORRAR'!I500),""))</f>
        <v>0</v>
      </c>
    </row>
    <row r="483" spans="1:9" x14ac:dyDescent="0.2">
      <c r="A483" s="5" t="str">
        <f>IF('FUENTE NO BORRAR'!A501="","",(IF('FUENTE NO BORRAR'!A501&lt;&gt;"Resultado total",'FUENTE NO BORRAR'!A501,"")))</f>
        <v/>
      </c>
      <c r="B483" s="5" t="str">
        <f>IF('FUENTE NO BORRAR'!B501="","",'FUENTE NO BORRAR'!B501)</f>
        <v/>
      </c>
      <c r="C483" s="5" t="str">
        <f>IF('FUENTE NO BORRAR'!C501="","",'FUENTE NO BORRAR'!C501)</f>
        <v/>
      </c>
      <c r="D483" s="5" t="str">
        <f>IF('FUENTE NO BORRAR'!D501="","",'FUENTE NO BORRAR'!D501)</f>
        <v/>
      </c>
      <c r="E483" s="5" t="str">
        <f>IF('FUENTE NO BORRAR'!E501="","",'FUENTE NO BORRAR'!E501)</f>
        <v/>
      </c>
      <c r="F483" s="6">
        <f>IF('FUENTE NO BORRAR'!F501="","",IF('FUENTE NO BORRAR'!$A501&lt;&gt;"Resultado total",('FUENTE NO BORRAR'!F501),""))</f>
        <v>2406</v>
      </c>
      <c r="G483" s="6">
        <f>IF('FUENTE NO BORRAR'!G501="","",IF('FUENTE NO BORRAR'!$A501&lt;&gt;"Resultado total",('FUENTE NO BORRAR'!G501),""))</f>
        <v>2406</v>
      </c>
      <c r="H483" s="6">
        <f>IF('FUENTE NO BORRAR'!H501="","",IF('FUENTE NO BORRAR'!$A501&lt;&gt;"Resultado total",('FUENTE NO BORRAR'!H501),""))</f>
        <v>2406</v>
      </c>
      <c r="I483" s="6">
        <f>IF('FUENTE NO BORRAR'!I501="","",IF('FUENTE NO BORRAR'!$A501&lt;&gt;"Resultado total",('FUENTE NO BORRAR'!I501),""))</f>
        <v>0</v>
      </c>
    </row>
    <row r="484" spans="1:9" x14ac:dyDescent="0.2">
      <c r="A484" s="5" t="str">
        <f>IF('FUENTE NO BORRAR'!A502="","",(IF('FUENTE NO BORRAR'!A502&lt;&gt;"Resultado total",'FUENTE NO BORRAR'!A502,"")))</f>
        <v/>
      </c>
      <c r="B484" s="5" t="str">
        <f>IF('FUENTE NO BORRAR'!B502="","",'FUENTE NO BORRAR'!B502)</f>
        <v/>
      </c>
      <c r="C484" s="5" t="str">
        <f>IF('FUENTE NO BORRAR'!C502="","",'FUENTE NO BORRAR'!C502)</f>
        <v/>
      </c>
      <c r="D484" s="5" t="str">
        <f>IF('FUENTE NO BORRAR'!D502="","",'FUENTE NO BORRAR'!D502)</f>
        <v/>
      </c>
      <c r="E484" s="5" t="str">
        <f>IF('FUENTE NO BORRAR'!E502="","",'FUENTE NO BORRAR'!E502)</f>
        <v/>
      </c>
      <c r="F484" s="6">
        <f>IF('FUENTE NO BORRAR'!F502="","",IF('FUENTE NO BORRAR'!$A502&lt;&gt;"Resultado total",('FUENTE NO BORRAR'!F502),""))</f>
        <v>4758.3</v>
      </c>
      <c r="G484" s="6">
        <f>IF('FUENTE NO BORRAR'!G502="","",IF('FUENTE NO BORRAR'!$A502&lt;&gt;"Resultado total",('FUENTE NO BORRAR'!G502),""))</f>
        <v>4758.3</v>
      </c>
      <c r="H484" s="6">
        <f>IF('FUENTE NO BORRAR'!H502="","",IF('FUENTE NO BORRAR'!$A502&lt;&gt;"Resultado total",('FUENTE NO BORRAR'!H502),""))</f>
        <v>4758.3</v>
      </c>
      <c r="I484" s="6">
        <f>IF('FUENTE NO BORRAR'!I502="","",IF('FUENTE NO BORRAR'!$A502&lt;&gt;"Resultado total",('FUENTE NO BORRAR'!I502),""))</f>
        <v>0</v>
      </c>
    </row>
    <row r="485" spans="1:9" x14ac:dyDescent="0.2">
      <c r="A485" s="5" t="str">
        <f>IF('FUENTE NO BORRAR'!A503="","",(IF('FUENTE NO BORRAR'!A503&lt;&gt;"Resultado total",'FUENTE NO BORRAR'!A503,"")))</f>
        <v/>
      </c>
      <c r="B485" s="5" t="str">
        <f>IF('FUENTE NO BORRAR'!B503="","",'FUENTE NO BORRAR'!B503)</f>
        <v/>
      </c>
      <c r="C485" s="5" t="str">
        <f>IF('FUENTE NO BORRAR'!C503="","",'FUENTE NO BORRAR'!C503)</f>
        <v/>
      </c>
      <c r="D485" s="5" t="str">
        <f>IF('FUENTE NO BORRAR'!D503="","",'FUENTE NO BORRAR'!D503)</f>
        <v/>
      </c>
      <c r="E485" s="5" t="str">
        <f>IF('FUENTE NO BORRAR'!E503="","",'FUENTE NO BORRAR'!E503)</f>
        <v/>
      </c>
      <c r="F485" s="6">
        <f>IF('FUENTE NO BORRAR'!F503="","",IF('FUENTE NO BORRAR'!$A503&lt;&gt;"Resultado total",('FUENTE NO BORRAR'!F503),""))</f>
        <v>336.4</v>
      </c>
      <c r="G485" s="6">
        <f>IF('FUENTE NO BORRAR'!G503="","",IF('FUENTE NO BORRAR'!$A503&lt;&gt;"Resultado total",('FUENTE NO BORRAR'!G503),""))</f>
        <v>336.4</v>
      </c>
      <c r="H485" s="6">
        <f>IF('FUENTE NO BORRAR'!H503="","",IF('FUENTE NO BORRAR'!$A503&lt;&gt;"Resultado total",('FUENTE NO BORRAR'!H503),""))</f>
        <v>336.4</v>
      </c>
      <c r="I485" s="6">
        <f>IF('FUENTE NO BORRAR'!I503="","",IF('FUENTE NO BORRAR'!$A503&lt;&gt;"Resultado total",('FUENTE NO BORRAR'!I503),""))</f>
        <v>0</v>
      </c>
    </row>
    <row r="486" spans="1:9" x14ac:dyDescent="0.2">
      <c r="A486" s="5" t="str">
        <f>IF('FUENTE NO BORRAR'!A504="","",(IF('FUENTE NO BORRAR'!A504&lt;&gt;"Resultado total",'FUENTE NO BORRAR'!A504,"")))</f>
        <v/>
      </c>
      <c r="B486" s="5" t="str">
        <f>IF('FUENTE NO BORRAR'!B504="","",'FUENTE NO BORRAR'!B504)</f>
        <v/>
      </c>
      <c r="C486" s="5" t="str">
        <f>IF('FUENTE NO BORRAR'!C504="","",'FUENTE NO BORRAR'!C504)</f>
        <v/>
      </c>
      <c r="D486" s="5" t="str">
        <f>IF('FUENTE NO BORRAR'!D504="","",'FUENTE NO BORRAR'!D504)</f>
        <v/>
      </c>
      <c r="E486" s="5" t="str">
        <f>IF('FUENTE NO BORRAR'!E504="","",'FUENTE NO BORRAR'!E504)</f>
        <v/>
      </c>
      <c r="F486" s="6">
        <f>IF('FUENTE NO BORRAR'!F504="","",IF('FUENTE NO BORRAR'!$A504&lt;&gt;"Resultado total",('FUENTE NO BORRAR'!F504),""))</f>
        <v>3744.69</v>
      </c>
      <c r="G486" s="6">
        <f>IF('FUENTE NO BORRAR'!G504="","",IF('FUENTE NO BORRAR'!$A504&lt;&gt;"Resultado total",('FUENTE NO BORRAR'!G504),""))</f>
        <v>3744.69</v>
      </c>
      <c r="H486" s="6">
        <f>IF('FUENTE NO BORRAR'!H504="","",IF('FUENTE NO BORRAR'!$A504&lt;&gt;"Resultado total",('FUENTE NO BORRAR'!H504),""))</f>
        <v>3744.69</v>
      </c>
      <c r="I486" s="6">
        <f>IF('FUENTE NO BORRAR'!I504="","",IF('FUENTE NO BORRAR'!$A504&lt;&gt;"Resultado total",('FUENTE NO BORRAR'!I504),""))</f>
        <v>0</v>
      </c>
    </row>
    <row r="487" spans="1:9" x14ac:dyDescent="0.2">
      <c r="A487" s="5" t="str">
        <f>IF('FUENTE NO BORRAR'!A505="","",(IF('FUENTE NO BORRAR'!A505&lt;&gt;"Resultado total",'FUENTE NO BORRAR'!A505,"")))</f>
        <v/>
      </c>
      <c r="B487" s="5" t="str">
        <f>IF('FUENTE NO BORRAR'!B505="","",'FUENTE NO BORRAR'!B505)</f>
        <v/>
      </c>
      <c r="C487" s="5" t="str">
        <f>IF('FUENTE NO BORRAR'!C505="","",'FUENTE NO BORRAR'!C505)</f>
        <v/>
      </c>
      <c r="D487" s="5" t="str">
        <f>IF('FUENTE NO BORRAR'!D505="","",'FUENTE NO BORRAR'!D505)</f>
        <v/>
      </c>
      <c r="E487" s="5" t="str">
        <f>IF('FUENTE NO BORRAR'!E505="","",'FUENTE NO BORRAR'!E505)</f>
        <v/>
      </c>
      <c r="F487" s="6">
        <f>IF('FUENTE NO BORRAR'!F505="","",IF('FUENTE NO BORRAR'!$A505&lt;&gt;"Resultado total",('FUENTE NO BORRAR'!F505),""))</f>
        <v>1227.5899999999999</v>
      </c>
      <c r="G487" s="6">
        <f>IF('FUENTE NO BORRAR'!G505="","",IF('FUENTE NO BORRAR'!$A505&lt;&gt;"Resultado total",('FUENTE NO BORRAR'!G505),""))</f>
        <v>1227.5899999999999</v>
      </c>
      <c r="H487" s="6">
        <f>IF('FUENTE NO BORRAR'!H505="","",IF('FUENTE NO BORRAR'!$A505&lt;&gt;"Resultado total",('FUENTE NO BORRAR'!H505),""))</f>
        <v>1227.5899999999999</v>
      </c>
      <c r="I487" s="6">
        <f>IF('FUENTE NO BORRAR'!I505="","",IF('FUENTE NO BORRAR'!$A505&lt;&gt;"Resultado total",('FUENTE NO BORRAR'!I505),""))</f>
        <v>0</v>
      </c>
    </row>
    <row r="488" spans="1:9" x14ac:dyDescent="0.2">
      <c r="A488" s="5" t="str">
        <f>IF('FUENTE NO BORRAR'!A506="","",(IF('FUENTE NO BORRAR'!A506&lt;&gt;"Resultado total",'FUENTE NO BORRAR'!A506,"")))</f>
        <v/>
      </c>
      <c r="B488" s="5" t="str">
        <f>IF('FUENTE NO BORRAR'!B506="","",'FUENTE NO BORRAR'!B506)</f>
        <v/>
      </c>
      <c r="C488" s="5" t="str">
        <f>IF('FUENTE NO BORRAR'!C506="","",'FUENTE NO BORRAR'!C506)</f>
        <v/>
      </c>
      <c r="D488" s="5" t="str">
        <f>IF('FUENTE NO BORRAR'!D506="","",'FUENTE NO BORRAR'!D506)</f>
        <v/>
      </c>
      <c r="E488" s="5" t="str">
        <f>IF('FUENTE NO BORRAR'!E506="","",'FUENTE NO BORRAR'!E506)</f>
        <v/>
      </c>
      <c r="F488" s="6">
        <f>IF('FUENTE NO BORRAR'!F506="","",IF('FUENTE NO BORRAR'!$A506&lt;&gt;"Resultado total",('FUENTE NO BORRAR'!F506),""))</f>
        <v>48727.35</v>
      </c>
      <c r="G488" s="6">
        <f>IF('FUENTE NO BORRAR'!G506="","",IF('FUENTE NO BORRAR'!$A506&lt;&gt;"Resultado total",('FUENTE NO BORRAR'!G506),""))</f>
        <v>48727.35</v>
      </c>
      <c r="H488" s="6">
        <f>IF('FUENTE NO BORRAR'!H506="","",IF('FUENTE NO BORRAR'!$A506&lt;&gt;"Resultado total",('FUENTE NO BORRAR'!H506),""))</f>
        <v>48727.35</v>
      </c>
      <c r="I488" s="6">
        <f>IF('FUENTE NO BORRAR'!I506="","",IF('FUENTE NO BORRAR'!$A506&lt;&gt;"Resultado total",('FUENTE NO BORRAR'!I506),""))</f>
        <v>0</v>
      </c>
    </row>
    <row r="489" spans="1:9" x14ac:dyDescent="0.2">
      <c r="A489" s="5" t="str">
        <f>IF('FUENTE NO BORRAR'!A507="","",(IF('FUENTE NO BORRAR'!A507&lt;&gt;"Resultado total",'FUENTE NO BORRAR'!A507,"")))</f>
        <v/>
      </c>
      <c r="B489" s="5" t="str">
        <f>IF('FUENTE NO BORRAR'!B507="","",'FUENTE NO BORRAR'!B507)</f>
        <v/>
      </c>
      <c r="C489" s="5" t="str">
        <f>IF('FUENTE NO BORRAR'!C507="","",'FUENTE NO BORRAR'!C507)</f>
        <v/>
      </c>
      <c r="D489" s="5" t="str">
        <f>IF('FUENTE NO BORRAR'!D507="","",'FUENTE NO BORRAR'!D507)</f>
        <v/>
      </c>
      <c r="E489" s="5" t="str">
        <f>IF('FUENTE NO BORRAR'!E507="","",'FUENTE NO BORRAR'!E507)</f>
        <v/>
      </c>
      <c r="F489" s="6">
        <f>IF('FUENTE NO BORRAR'!F507="","",IF('FUENTE NO BORRAR'!$A507&lt;&gt;"Resultado total",('FUENTE NO BORRAR'!F507),""))</f>
        <v>29762.5</v>
      </c>
      <c r="G489" s="6">
        <f>IF('FUENTE NO BORRAR'!G507="","",IF('FUENTE NO BORRAR'!$A507&lt;&gt;"Resultado total",('FUENTE NO BORRAR'!G507),""))</f>
        <v>29762.5</v>
      </c>
      <c r="H489" s="6">
        <f>IF('FUENTE NO BORRAR'!H507="","",IF('FUENTE NO BORRAR'!$A507&lt;&gt;"Resultado total",('FUENTE NO BORRAR'!H507),""))</f>
        <v>29762.5</v>
      </c>
      <c r="I489" s="6">
        <f>IF('FUENTE NO BORRAR'!I507="","",IF('FUENTE NO BORRAR'!$A507&lt;&gt;"Resultado total",('FUENTE NO BORRAR'!I507),""))</f>
        <v>0</v>
      </c>
    </row>
    <row r="490" spans="1:9" x14ac:dyDescent="0.2">
      <c r="A490" s="5" t="str">
        <f>IF('FUENTE NO BORRAR'!A508="","",(IF('FUENTE NO BORRAR'!A508&lt;&gt;"Resultado total",'FUENTE NO BORRAR'!A508,"")))</f>
        <v/>
      </c>
      <c r="B490" s="5" t="str">
        <f>IF('FUENTE NO BORRAR'!B508="","",'FUENTE NO BORRAR'!B508)</f>
        <v/>
      </c>
      <c r="C490" s="5" t="str">
        <f>IF('FUENTE NO BORRAR'!C508="","",'FUENTE NO BORRAR'!C508)</f>
        <v/>
      </c>
      <c r="D490" s="5" t="str">
        <f>IF('FUENTE NO BORRAR'!D508="","",'FUENTE NO BORRAR'!D508)</f>
        <v/>
      </c>
      <c r="E490" s="5" t="str">
        <f>IF('FUENTE NO BORRAR'!E508="","",'FUENTE NO BORRAR'!E508)</f>
        <v/>
      </c>
      <c r="F490" s="6">
        <f>IF('FUENTE NO BORRAR'!F508="","",IF('FUENTE NO BORRAR'!$A508&lt;&gt;"Resultado total",('FUENTE NO BORRAR'!F508),""))</f>
        <v>25325.5</v>
      </c>
      <c r="G490" s="6">
        <f>IF('FUENTE NO BORRAR'!G508="","",IF('FUENTE NO BORRAR'!$A508&lt;&gt;"Resultado total",('FUENTE NO BORRAR'!G508),""))</f>
        <v>25325.5</v>
      </c>
      <c r="H490" s="6">
        <f>IF('FUENTE NO BORRAR'!H508="","",IF('FUENTE NO BORRAR'!$A508&lt;&gt;"Resultado total",('FUENTE NO BORRAR'!H508),""))</f>
        <v>25325.5</v>
      </c>
      <c r="I490" s="6">
        <f>IF('FUENTE NO BORRAR'!I508="","",IF('FUENTE NO BORRAR'!$A508&lt;&gt;"Resultado total",('FUENTE NO BORRAR'!I508),""))</f>
        <v>0</v>
      </c>
    </row>
    <row r="491" spans="1:9" x14ac:dyDescent="0.2">
      <c r="A491" s="5" t="str">
        <f>IF('FUENTE NO BORRAR'!A509="","",(IF('FUENTE NO BORRAR'!A509&lt;&gt;"Resultado total",'FUENTE NO BORRAR'!A509,"")))</f>
        <v/>
      </c>
      <c r="B491" s="5" t="str">
        <f>IF('FUENTE NO BORRAR'!B509="","",'FUENTE NO BORRAR'!B509)</f>
        <v/>
      </c>
      <c r="C491" s="5" t="str">
        <f>IF('FUENTE NO BORRAR'!C509="","",'FUENTE NO BORRAR'!C509)</f>
        <v/>
      </c>
      <c r="D491" s="5" t="str">
        <f>IF('FUENTE NO BORRAR'!D509="","",'FUENTE NO BORRAR'!D509)</f>
        <v/>
      </c>
      <c r="E491" s="5" t="str">
        <f>IF('FUENTE NO BORRAR'!E509="","",'FUENTE NO BORRAR'!E509)</f>
        <v/>
      </c>
      <c r="F491" s="6">
        <f>IF('FUENTE NO BORRAR'!F509="","",IF('FUENTE NO BORRAR'!$A509&lt;&gt;"Resultado total",('FUENTE NO BORRAR'!F509),""))</f>
        <v>19470.580000000002</v>
      </c>
      <c r="G491" s="6">
        <f>IF('FUENTE NO BORRAR'!G509="","",IF('FUENTE NO BORRAR'!$A509&lt;&gt;"Resultado total",('FUENTE NO BORRAR'!G509),""))</f>
        <v>19470.580000000002</v>
      </c>
      <c r="H491" s="6">
        <f>IF('FUENTE NO BORRAR'!H509="","",IF('FUENTE NO BORRAR'!$A509&lt;&gt;"Resultado total",('FUENTE NO BORRAR'!H509),""))</f>
        <v>1602.8</v>
      </c>
      <c r="I491" s="6">
        <f>IF('FUENTE NO BORRAR'!I509="","",IF('FUENTE NO BORRAR'!$A509&lt;&gt;"Resultado total",('FUENTE NO BORRAR'!I509),""))</f>
        <v>0</v>
      </c>
    </row>
    <row r="492" spans="1:9" x14ac:dyDescent="0.2">
      <c r="A492" s="5" t="str">
        <f>IF('FUENTE NO BORRAR'!A510="","",(IF('FUENTE NO BORRAR'!A510&lt;&gt;"Resultado total",'FUENTE NO BORRAR'!A510,"")))</f>
        <v/>
      </c>
      <c r="B492" s="5" t="str">
        <f>IF('FUENTE NO BORRAR'!B510="","",'FUENTE NO BORRAR'!B510)</f>
        <v/>
      </c>
      <c r="C492" s="5" t="str">
        <f>IF('FUENTE NO BORRAR'!C510="","",'FUENTE NO BORRAR'!C510)</f>
        <v/>
      </c>
      <c r="D492" s="5" t="str">
        <f>IF('FUENTE NO BORRAR'!D510="","",'FUENTE NO BORRAR'!D510)</f>
        <v/>
      </c>
      <c r="E492" s="5" t="str">
        <f>IF('FUENTE NO BORRAR'!E510="","",'FUENTE NO BORRAR'!E510)</f>
        <v/>
      </c>
      <c r="F492" s="6">
        <f>IF('FUENTE NO BORRAR'!F510="","",IF('FUENTE NO BORRAR'!$A510&lt;&gt;"Resultado total",('FUENTE NO BORRAR'!F510),""))</f>
        <v>120</v>
      </c>
      <c r="G492" s="6">
        <f>IF('FUENTE NO BORRAR'!G510="","",IF('FUENTE NO BORRAR'!$A510&lt;&gt;"Resultado total",('FUENTE NO BORRAR'!G510),""))</f>
        <v>120</v>
      </c>
      <c r="H492" s="6">
        <f>IF('FUENTE NO BORRAR'!H510="","",IF('FUENTE NO BORRAR'!$A510&lt;&gt;"Resultado total",('FUENTE NO BORRAR'!H510),""))</f>
        <v>18</v>
      </c>
      <c r="I492" s="6">
        <f>IF('FUENTE NO BORRAR'!I510="","",IF('FUENTE NO BORRAR'!$A510&lt;&gt;"Resultado total",('FUENTE NO BORRAR'!I510),""))</f>
        <v>0</v>
      </c>
    </row>
    <row r="493" spans="1:9" x14ac:dyDescent="0.2">
      <c r="A493" s="5" t="str">
        <f>IF('FUENTE NO BORRAR'!A511="","",(IF('FUENTE NO BORRAR'!A511&lt;&gt;"Resultado total",'FUENTE NO BORRAR'!A511,"")))</f>
        <v/>
      </c>
      <c r="B493" s="5" t="str">
        <f>IF('FUENTE NO BORRAR'!B511="","",'FUENTE NO BORRAR'!B511)</f>
        <v/>
      </c>
      <c r="C493" s="5" t="str">
        <f>IF('FUENTE NO BORRAR'!C511="","",'FUENTE NO BORRAR'!C511)</f>
        <v/>
      </c>
      <c r="D493" s="5" t="str">
        <f>IF('FUENTE NO BORRAR'!D511="","",'FUENTE NO BORRAR'!D511)</f>
        <v/>
      </c>
      <c r="E493" s="5" t="str">
        <f>IF('FUENTE NO BORRAR'!E511="","",'FUENTE NO BORRAR'!E511)</f>
        <v/>
      </c>
      <c r="F493" s="6">
        <f>IF('FUENTE NO BORRAR'!F511="","",IF('FUENTE NO BORRAR'!$A511&lt;&gt;"Resultado total",('FUENTE NO BORRAR'!F511),""))</f>
        <v>6031.81</v>
      </c>
      <c r="G493" s="6">
        <f>IF('FUENTE NO BORRAR'!G511="","",IF('FUENTE NO BORRAR'!$A511&lt;&gt;"Resultado total",('FUENTE NO BORRAR'!G511),""))</f>
        <v>6031.81</v>
      </c>
      <c r="H493" s="6">
        <f>IF('FUENTE NO BORRAR'!H511="","",IF('FUENTE NO BORRAR'!$A511&lt;&gt;"Resultado total",('FUENTE NO BORRAR'!H511),""))</f>
        <v>5738.22</v>
      </c>
      <c r="I493" s="6">
        <f>IF('FUENTE NO BORRAR'!I511="","",IF('FUENTE NO BORRAR'!$A511&lt;&gt;"Resultado total",('FUENTE NO BORRAR'!I511),""))</f>
        <v>0</v>
      </c>
    </row>
    <row r="494" spans="1:9" x14ac:dyDescent="0.2">
      <c r="A494" s="5" t="str">
        <f>IF('FUENTE NO BORRAR'!A512="","",(IF('FUENTE NO BORRAR'!A512&lt;&gt;"Resultado total",'FUENTE NO BORRAR'!A512,"")))</f>
        <v/>
      </c>
      <c r="B494" s="5" t="str">
        <f>IF('FUENTE NO BORRAR'!B512="","",'FUENTE NO BORRAR'!B512)</f>
        <v/>
      </c>
      <c r="C494" s="5" t="str">
        <f>IF('FUENTE NO BORRAR'!C512="","",'FUENTE NO BORRAR'!C512)</f>
        <v/>
      </c>
      <c r="D494" s="5" t="str">
        <f>IF('FUENTE NO BORRAR'!D512="","",'FUENTE NO BORRAR'!D512)</f>
        <v/>
      </c>
      <c r="E494" s="5" t="str">
        <f>IF('FUENTE NO BORRAR'!E512="","",'FUENTE NO BORRAR'!E512)</f>
        <v/>
      </c>
      <c r="F494" s="6">
        <f>IF('FUENTE NO BORRAR'!F512="","",IF('FUENTE NO BORRAR'!$A512&lt;&gt;"Resultado total",('FUENTE NO BORRAR'!F512),""))</f>
        <v>12297.28</v>
      </c>
      <c r="G494" s="6">
        <f>IF('FUENTE NO BORRAR'!G512="","",IF('FUENTE NO BORRAR'!$A512&lt;&gt;"Resultado total",('FUENTE NO BORRAR'!G512),""))</f>
        <v>12297.28</v>
      </c>
      <c r="H494" s="6">
        <f>IF('FUENTE NO BORRAR'!H512="","",IF('FUENTE NO BORRAR'!$A512&lt;&gt;"Resultado total",('FUENTE NO BORRAR'!H512),""))</f>
        <v>1662.56</v>
      </c>
      <c r="I494" s="6">
        <f>IF('FUENTE NO BORRAR'!I512="","",IF('FUENTE NO BORRAR'!$A512&lt;&gt;"Resultado total",('FUENTE NO BORRAR'!I512),""))</f>
        <v>0</v>
      </c>
    </row>
    <row r="495" spans="1:9" x14ac:dyDescent="0.2">
      <c r="A495" s="5" t="str">
        <f>IF('FUENTE NO BORRAR'!A513="","",(IF('FUENTE NO BORRAR'!A513&lt;&gt;"Resultado total",'FUENTE NO BORRAR'!A513,"")))</f>
        <v/>
      </c>
      <c r="B495" s="5" t="str">
        <f>IF('FUENTE NO BORRAR'!B513="","",'FUENTE NO BORRAR'!B513)</f>
        <v/>
      </c>
      <c r="C495" s="5" t="str">
        <f>IF('FUENTE NO BORRAR'!C513="","",'FUENTE NO BORRAR'!C513)</f>
        <v/>
      </c>
      <c r="D495" s="5" t="str">
        <f>IF('FUENTE NO BORRAR'!D513="","",'FUENTE NO BORRAR'!D513)</f>
        <v/>
      </c>
      <c r="E495" s="5" t="str">
        <f>IF('FUENTE NO BORRAR'!E513="","",'FUENTE NO BORRAR'!E513)</f>
        <v/>
      </c>
      <c r="F495" s="6">
        <f>IF('FUENTE NO BORRAR'!F513="","",IF('FUENTE NO BORRAR'!$A513&lt;&gt;"Resultado total",('FUENTE NO BORRAR'!F513),""))</f>
        <v>7309.25</v>
      </c>
      <c r="G495" s="6">
        <f>IF('FUENTE NO BORRAR'!G513="","",IF('FUENTE NO BORRAR'!$A513&lt;&gt;"Resultado total",('FUENTE NO BORRAR'!G513),""))</f>
        <v>7309.25</v>
      </c>
      <c r="H495" s="6">
        <f>IF('FUENTE NO BORRAR'!H513="","",IF('FUENTE NO BORRAR'!$A513&lt;&gt;"Resultado total",('FUENTE NO BORRAR'!H513),""))</f>
        <v>7309.25</v>
      </c>
      <c r="I495" s="6">
        <f>IF('FUENTE NO BORRAR'!I513="","",IF('FUENTE NO BORRAR'!$A513&lt;&gt;"Resultado total",('FUENTE NO BORRAR'!I513),""))</f>
        <v>0</v>
      </c>
    </row>
    <row r="496" spans="1:9" x14ac:dyDescent="0.2">
      <c r="A496" s="5" t="str">
        <f>IF('FUENTE NO BORRAR'!A514="","",(IF('FUENTE NO BORRAR'!A514&lt;&gt;"Resultado total",'FUENTE NO BORRAR'!A514,"")))</f>
        <v/>
      </c>
      <c r="B496" s="5" t="str">
        <f>IF('FUENTE NO BORRAR'!B514="","",'FUENTE NO BORRAR'!B514)</f>
        <v/>
      </c>
      <c r="C496" s="5" t="str">
        <f>IF('FUENTE NO BORRAR'!C514="","",'FUENTE NO BORRAR'!C514)</f>
        <v/>
      </c>
      <c r="D496" s="5" t="str">
        <f>IF('FUENTE NO BORRAR'!D514="","",'FUENTE NO BORRAR'!D514)</f>
        <v/>
      </c>
      <c r="E496" s="5" t="str">
        <f>IF('FUENTE NO BORRAR'!E514="","",'FUENTE NO BORRAR'!E514)</f>
        <v/>
      </c>
      <c r="F496" s="6">
        <f>IF('FUENTE NO BORRAR'!F514="","",IF('FUENTE NO BORRAR'!$A514&lt;&gt;"Resultado total",('FUENTE NO BORRAR'!F514),""))</f>
        <v>12969.6</v>
      </c>
      <c r="G496" s="6">
        <f>IF('FUENTE NO BORRAR'!G514="","",IF('FUENTE NO BORRAR'!$A514&lt;&gt;"Resultado total",('FUENTE NO BORRAR'!G514),""))</f>
        <v>12969.6</v>
      </c>
      <c r="H496" s="6">
        <f>IF('FUENTE NO BORRAR'!H514="","",IF('FUENTE NO BORRAR'!$A514&lt;&gt;"Resultado total",('FUENTE NO BORRAR'!H514),""))</f>
        <v>4909.33</v>
      </c>
      <c r="I496" s="6">
        <f>IF('FUENTE NO BORRAR'!I514="","",IF('FUENTE NO BORRAR'!$A514&lt;&gt;"Resultado total",('FUENTE NO BORRAR'!I514),""))</f>
        <v>0</v>
      </c>
    </row>
    <row r="497" spans="1:9" x14ac:dyDescent="0.2">
      <c r="A497" s="5" t="str">
        <f>IF('FUENTE NO BORRAR'!A515="","",(IF('FUENTE NO BORRAR'!A515&lt;&gt;"Resultado total",'FUENTE NO BORRAR'!A515,"")))</f>
        <v/>
      </c>
      <c r="B497" s="5" t="str">
        <f>IF('FUENTE NO BORRAR'!B515="","",'FUENTE NO BORRAR'!B515)</f>
        <v/>
      </c>
      <c r="C497" s="5" t="str">
        <f>IF('FUENTE NO BORRAR'!C515="","",'FUENTE NO BORRAR'!C515)</f>
        <v/>
      </c>
      <c r="D497" s="5" t="str">
        <f>IF('FUENTE NO BORRAR'!D515="","",'FUENTE NO BORRAR'!D515)</f>
        <v/>
      </c>
      <c r="E497" s="5" t="str">
        <f>IF('FUENTE NO BORRAR'!E515="","",'FUENTE NO BORRAR'!E515)</f>
        <v/>
      </c>
      <c r="F497" s="6">
        <f>IF('FUENTE NO BORRAR'!F515="","",IF('FUENTE NO BORRAR'!$A515&lt;&gt;"Resultado total",('FUENTE NO BORRAR'!F515),""))</f>
        <v>2580.4</v>
      </c>
      <c r="G497" s="6">
        <f>IF('FUENTE NO BORRAR'!G515="","",IF('FUENTE NO BORRAR'!$A515&lt;&gt;"Resultado total",('FUENTE NO BORRAR'!G515),""))</f>
        <v>2580.4</v>
      </c>
      <c r="H497" s="6">
        <f>IF('FUENTE NO BORRAR'!H515="","",IF('FUENTE NO BORRAR'!$A515&lt;&gt;"Resultado total",('FUENTE NO BORRAR'!H515),""))</f>
        <v>1393.68</v>
      </c>
      <c r="I497" s="6">
        <f>IF('FUENTE NO BORRAR'!I515="","",IF('FUENTE NO BORRAR'!$A515&lt;&gt;"Resultado total",('FUENTE NO BORRAR'!I515),""))</f>
        <v>0</v>
      </c>
    </row>
    <row r="498" spans="1:9" x14ac:dyDescent="0.2">
      <c r="A498" s="5" t="str">
        <f>IF('FUENTE NO BORRAR'!A516="","",(IF('FUENTE NO BORRAR'!A516&lt;&gt;"Resultado total",'FUENTE NO BORRAR'!A516,"")))</f>
        <v/>
      </c>
      <c r="B498" s="5" t="str">
        <f>IF('FUENTE NO BORRAR'!B516="","",'FUENTE NO BORRAR'!B516)</f>
        <v/>
      </c>
      <c r="C498" s="5" t="str">
        <f>IF('FUENTE NO BORRAR'!C516="","",'FUENTE NO BORRAR'!C516)</f>
        <v/>
      </c>
      <c r="D498" s="5" t="str">
        <f>IF('FUENTE NO BORRAR'!D516="","",'FUENTE NO BORRAR'!D516)</f>
        <v/>
      </c>
      <c r="E498" s="5" t="str">
        <f>IF('FUENTE NO BORRAR'!E516="","",'FUENTE NO BORRAR'!E516)</f>
        <v/>
      </c>
      <c r="F498" s="6">
        <f>IF('FUENTE NO BORRAR'!F516="","",IF('FUENTE NO BORRAR'!$A516&lt;&gt;"Resultado total",('FUENTE NO BORRAR'!F516),""))</f>
        <v>0</v>
      </c>
      <c r="G498" s="6">
        <f>IF('FUENTE NO BORRAR'!G516="","",IF('FUENTE NO BORRAR'!$A516&lt;&gt;"Resultado total",('FUENTE NO BORRAR'!G516),""))</f>
        <v>0</v>
      </c>
      <c r="H498" s="6">
        <f>IF('FUENTE NO BORRAR'!H516="","",IF('FUENTE NO BORRAR'!$A516&lt;&gt;"Resultado total",('FUENTE NO BORRAR'!H516),""))</f>
        <v>0</v>
      </c>
      <c r="I498" s="6">
        <f>IF('FUENTE NO BORRAR'!I516="","",IF('FUENTE NO BORRAR'!$A516&lt;&gt;"Resultado total",('FUENTE NO BORRAR'!I516),""))</f>
        <v>0</v>
      </c>
    </row>
    <row r="499" spans="1:9" x14ac:dyDescent="0.2">
      <c r="A499" s="5" t="str">
        <f>IF('FUENTE NO BORRAR'!A517="","",(IF('FUENTE NO BORRAR'!A517&lt;&gt;"Resultado total",'FUENTE NO BORRAR'!A517,"")))</f>
        <v/>
      </c>
      <c r="B499" s="5" t="str">
        <f>IF('FUENTE NO BORRAR'!B517="","",'FUENTE NO BORRAR'!B517)</f>
        <v/>
      </c>
      <c r="C499" s="5" t="str">
        <f>IF('FUENTE NO BORRAR'!C517="","",'FUENTE NO BORRAR'!C517)</f>
        <v/>
      </c>
      <c r="D499" s="5" t="str">
        <f>IF('FUENTE NO BORRAR'!D517="","",'FUENTE NO BORRAR'!D517)</f>
        <v/>
      </c>
      <c r="E499" s="5" t="str">
        <f>IF('FUENTE NO BORRAR'!E517="","",'FUENTE NO BORRAR'!E517)</f>
        <v/>
      </c>
      <c r="F499" s="6">
        <f>IF('FUENTE NO BORRAR'!F517="","",IF('FUENTE NO BORRAR'!$A517&lt;&gt;"Resultado total",('FUENTE NO BORRAR'!F517),""))</f>
        <v>30276</v>
      </c>
      <c r="G499" s="6">
        <f>IF('FUENTE NO BORRAR'!G517="","",IF('FUENTE NO BORRAR'!$A517&lt;&gt;"Resultado total",('FUENTE NO BORRAR'!G517),""))</f>
        <v>30276</v>
      </c>
      <c r="H499" s="6">
        <f>IF('FUENTE NO BORRAR'!H517="","",IF('FUENTE NO BORRAR'!$A517&lt;&gt;"Resultado total",('FUENTE NO BORRAR'!H517),""))</f>
        <v>0</v>
      </c>
      <c r="I499" s="6">
        <f>IF('FUENTE NO BORRAR'!I517="","",IF('FUENTE NO BORRAR'!$A517&lt;&gt;"Resultado total",('FUENTE NO BORRAR'!I517),""))</f>
        <v>0</v>
      </c>
    </row>
    <row r="500" spans="1:9" x14ac:dyDescent="0.2">
      <c r="A500" s="5" t="str">
        <f>IF('FUENTE NO BORRAR'!A518="","",(IF('FUENTE NO BORRAR'!A518&lt;&gt;"Resultado total",'FUENTE NO BORRAR'!A518,"")))</f>
        <v/>
      </c>
      <c r="B500" s="5" t="str">
        <f>IF('FUENTE NO BORRAR'!B518="","",'FUENTE NO BORRAR'!B518)</f>
        <v/>
      </c>
      <c r="C500" s="5" t="str">
        <f>IF('FUENTE NO BORRAR'!C518="","",'FUENTE NO BORRAR'!C518)</f>
        <v/>
      </c>
      <c r="D500" s="5" t="str">
        <f>IF('FUENTE NO BORRAR'!D518="","",'FUENTE NO BORRAR'!D518)</f>
        <v/>
      </c>
      <c r="E500" s="5" t="str">
        <f>IF('FUENTE NO BORRAR'!E518="","",'FUENTE NO BORRAR'!E518)</f>
        <v/>
      </c>
      <c r="F500" s="6">
        <f>IF('FUENTE NO BORRAR'!F518="","",IF('FUENTE NO BORRAR'!$A518&lt;&gt;"Resultado total",('FUENTE NO BORRAR'!F518),""))</f>
        <v>79</v>
      </c>
      <c r="G500" s="6">
        <f>IF('FUENTE NO BORRAR'!G518="","",IF('FUENTE NO BORRAR'!$A518&lt;&gt;"Resultado total",('FUENTE NO BORRAR'!G518),""))</f>
        <v>79</v>
      </c>
      <c r="H500" s="6">
        <f>IF('FUENTE NO BORRAR'!H518="","",IF('FUENTE NO BORRAR'!$A518&lt;&gt;"Resultado total",('FUENTE NO BORRAR'!H518),""))</f>
        <v>79</v>
      </c>
      <c r="I500" s="6">
        <f>IF('FUENTE NO BORRAR'!I518="","",IF('FUENTE NO BORRAR'!$A518&lt;&gt;"Resultado total",('FUENTE NO BORRAR'!I518),""))</f>
        <v>0</v>
      </c>
    </row>
    <row r="501" spans="1:9" x14ac:dyDescent="0.2">
      <c r="A501" s="5" t="str">
        <f>IF('FUENTE NO BORRAR'!A519="","",(IF('FUENTE NO BORRAR'!A519&lt;&gt;"Resultado total",'FUENTE NO BORRAR'!A519,"")))</f>
        <v/>
      </c>
      <c r="B501" s="5" t="str">
        <f>IF('FUENTE NO BORRAR'!B519="","",'FUENTE NO BORRAR'!B519)</f>
        <v/>
      </c>
      <c r="C501" s="5" t="str">
        <f>IF('FUENTE NO BORRAR'!C519="","",'FUENTE NO BORRAR'!C519)</f>
        <v/>
      </c>
      <c r="D501" s="5" t="str">
        <f>IF('FUENTE NO BORRAR'!D519="","",'FUENTE NO BORRAR'!D519)</f>
        <v/>
      </c>
      <c r="E501" s="5" t="str">
        <f>IF('FUENTE NO BORRAR'!E519="","",'FUENTE NO BORRAR'!E519)</f>
        <v/>
      </c>
      <c r="F501" s="6">
        <f>IF('FUENTE NO BORRAR'!F519="","",IF('FUENTE NO BORRAR'!$A519&lt;&gt;"Resultado total",('FUENTE NO BORRAR'!F519),""))</f>
        <v>2568</v>
      </c>
      <c r="G501" s="6">
        <f>IF('FUENTE NO BORRAR'!G519="","",IF('FUENTE NO BORRAR'!$A519&lt;&gt;"Resultado total",('FUENTE NO BORRAR'!G519),""))</f>
        <v>2568</v>
      </c>
      <c r="H501" s="6">
        <f>IF('FUENTE NO BORRAR'!H519="","",IF('FUENTE NO BORRAR'!$A519&lt;&gt;"Resultado total",('FUENTE NO BORRAR'!H519),""))</f>
        <v>0</v>
      </c>
      <c r="I501" s="6">
        <f>IF('FUENTE NO BORRAR'!I519="","",IF('FUENTE NO BORRAR'!$A519&lt;&gt;"Resultado total",('FUENTE NO BORRAR'!I519),""))</f>
        <v>0</v>
      </c>
    </row>
    <row r="502" spans="1:9" x14ac:dyDescent="0.2">
      <c r="A502" s="5" t="str">
        <f>IF('FUENTE NO BORRAR'!A520="","",(IF('FUENTE NO BORRAR'!A520&lt;&gt;"Resultado total",'FUENTE NO BORRAR'!A520,"")))</f>
        <v/>
      </c>
      <c r="B502" s="5" t="str">
        <f>IF('FUENTE NO BORRAR'!B520="","",'FUENTE NO BORRAR'!B520)</f>
        <v/>
      </c>
      <c r="C502" s="5" t="str">
        <f>IF('FUENTE NO BORRAR'!C520="","",'FUENTE NO BORRAR'!C520)</f>
        <v/>
      </c>
      <c r="D502" s="5" t="str">
        <f>IF('FUENTE NO BORRAR'!D520="","",'FUENTE NO BORRAR'!D520)</f>
        <v/>
      </c>
      <c r="E502" s="5" t="str">
        <f>IF('FUENTE NO BORRAR'!E520="","",'FUENTE NO BORRAR'!E520)</f>
        <v/>
      </c>
      <c r="F502" s="6">
        <f>IF('FUENTE NO BORRAR'!F520="","",IF('FUENTE NO BORRAR'!$A520&lt;&gt;"Resultado total",('FUENTE NO BORRAR'!F520),""))</f>
        <v>869.3</v>
      </c>
      <c r="G502" s="6">
        <f>IF('FUENTE NO BORRAR'!G520="","",IF('FUENTE NO BORRAR'!$A520&lt;&gt;"Resultado total",('FUENTE NO BORRAR'!G520),""))</f>
        <v>869.3</v>
      </c>
      <c r="H502" s="6">
        <f>IF('FUENTE NO BORRAR'!H520="","",IF('FUENTE NO BORRAR'!$A520&lt;&gt;"Resultado total",('FUENTE NO BORRAR'!H520),""))</f>
        <v>869.3</v>
      </c>
      <c r="I502" s="6">
        <f>IF('FUENTE NO BORRAR'!I520="","",IF('FUENTE NO BORRAR'!$A520&lt;&gt;"Resultado total",('FUENTE NO BORRAR'!I520),""))</f>
        <v>0</v>
      </c>
    </row>
    <row r="503" spans="1:9" x14ac:dyDescent="0.2">
      <c r="A503" s="5" t="str">
        <f>IF('FUENTE NO BORRAR'!A521="","",(IF('FUENTE NO BORRAR'!A521&lt;&gt;"Resultado total",'FUENTE NO BORRAR'!A521,"")))</f>
        <v/>
      </c>
      <c r="B503" s="5" t="str">
        <f>IF('FUENTE NO BORRAR'!B521="","",'FUENTE NO BORRAR'!B521)</f>
        <v/>
      </c>
      <c r="C503" s="5" t="str">
        <f>IF('FUENTE NO BORRAR'!C521="","",'FUENTE NO BORRAR'!C521)</f>
        <v/>
      </c>
      <c r="D503" s="5" t="str">
        <f>IF('FUENTE NO BORRAR'!D521="","",'FUENTE NO BORRAR'!D521)</f>
        <v/>
      </c>
      <c r="E503" s="5" t="str">
        <f>IF('FUENTE NO BORRAR'!E521="","",'FUENTE NO BORRAR'!E521)</f>
        <v/>
      </c>
      <c r="F503" s="6">
        <f>IF('FUENTE NO BORRAR'!F521="","",IF('FUENTE NO BORRAR'!$A521&lt;&gt;"Resultado total",('FUENTE NO BORRAR'!F521),""))</f>
        <v>1160</v>
      </c>
      <c r="G503" s="6">
        <f>IF('FUENTE NO BORRAR'!G521="","",IF('FUENTE NO BORRAR'!$A521&lt;&gt;"Resultado total",('FUENTE NO BORRAR'!G521),""))</f>
        <v>1160</v>
      </c>
      <c r="H503" s="6">
        <f>IF('FUENTE NO BORRAR'!H521="","",IF('FUENTE NO BORRAR'!$A521&lt;&gt;"Resultado total",('FUENTE NO BORRAR'!H521),""))</f>
        <v>1160</v>
      </c>
      <c r="I503" s="6">
        <f>IF('FUENTE NO BORRAR'!I521="","",IF('FUENTE NO BORRAR'!$A521&lt;&gt;"Resultado total",('FUENTE NO BORRAR'!I521),""))</f>
        <v>0</v>
      </c>
    </row>
    <row r="504" spans="1:9" x14ac:dyDescent="0.2">
      <c r="A504" s="5" t="str">
        <f>IF('FUENTE NO BORRAR'!A522="","",(IF('FUENTE NO BORRAR'!A522&lt;&gt;"Resultado total",'FUENTE NO BORRAR'!A522,"")))</f>
        <v/>
      </c>
      <c r="B504" s="5" t="str">
        <f>IF('FUENTE NO BORRAR'!B522="","",'FUENTE NO BORRAR'!B522)</f>
        <v/>
      </c>
      <c r="C504" s="5" t="str">
        <f>IF('FUENTE NO BORRAR'!C522="","",'FUENTE NO BORRAR'!C522)</f>
        <v/>
      </c>
      <c r="D504" s="5" t="str">
        <f>IF('FUENTE NO BORRAR'!D522="","",'FUENTE NO BORRAR'!D522)</f>
        <v/>
      </c>
      <c r="E504" s="5" t="str">
        <f>IF('FUENTE NO BORRAR'!E522="","",'FUENTE NO BORRAR'!E522)</f>
        <v/>
      </c>
      <c r="F504" s="6">
        <f>IF('FUENTE NO BORRAR'!F522="","",IF('FUENTE NO BORRAR'!$A522&lt;&gt;"Resultado total",('FUENTE NO BORRAR'!F522),""))</f>
        <v>2731.53</v>
      </c>
      <c r="G504" s="6">
        <f>IF('FUENTE NO BORRAR'!G522="","",IF('FUENTE NO BORRAR'!$A522&lt;&gt;"Resultado total",('FUENTE NO BORRAR'!G522),""))</f>
        <v>2731.53</v>
      </c>
      <c r="H504" s="6">
        <f>IF('FUENTE NO BORRAR'!H522="","",IF('FUENTE NO BORRAR'!$A522&lt;&gt;"Resultado total",('FUENTE NO BORRAR'!H522),""))</f>
        <v>2731.53</v>
      </c>
      <c r="I504" s="6">
        <f>IF('FUENTE NO BORRAR'!I522="","",IF('FUENTE NO BORRAR'!$A522&lt;&gt;"Resultado total",('FUENTE NO BORRAR'!I522),""))</f>
        <v>0</v>
      </c>
    </row>
    <row r="505" spans="1:9" x14ac:dyDescent="0.2">
      <c r="A505" s="5" t="str">
        <f>IF('FUENTE NO BORRAR'!A523="","",(IF('FUENTE NO BORRAR'!A523&lt;&gt;"Resultado total",'FUENTE NO BORRAR'!A523,"")))</f>
        <v/>
      </c>
      <c r="B505" s="5" t="str">
        <f>IF('FUENTE NO BORRAR'!B523="","",'FUENTE NO BORRAR'!B523)</f>
        <v/>
      </c>
      <c r="C505" s="5" t="str">
        <f>IF('FUENTE NO BORRAR'!C523="","",'FUENTE NO BORRAR'!C523)</f>
        <v/>
      </c>
      <c r="D505" s="5" t="str">
        <f>IF('FUENTE NO BORRAR'!D523="","",'FUENTE NO BORRAR'!D523)</f>
        <v/>
      </c>
      <c r="E505" s="5" t="str">
        <f>IF('FUENTE NO BORRAR'!E523="","",'FUENTE NO BORRAR'!E523)</f>
        <v/>
      </c>
      <c r="F505" s="6">
        <f>IF('FUENTE NO BORRAR'!F523="","",IF('FUENTE NO BORRAR'!$A523&lt;&gt;"Resultado total",('FUENTE NO BORRAR'!F523),""))</f>
        <v>8749.76</v>
      </c>
      <c r="G505" s="6">
        <f>IF('FUENTE NO BORRAR'!G523="","",IF('FUENTE NO BORRAR'!$A523&lt;&gt;"Resultado total",('FUENTE NO BORRAR'!G523),""))</f>
        <v>8749.76</v>
      </c>
      <c r="H505" s="6">
        <f>IF('FUENTE NO BORRAR'!H523="","",IF('FUENTE NO BORRAR'!$A523&lt;&gt;"Resultado total",('FUENTE NO BORRAR'!H523),""))</f>
        <v>8684.9599999999991</v>
      </c>
      <c r="I505" s="6">
        <f>IF('FUENTE NO BORRAR'!I523="","",IF('FUENTE NO BORRAR'!$A523&lt;&gt;"Resultado total",('FUENTE NO BORRAR'!I523),""))</f>
        <v>0</v>
      </c>
    </row>
    <row r="506" spans="1:9" x14ac:dyDescent="0.2">
      <c r="A506" s="5" t="str">
        <f>IF('FUENTE NO BORRAR'!A524="","",(IF('FUENTE NO BORRAR'!A524&lt;&gt;"Resultado total",'FUENTE NO BORRAR'!A524,"")))</f>
        <v/>
      </c>
      <c r="B506" s="5" t="str">
        <f>IF('FUENTE NO BORRAR'!B524="","",'FUENTE NO BORRAR'!B524)</f>
        <v/>
      </c>
      <c r="C506" s="5" t="str">
        <f>IF('FUENTE NO BORRAR'!C524="","",'FUENTE NO BORRAR'!C524)</f>
        <v/>
      </c>
      <c r="D506" s="5" t="str">
        <f>IF('FUENTE NO BORRAR'!D524="","",'FUENTE NO BORRAR'!D524)</f>
        <v/>
      </c>
      <c r="E506" s="5" t="str">
        <f>IF('FUENTE NO BORRAR'!E524="","",'FUENTE NO BORRAR'!E524)</f>
        <v/>
      </c>
      <c r="F506" s="6">
        <f>IF('FUENTE NO BORRAR'!F524="","",IF('FUENTE NO BORRAR'!$A524&lt;&gt;"Resultado total",('FUENTE NO BORRAR'!F524),""))</f>
        <v>492</v>
      </c>
      <c r="G506" s="6">
        <f>IF('FUENTE NO BORRAR'!G524="","",IF('FUENTE NO BORRAR'!$A524&lt;&gt;"Resultado total",('FUENTE NO BORRAR'!G524),""))</f>
        <v>492</v>
      </c>
      <c r="H506" s="6">
        <f>IF('FUENTE NO BORRAR'!H524="","",IF('FUENTE NO BORRAR'!$A524&lt;&gt;"Resultado total",('FUENTE NO BORRAR'!H524),""))</f>
        <v>492</v>
      </c>
      <c r="I506" s="6">
        <f>IF('FUENTE NO BORRAR'!I524="","",IF('FUENTE NO BORRAR'!$A524&lt;&gt;"Resultado total",('FUENTE NO BORRAR'!I524),""))</f>
        <v>0</v>
      </c>
    </row>
    <row r="507" spans="1:9" x14ac:dyDescent="0.2">
      <c r="A507" s="5" t="str">
        <f>IF('FUENTE NO BORRAR'!A525="","",(IF('FUENTE NO BORRAR'!A525&lt;&gt;"Resultado total",'FUENTE NO BORRAR'!A525,"")))</f>
        <v/>
      </c>
      <c r="B507" s="5" t="str">
        <f>IF('FUENTE NO BORRAR'!B525="","",'FUENTE NO BORRAR'!B525)</f>
        <v/>
      </c>
      <c r="C507" s="5" t="str">
        <f>IF('FUENTE NO BORRAR'!C525="","",'FUENTE NO BORRAR'!C525)</f>
        <v/>
      </c>
      <c r="D507" s="5" t="str">
        <f>IF('FUENTE NO BORRAR'!D525="","",'FUENTE NO BORRAR'!D525)</f>
        <v/>
      </c>
      <c r="E507" s="5" t="str">
        <f>IF('FUENTE NO BORRAR'!E525="","",'FUENTE NO BORRAR'!E525)</f>
        <v/>
      </c>
      <c r="F507" s="6">
        <f>IF('FUENTE NO BORRAR'!F525="","",IF('FUENTE NO BORRAR'!$A525&lt;&gt;"Resultado total",('FUENTE NO BORRAR'!F525),""))</f>
        <v>62328.51</v>
      </c>
      <c r="G507" s="6">
        <f>IF('FUENTE NO BORRAR'!G525="","",IF('FUENTE NO BORRAR'!$A525&lt;&gt;"Resultado total",('FUENTE NO BORRAR'!G525),""))</f>
        <v>62328.51</v>
      </c>
      <c r="H507" s="6">
        <f>IF('FUENTE NO BORRAR'!H525="","",IF('FUENTE NO BORRAR'!$A525&lt;&gt;"Resultado total",('FUENTE NO BORRAR'!H525),""))</f>
        <v>62328.52</v>
      </c>
      <c r="I507" s="6">
        <f>IF('FUENTE NO BORRAR'!I525="","",IF('FUENTE NO BORRAR'!$A525&lt;&gt;"Resultado total",('FUENTE NO BORRAR'!I525),""))</f>
        <v>0</v>
      </c>
    </row>
    <row r="508" spans="1:9" x14ac:dyDescent="0.2">
      <c r="A508" s="5" t="str">
        <f>IF('FUENTE NO BORRAR'!A526="","",(IF('FUENTE NO BORRAR'!A526&lt;&gt;"Resultado total",'FUENTE NO BORRAR'!A526,"")))</f>
        <v/>
      </c>
      <c r="B508" s="5" t="str">
        <f>IF('FUENTE NO BORRAR'!B526="","",'FUENTE NO BORRAR'!B526)</f>
        <v/>
      </c>
      <c r="C508" s="5" t="str">
        <f>IF('FUENTE NO BORRAR'!C526="","",'FUENTE NO BORRAR'!C526)</f>
        <v/>
      </c>
      <c r="D508" s="5" t="str">
        <f>IF('FUENTE NO BORRAR'!D526="","",'FUENTE NO BORRAR'!D526)</f>
        <v/>
      </c>
      <c r="E508" s="5" t="str">
        <f>IF('FUENTE NO BORRAR'!E526="","",'FUENTE NO BORRAR'!E526)</f>
        <v/>
      </c>
      <c r="F508" s="6">
        <f>IF('FUENTE NO BORRAR'!F526="","",IF('FUENTE NO BORRAR'!$A526&lt;&gt;"Resultado total",('FUENTE NO BORRAR'!F526),""))</f>
        <v>0</v>
      </c>
      <c r="G508" s="6">
        <f>IF('FUENTE NO BORRAR'!G526="","",IF('FUENTE NO BORRAR'!$A526&lt;&gt;"Resultado total",('FUENTE NO BORRAR'!G526),""))</f>
        <v>0</v>
      </c>
      <c r="H508" s="6">
        <f>IF('FUENTE NO BORRAR'!H526="","",IF('FUENTE NO BORRAR'!$A526&lt;&gt;"Resultado total",('FUENTE NO BORRAR'!H526),""))</f>
        <v>0</v>
      </c>
      <c r="I508" s="6">
        <f>IF('FUENTE NO BORRAR'!I526="","",IF('FUENTE NO BORRAR'!$A526&lt;&gt;"Resultado total",('FUENTE NO BORRAR'!I526),""))</f>
        <v>0</v>
      </c>
    </row>
    <row r="509" spans="1:9" x14ac:dyDescent="0.2">
      <c r="A509" s="5" t="str">
        <f>IF('FUENTE NO BORRAR'!A527="","",(IF('FUENTE NO BORRAR'!A527&lt;&gt;"Resultado total",'FUENTE NO BORRAR'!A527,"")))</f>
        <v/>
      </c>
      <c r="B509" s="5" t="str">
        <f>IF('FUENTE NO BORRAR'!B527="","",'FUENTE NO BORRAR'!B527)</f>
        <v/>
      </c>
      <c r="C509" s="5" t="str">
        <f>IF('FUENTE NO BORRAR'!C527="","",'FUENTE NO BORRAR'!C527)</f>
        <v/>
      </c>
      <c r="D509" s="5" t="str">
        <f>IF('FUENTE NO BORRAR'!D527="","",'FUENTE NO BORRAR'!D527)</f>
        <v/>
      </c>
      <c r="E509" s="5" t="str">
        <f>IF('FUENTE NO BORRAR'!E527="","",'FUENTE NO BORRAR'!E527)</f>
        <v/>
      </c>
      <c r="F509" s="6">
        <f>IF('FUENTE NO BORRAR'!F527="","",IF('FUENTE NO BORRAR'!$A527&lt;&gt;"Resultado total",('FUENTE NO BORRAR'!F527),""))</f>
        <v>6689</v>
      </c>
      <c r="G509" s="6">
        <f>IF('FUENTE NO BORRAR'!G527="","",IF('FUENTE NO BORRAR'!$A527&lt;&gt;"Resultado total",('FUENTE NO BORRAR'!G527),""))</f>
        <v>6689</v>
      </c>
      <c r="H509" s="6">
        <f>IF('FUENTE NO BORRAR'!H527="","",IF('FUENTE NO BORRAR'!$A527&lt;&gt;"Resultado total",('FUENTE NO BORRAR'!H527),""))</f>
        <v>6689</v>
      </c>
      <c r="I509" s="6">
        <f>IF('FUENTE NO BORRAR'!I527="","",IF('FUENTE NO BORRAR'!$A527&lt;&gt;"Resultado total",('FUENTE NO BORRAR'!I527),""))</f>
        <v>0</v>
      </c>
    </row>
    <row r="510" spans="1:9" x14ac:dyDescent="0.2">
      <c r="A510" s="5" t="str">
        <f>IF('FUENTE NO BORRAR'!A528="","",(IF('FUENTE NO BORRAR'!A528&lt;&gt;"Resultado total",'FUENTE NO BORRAR'!A528,"")))</f>
        <v/>
      </c>
      <c r="B510" s="5" t="str">
        <f>IF('FUENTE NO BORRAR'!B528="","",'FUENTE NO BORRAR'!B528)</f>
        <v/>
      </c>
      <c r="C510" s="5" t="str">
        <f>IF('FUENTE NO BORRAR'!C528="","",'FUENTE NO BORRAR'!C528)</f>
        <v/>
      </c>
      <c r="D510" s="5" t="str">
        <f>IF('FUENTE NO BORRAR'!D528="","",'FUENTE NO BORRAR'!D528)</f>
        <v/>
      </c>
      <c r="E510" s="5" t="str">
        <f>IF('FUENTE NO BORRAR'!E528="","",'FUENTE NO BORRAR'!E528)</f>
        <v/>
      </c>
      <c r="F510" s="6">
        <f>IF('FUENTE NO BORRAR'!F528="","",IF('FUENTE NO BORRAR'!$A528&lt;&gt;"Resultado total",('FUENTE NO BORRAR'!F528),""))</f>
        <v>418</v>
      </c>
      <c r="G510" s="6">
        <f>IF('FUENTE NO BORRAR'!G528="","",IF('FUENTE NO BORRAR'!$A528&lt;&gt;"Resultado total",('FUENTE NO BORRAR'!G528),""))</f>
        <v>418</v>
      </c>
      <c r="H510" s="6">
        <f>IF('FUENTE NO BORRAR'!H528="","",IF('FUENTE NO BORRAR'!$A528&lt;&gt;"Resultado total",('FUENTE NO BORRAR'!H528),""))</f>
        <v>418</v>
      </c>
      <c r="I510" s="6">
        <f>IF('FUENTE NO BORRAR'!I528="","",IF('FUENTE NO BORRAR'!$A528&lt;&gt;"Resultado total",('FUENTE NO BORRAR'!I528),""))</f>
        <v>0</v>
      </c>
    </row>
    <row r="511" spans="1:9" x14ac:dyDescent="0.2">
      <c r="A511" s="5" t="str">
        <f>IF('FUENTE NO BORRAR'!A529="","",(IF('FUENTE NO BORRAR'!A529&lt;&gt;"Resultado total",'FUENTE NO BORRAR'!A529,"")))</f>
        <v/>
      </c>
      <c r="B511" s="5" t="str">
        <f>IF('FUENTE NO BORRAR'!B529="","",'FUENTE NO BORRAR'!B529)</f>
        <v/>
      </c>
      <c r="C511" s="5" t="str">
        <f>IF('FUENTE NO BORRAR'!C529="","",'FUENTE NO BORRAR'!C529)</f>
        <v/>
      </c>
      <c r="D511" s="5" t="str">
        <f>IF('FUENTE NO BORRAR'!D529="","",'FUENTE NO BORRAR'!D529)</f>
        <v/>
      </c>
      <c r="E511" s="5" t="str">
        <f>IF('FUENTE NO BORRAR'!E529="","",'FUENTE NO BORRAR'!E529)</f>
        <v/>
      </c>
      <c r="F511" s="6">
        <f>IF('FUENTE NO BORRAR'!F529="","",IF('FUENTE NO BORRAR'!$A529&lt;&gt;"Resultado total",('FUENTE NO BORRAR'!F529),""))</f>
        <v>0</v>
      </c>
      <c r="G511" s="6">
        <f>IF('FUENTE NO BORRAR'!G529="","",IF('FUENTE NO BORRAR'!$A529&lt;&gt;"Resultado total",('FUENTE NO BORRAR'!G529),""))</f>
        <v>0</v>
      </c>
      <c r="H511" s="6">
        <f>IF('FUENTE NO BORRAR'!H529="","",IF('FUENTE NO BORRAR'!$A529&lt;&gt;"Resultado total",('FUENTE NO BORRAR'!H529),""))</f>
        <v>0</v>
      </c>
      <c r="I511" s="6">
        <f>IF('FUENTE NO BORRAR'!I529="","",IF('FUENTE NO BORRAR'!$A529&lt;&gt;"Resultado total",('FUENTE NO BORRAR'!I529),""))</f>
        <v>0</v>
      </c>
    </row>
    <row r="512" spans="1:9" x14ac:dyDescent="0.2">
      <c r="A512" s="5" t="str">
        <f>IF('FUENTE NO BORRAR'!A530="","",(IF('FUENTE NO BORRAR'!A530&lt;&gt;"Resultado total",'FUENTE NO BORRAR'!A530,"")))</f>
        <v/>
      </c>
      <c r="B512" s="5" t="str">
        <f>IF('FUENTE NO BORRAR'!B530="","",'FUENTE NO BORRAR'!B530)</f>
        <v/>
      </c>
      <c r="C512" s="5" t="str">
        <f>IF('FUENTE NO BORRAR'!C530="","",'FUENTE NO BORRAR'!C530)</f>
        <v/>
      </c>
      <c r="D512" s="5" t="str">
        <f>IF('FUENTE NO BORRAR'!D530="","",'FUENTE NO BORRAR'!D530)</f>
        <v/>
      </c>
      <c r="E512" s="5" t="str">
        <f>IF('FUENTE NO BORRAR'!E530="","",'FUENTE NO BORRAR'!E530)</f>
        <v/>
      </c>
      <c r="F512" s="6">
        <f>IF('FUENTE NO BORRAR'!F530="","",IF('FUENTE NO BORRAR'!$A530&lt;&gt;"Resultado total",('FUENTE NO BORRAR'!F530),""))</f>
        <v>1026.5999999999999</v>
      </c>
      <c r="G512" s="6">
        <f>IF('FUENTE NO BORRAR'!G530="","",IF('FUENTE NO BORRAR'!$A530&lt;&gt;"Resultado total",('FUENTE NO BORRAR'!G530),""))</f>
        <v>1026.5999999999999</v>
      </c>
      <c r="H512" s="6">
        <f>IF('FUENTE NO BORRAR'!H530="","",IF('FUENTE NO BORRAR'!$A530&lt;&gt;"Resultado total",('FUENTE NO BORRAR'!H530),""))</f>
        <v>1026.5999999999999</v>
      </c>
      <c r="I512" s="6">
        <f>IF('FUENTE NO BORRAR'!I530="","",IF('FUENTE NO BORRAR'!$A530&lt;&gt;"Resultado total",('FUENTE NO BORRAR'!I530),""))</f>
        <v>0</v>
      </c>
    </row>
    <row r="513" spans="1:9" x14ac:dyDescent="0.2">
      <c r="A513" s="5" t="str">
        <f>IF('FUENTE NO BORRAR'!A531="","",(IF('FUENTE NO BORRAR'!A531&lt;&gt;"Resultado total",'FUENTE NO BORRAR'!A531,"")))</f>
        <v/>
      </c>
      <c r="B513" s="5" t="str">
        <f>IF('FUENTE NO BORRAR'!B531="","",'FUENTE NO BORRAR'!B531)</f>
        <v/>
      </c>
      <c r="C513" s="5" t="str">
        <f>IF('FUENTE NO BORRAR'!C531="","",'FUENTE NO BORRAR'!C531)</f>
        <v/>
      </c>
      <c r="D513" s="5" t="str">
        <f>IF('FUENTE NO BORRAR'!D531="","",'FUENTE NO BORRAR'!D531)</f>
        <v/>
      </c>
      <c r="E513" s="5" t="str">
        <f>IF('FUENTE NO BORRAR'!E531="","",'FUENTE NO BORRAR'!E531)</f>
        <v/>
      </c>
      <c r="F513" s="6">
        <f>IF('FUENTE NO BORRAR'!F531="","",IF('FUENTE NO BORRAR'!$A531&lt;&gt;"Resultado total",('FUENTE NO BORRAR'!F531),""))</f>
        <v>91540.01</v>
      </c>
      <c r="G513" s="6">
        <f>IF('FUENTE NO BORRAR'!G531="","",IF('FUENTE NO BORRAR'!$A531&lt;&gt;"Resultado total",('FUENTE NO BORRAR'!G531),""))</f>
        <v>91540.01</v>
      </c>
      <c r="H513" s="6">
        <f>IF('FUENTE NO BORRAR'!H531="","",IF('FUENTE NO BORRAR'!$A531&lt;&gt;"Resultado total",('FUENTE NO BORRAR'!H531),""))</f>
        <v>91540.01</v>
      </c>
      <c r="I513" s="6">
        <f>IF('FUENTE NO BORRAR'!I531="","",IF('FUENTE NO BORRAR'!$A531&lt;&gt;"Resultado total",('FUENTE NO BORRAR'!I531),""))</f>
        <v>0</v>
      </c>
    </row>
    <row r="514" spans="1:9" x14ac:dyDescent="0.2">
      <c r="A514" s="5" t="str">
        <f>IF('FUENTE NO BORRAR'!A532="","",(IF('FUENTE NO BORRAR'!A532&lt;&gt;"Resultado total",'FUENTE NO BORRAR'!A532,"")))</f>
        <v/>
      </c>
      <c r="B514" s="5" t="str">
        <f>IF('FUENTE NO BORRAR'!B532="","",'FUENTE NO BORRAR'!B532)</f>
        <v/>
      </c>
      <c r="C514" s="5" t="str">
        <f>IF('FUENTE NO BORRAR'!C532="","",'FUENTE NO BORRAR'!C532)</f>
        <v/>
      </c>
      <c r="D514" s="5" t="str">
        <f>IF('FUENTE NO BORRAR'!D532="","",'FUENTE NO BORRAR'!D532)</f>
        <v/>
      </c>
      <c r="E514" s="5" t="str">
        <f>IF('FUENTE NO BORRAR'!E532="","",'FUENTE NO BORRAR'!E532)</f>
        <v/>
      </c>
      <c r="F514" s="6">
        <f>IF('FUENTE NO BORRAR'!F532="","",IF('FUENTE NO BORRAR'!$A532&lt;&gt;"Resultado total",('FUENTE NO BORRAR'!F532),""))</f>
        <v>201558.63</v>
      </c>
      <c r="G514" s="6">
        <f>IF('FUENTE NO BORRAR'!G532="","",IF('FUENTE NO BORRAR'!$A532&lt;&gt;"Resultado total",('FUENTE NO BORRAR'!G532),""))</f>
        <v>201558.63</v>
      </c>
      <c r="H514" s="6">
        <f>IF('FUENTE NO BORRAR'!H532="","",IF('FUENTE NO BORRAR'!$A532&lt;&gt;"Resultado total",('FUENTE NO BORRAR'!H532),""))</f>
        <v>130395.53</v>
      </c>
      <c r="I514" s="6">
        <f>IF('FUENTE NO BORRAR'!I532="","",IF('FUENTE NO BORRAR'!$A532&lt;&gt;"Resultado total",('FUENTE NO BORRAR'!I532),""))</f>
        <v>0</v>
      </c>
    </row>
    <row r="515" spans="1:9" x14ac:dyDescent="0.2">
      <c r="A515" s="5" t="str">
        <f>IF('FUENTE NO BORRAR'!A533="","",(IF('FUENTE NO BORRAR'!A533&lt;&gt;"Resultado total",'FUENTE NO BORRAR'!A533,"")))</f>
        <v/>
      </c>
      <c r="B515" s="5" t="str">
        <f>IF('FUENTE NO BORRAR'!B533="","",'FUENTE NO BORRAR'!B533)</f>
        <v/>
      </c>
      <c r="C515" s="5" t="str">
        <f>IF('FUENTE NO BORRAR'!C533="","",'FUENTE NO BORRAR'!C533)</f>
        <v/>
      </c>
      <c r="D515" s="5" t="str">
        <f>IF('FUENTE NO BORRAR'!D533="","",'FUENTE NO BORRAR'!D533)</f>
        <v/>
      </c>
      <c r="E515" s="5" t="str">
        <f>IF('FUENTE NO BORRAR'!E533="","",'FUENTE NO BORRAR'!E533)</f>
        <v/>
      </c>
      <c r="F515" s="6">
        <f>IF('FUENTE NO BORRAR'!F533="","",IF('FUENTE NO BORRAR'!$A533&lt;&gt;"Resultado total",('FUENTE NO BORRAR'!F533),""))</f>
        <v>2505.6</v>
      </c>
      <c r="G515" s="6">
        <f>IF('FUENTE NO BORRAR'!G533="","",IF('FUENTE NO BORRAR'!$A533&lt;&gt;"Resultado total",('FUENTE NO BORRAR'!G533),""))</f>
        <v>2505.6</v>
      </c>
      <c r="H515" s="6">
        <f>IF('FUENTE NO BORRAR'!H533="","",IF('FUENTE NO BORRAR'!$A533&lt;&gt;"Resultado total",('FUENTE NO BORRAR'!H533),""))</f>
        <v>2505.6</v>
      </c>
      <c r="I515" s="6">
        <f>IF('FUENTE NO BORRAR'!I533="","",IF('FUENTE NO BORRAR'!$A533&lt;&gt;"Resultado total",('FUENTE NO BORRAR'!I533),""))</f>
        <v>0</v>
      </c>
    </row>
    <row r="516" spans="1:9" x14ac:dyDescent="0.2">
      <c r="A516" s="5" t="str">
        <f>IF('FUENTE NO BORRAR'!A534="","",(IF('FUENTE NO BORRAR'!A534&lt;&gt;"Resultado total",'FUENTE NO BORRAR'!A534,"")))</f>
        <v/>
      </c>
      <c r="B516" s="5" t="str">
        <f>IF('FUENTE NO BORRAR'!B534="","",'FUENTE NO BORRAR'!B534)</f>
        <v/>
      </c>
      <c r="C516" s="5" t="str">
        <f>IF('FUENTE NO BORRAR'!C534="","",'FUENTE NO BORRAR'!C534)</f>
        <v/>
      </c>
      <c r="D516" s="5" t="str">
        <f>IF('FUENTE NO BORRAR'!D534="","",'FUENTE NO BORRAR'!D534)</f>
        <v/>
      </c>
      <c r="E516" s="5" t="str">
        <f>IF('FUENTE NO BORRAR'!E534="","",'FUENTE NO BORRAR'!E534)</f>
        <v/>
      </c>
      <c r="F516" s="6">
        <f>IF('FUENTE NO BORRAR'!F534="","",IF('FUENTE NO BORRAR'!$A534&lt;&gt;"Resultado total",('FUENTE NO BORRAR'!F534),""))</f>
        <v>226825.24</v>
      </c>
      <c r="G516" s="6">
        <f>IF('FUENTE NO BORRAR'!G534="","",IF('FUENTE NO BORRAR'!$A534&lt;&gt;"Resultado total",('FUENTE NO BORRAR'!G534),""))</f>
        <v>226825.24</v>
      </c>
      <c r="H516" s="6">
        <f>IF('FUENTE NO BORRAR'!H534="","",IF('FUENTE NO BORRAR'!$A534&lt;&gt;"Resultado total",('FUENTE NO BORRAR'!H534),""))</f>
        <v>219934.84</v>
      </c>
      <c r="I516" s="6">
        <f>IF('FUENTE NO BORRAR'!I534="","",IF('FUENTE NO BORRAR'!$A534&lt;&gt;"Resultado total",('FUENTE NO BORRAR'!I534),""))</f>
        <v>0</v>
      </c>
    </row>
    <row r="517" spans="1:9" x14ac:dyDescent="0.2">
      <c r="A517" s="5" t="str">
        <f>IF('FUENTE NO BORRAR'!A535="","",(IF('FUENTE NO BORRAR'!A535&lt;&gt;"Resultado total",'FUENTE NO BORRAR'!A535,"")))</f>
        <v/>
      </c>
      <c r="B517" s="5" t="str">
        <f>IF('FUENTE NO BORRAR'!B535="","",'FUENTE NO BORRAR'!B535)</f>
        <v/>
      </c>
      <c r="C517" s="5" t="str">
        <f>IF('FUENTE NO BORRAR'!C535="","",'FUENTE NO BORRAR'!C535)</f>
        <v/>
      </c>
      <c r="D517" s="5" t="str">
        <f>IF('FUENTE NO BORRAR'!D535="","",'FUENTE NO BORRAR'!D535)</f>
        <v/>
      </c>
      <c r="E517" s="5" t="str">
        <f>IF('FUENTE NO BORRAR'!E535="","",'FUENTE NO BORRAR'!E535)</f>
        <v/>
      </c>
      <c r="F517" s="6">
        <f>IF('FUENTE NO BORRAR'!F535="","",IF('FUENTE NO BORRAR'!$A535&lt;&gt;"Resultado total",('FUENTE NO BORRAR'!F535),""))</f>
        <v>1392</v>
      </c>
      <c r="G517" s="6">
        <f>IF('FUENTE NO BORRAR'!G535="","",IF('FUENTE NO BORRAR'!$A535&lt;&gt;"Resultado total",('FUENTE NO BORRAR'!G535),""))</f>
        <v>1392</v>
      </c>
      <c r="H517" s="6">
        <f>IF('FUENTE NO BORRAR'!H535="","",IF('FUENTE NO BORRAR'!$A535&lt;&gt;"Resultado total",('FUENTE NO BORRAR'!H535),""))</f>
        <v>1392</v>
      </c>
      <c r="I517" s="6">
        <f>IF('FUENTE NO BORRAR'!I535="","",IF('FUENTE NO BORRAR'!$A535&lt;&gt;"Resultado total",('FUENTE NO BORRAR'!I535),""))</f>
        <v>0</v>
      </c>
    </row>
    <row r="518" spans="1:9" x14ac:dyDescent="0.2">
      <c r="A518" s="5" t="str">
        <f>IF('FUENTE NO BORRAR'!A536="","",(IF('FUENTE NO BORRAR'!A536&lt;&gt;"Resultado total",'FUENTE NO BORRAR'!A536,"")))</f>
        <v/>
      </c>
      <c r="B518" s="5" t="str">
        <f>IF('FUENTE NO BORRAR'!B536="","",'FUENTE NO BORRAR'!B536)</f>
        <v/>
      </c>
      <c r="C518" s="5" t="str">
        <f>IF('FUENTE NO BORRAR'!C536="","",'FUENTE NO BORRAR'!C536)</f>
        <v/>
      </c>
      <c r="D518" s="5" t="str">
        <f>IF('FUENTE NO BORRAR'!D536="","",'FUENTE NO BORRAR'!D536)</f>
        <v/>
      </c>
      <c r="E518" s="5" t="str">
        <f>IF('FUENTE NO BORRAR'!E536="","",'FUENTE NO BORRAR'!E536)</f>
        <v/>
      </c>
      <c r="F518" s="6">
        <f>IF('FUENTE NO BORRAR'!F536="","",IF('FUENTE NO BORRAR'!$A536&lt;&gt;"Resultado total",('FUENTE NO BORRAR'!F536),""))</f>
        <v>0</v>
      </c>
      <c r="G518" s="6">
        <f>IF('FUENTE NO BORRAR'!G536="","",IF('FUENTE NO BORRAR'!$A536&lt;&gt;"Resultado total",('FUENTE NO BORRAR'!G536),""))</f>
        <v>0</v>
      </c>
      <c r="H518" s="6">
        <f>IF('FUENTE NO BORRAR'!H536="","",IF('FUENTE NO BORRAR'!$A536&lt;&gt;"Resultado total",('FUENTE NO BORRAR'!H536),""))</f>
        <v>0</v>
      </c>
      <c r="I518" s="6">
        <f>IF('FUENTE NO BORRAR'!I536="","",IF('FUENTE NO BORRAR'!$A536&lt;&gt;"Resultado total",('FUENTE NO BORRAR'!I536),""))</f>
        <v>0</v>
      </c>
    </row>
    <row r="519" spans="1:9" x14ac:dyDescent="0.2">
      <c r="A519" s="5" t="str">
        <f>IF('FUENTE NO BORRAR'!A537="","",(IF('FUENTE NO BORRAR'!A537&lt;&gt;"Resultado total",'FUENTE NO BORRAR'!A537,"")))</f>
        <v/>
      </c>
      <c r="B519" s="5" t="str">
        <f>IF('FUENTE NO BORRAR'!B537="","",'FUENTE NO BORRAR'!B537)</f>
        <v/>
      </c>
      <c r="C519" s="5" t="str">
        <f>IF('FUENTE NO BORRAR'!C537="","",'FUENTE NO BORRAR'!C537)</f>
        <v/>
      </c>
      <c r="D519" s="5" t="str">
        <f>IF('FUENTE NO BORRAR'!D537="","",'FUENTE NO BORRAR'!D537)</f>
        <v/>
      </c>
      <c r="E519" s="5" t="str">
        <f>IF('FUENTE NO BORRAR'!E537="","",'FUENTE NO BORRAR'!E537)</f>
        <v/>
      </c>
      <c r="F519" s="6">
        <f>IF('FUENTE NO BORRAR'!F537="","",IF('FUENTE NO BORRAR'!$A537&lt;&gt;"Resultado total",('FUENTE NO BORRAR'!F537),""))</f>
        <v>89708.65</v>
      </c>
      <c r="G519" s="6">
        <f>IF('FUENTE NO BORRAR'!G537="","",IF('FUENTE NO BORRAR'!$A537&lt;&gt;"Resultado total",('FUENTE NO BORRAR'!G537),""))</f>
        <v>89708.65</v>
      </c>
      <c r="H519" s="6">
        <f>IF('FUENTE NO BORRAR'!H537="","",IF('FUENTE NO BORRAR'!$A537&lt;&gt;"Resultado total",('FUENTE NO BORRAR'!H537),""))</f>
        <v>89708.65</v>
      </c>
      <c r="I519" s="6">
        <f>IF('FUENTE NO BORRAR'!I537="","",IF('FUENTE NO BORRAR'!$A537&lt;&gt;"Resultado total",('FUENTE NO BORRAR'!I537),""))</f>
        <v>0</v>
      </c>
    </row>
    <row r="520" spans="1:9" x14ac:dyDescent="0.2">
      <c r="A520" s="5" t="str">
        <f>IF('FUENTE NO BORRAR'!A538="","",(IF('FUENTE NO BORRAR'!A538&lt;&gt;"Resultado total",'FUENTE NO BORRAR'!A538,"")))</f>
        <v/>
      </c>
      <c r="B520" s="5" t="str">
        <f>IF('FUENTE NO BORRAR'!B538="","",'FUENTE NO BORRAR'!B538)</f>
        <v/>
      </c>
      <c r="C520" s="5" t="str">
        <f>IF('FUENTE NO BORRAR'!C538="","",'FUENTE NO BORRAR'!C538)</f>
        <v/>
      </c>
      <c r="D520" s="5" t="str">
        <f>IF('FUENTE NO BORRAR'!D538="","",'FUENTE NO BORRAR'!D538)</f>
        <v/>
      </c>
      <c r="E520" s="5" t="str">
        <f>IF('FUENTE NO BORRAR'!E538="","",'FUENTE NO BORRAR'!E538)</f>
        <v/>
      </c>
      <c r="F520" s="6">
        <f>IF('FUENTE NO BORRAR'!F538="","",IF('FUENTE NO BORRAR'!$A538&lt;&gt;"Resultado total",('FUENTE NO BORRAR'!F538),""))</f>
        <v>58851.44</v>
      </c>
      <c r="G520" s="6">
        <f>IF('FUENTE NO BORRAR'!G538="","",IF('FUENTE NO BORRAR'!$A538&lt;&gt;"Resultado total",('FUENTE NO BORRAR'!G538),""))</f>
        <v>58851.44</v>
      </c>
      <c r="H520" s="6">
        <f>IF('FUENTE NO BORRAR'!H538="","",IF('FUENTE NO BORRAR'!$A538&lt;&gt;"Resultado total",('FUENTE NO BORRAR'!H538),""))</f>
        <v>58851.44</v>
      </c>
      <c r="I520" s="6">
        <f>IF('FUENTE NO BORRAR'!I538="","",IF('FUENTE NO BORRAR'!$A538&lt;&gt;"Resultado total",('FUENTE NO BORRAR'!I538),""))</f>
        <v>0</v>
      </c>
    </row>
    <row r="521" spans="1:9" x14ac:dyDescent="0.2">
      <c r="A521" s="5" t="str">
        <f>IF('FUENTE NO BORRAR'!A539="","",(IF('FUENTE NO BORRAR'!A539&lt;&gt;"Resultado total",'FUENTE NO BORRAR'!A539,"")))</f>
        <v/>
      </c>
      <c r="B521" s="5" t="str">
        <f>IF('FUENTE NO BORRAR'!B539="","",'FUENTE NO BORRAR'!B539)</f>
        <v/>
      </c>
      <c r="C521" s="5" t="str">
        <f>IF('FUENTE NO BORRAR'!C539="","",'FUENTE NO BORRAR'!C539)</f>
        <v/>
      </c>
      <c r="D521" s="5" t="str">
        <f>IF('FUENTE NO BORRAR'!D539="","",'FUENTE NO BORRAR'!D539)</f>
        <v/>
      </c>
      <c r="E521" s="5" t="str">
        <f>IF('FUENTE NO BORRAR'!E539="","",'FUENTE NO BORRAR'!E539)</f>
        <v/>
      </c>
      <c r="F521" s="6">
        <f>IF('FUENTE NO BORRAR'!F539="","",IF('FUENTE NO BORRAR'!$A539&lt;&gt;"Resultado total",('FUENTE NO BORRAR'!F539),""))</f>
        <v>16093.06</v>
      </c>
      <c r="G521" s="6">
        <f>IF('FUENTE NO BORRAR'!G539="","",IF('FUENTE NO BORRAR'!$A539&lt;&gt;"Resultado total",('FUENTE NO BORRAR'!G539),""))</f>
        <v>16093.06</v>
      </c>
      <c r="H521" s="6">
        <f>IF('FUENTE NO BORRAR'!H539="","",IF('FUENTE NO BORRAR'!$A539&lt;&gt;"Resultado total",('FUENTE NO BORRAR'!H539),""))</f>
        <v>16093.06</v>
      </c>
      <c r="I521" s="6">
        <f>IF('FUENTE NO BORRAR'!I539="","",IF('FUENTE NO BORRAR'!$A539&lt;&gt;"Resultado total",('FUENTE NO BORRAR'!I539),""))</f>
        <v>0</v>
      </c>
    </row>
    <row r="522" spans="1:9" x14ac:dyDescent="0.2">
      <c r="A522" s="5" t="str">
        <f>IF('FUENTE NO BORRAR'!A540="","",(IF('FUENTE NO BORRAR'!A540&lt;&gt;"Resultado total",'FUENTE NO BORRAR'!A540,"")))</f>
        <v/>
      </c>
      <c r="B522" s="5" t="str">
        <f>IF('FUENTE NO BORRAR'!B540="","",'FUENTE NO BORRAR'!B540)</f>
        <v/>
      </c>
      <c r="C522" s="5" t="str">
        <f>IF('FUENTE NO BORRAR'!C540="","",'FUENTE NO BORRAR'!C540)</f>
        <v/>
      </c>
      <c r="D522" s="5" t="str">
        <f>IF('FUENTE NO BORRAR'!D540="","",'FUENTE NO BORRAR'!D540)</f>
        <v/>
      </c>
      <c r="E522" s="5" t="str">
        <f>IF('FUENTE NO BORRAR'!E540="","",'FUENTE NO BORRAR'!E540)</f>
        <v/>
      </c>
      <c r="F522" s="6">
        <f>IF('FUENTE NO BORRAR'!F540="","",IF('FUENTE NO BORRAR'!$A540&lt;&gt;"Resultado total",('FUENTE NO BORRAR'!F540),""))</f>
        <v>186226.6</v>
      </c>
      <c r="G522" s="6">
        <f>IF('FUENTE NO BORRAR'!G540="","",IF('FUENTE NO BORRAR'!$A540&lt;&gt;"Resultado total",('FUENTE NO BORRAR'!G540),""))</f>
        <v>186226.6</v>
      </c>
      <c r="H522" s="6">
        <f>IF('FUENTE NO BORRAR'!H540="","",IF('FUENTE NO BORRAR'!$A540&lt;&gt;"Resultado total",('FUENTE NO BORRAR'!H540),""))</f>
        <v>186226.6</v>
      </c>
      <c r="I522" s="6">
        <f>IF('FUENTE NO BORRAR'!I540="","",IF('FUENTE NO BORRAR'!$A540&lt;&gt;"Resultado total",('FUENTE NO BORRAR'!I540),""))</f>
        <v>0</v>
      </c>
    </row>
    <row r="523" spans="1:9" x14ac:dyDescent="0.2">
      <c r="A523" s="5" t="str">
        <f>IF('FUENTE NO BORRAR'!A541="","",(IF('FUENTE NO BORRAR'!A541&lt;&gt;"Resultado total",'FUENTE NO BORRAR'!A541,"")))</f>
        <v/>
      </c>
      <c r="B523" s="5" t="str">
        <f>IF('FUENTE NO BORRAR'!B541="","",'FUENTE NO BORRAR'!B541)</f>
        <v/>
      </c>
      <c r="C523" s="5" t="str">
        <f>IF('FUENTE NO BORRAR'!C541="","",'FUENTE NO BORRAR'!C541)</f>
        <v/>
      </c>
      <c r="D523" s="5" t="str">
        <f>IF('FUENTE NO BORRAR'!D541="","",'FUENTE NO BORRAR'!D541)</f>
        <v/>
      </c>
      <c r="E523" s="5" t="str">
        <f>IF('FUENTE NO BORRAR'!E541="","",'FUENTE NO BORRAR'!E541)</f>
        <v/>
      </c>
      <c r="F523" s="6">
        <f>IF('FUENTE NO BORRAR'!F541="","",IF('FUENTE NO BORRAR'!$A541&lt;&gt;"Resultado total",('FUENTE NO BORRAR'!F541),""))</f>
        <v>0</v>
      </c>
      <c r="G523" s="6">
        <f>IF('FUENTE NO BORRAR'!G541="","",IF('FUENTE NO BORRAR'!$A541&lt;&gt;"Resultado total",('FUENTE NO BORRAR'!G541),""))</f>
        <v>0</v>
      </c>
      <c r="H523" s="6">
        <f>IF('FUENTE NO BORRAR'!H541="","",IF('FUENTE NO BORRAR'!$A541&lt;&gt;"Resultado total",('FUENTE NO BORRAR'!H541),""))</f>
        <v>0</v>
      </c>
      <c r="I523" s="6">
        <f>IF('FUENTE NO BORRAR'!I541="","",IF('FUENTE NO BORRAR'!$A541&lt;&gt;"Resultado total",('FUENTE NO BORRAR'!I541),""))</f>
        <v>0</v>
      </c>
    </row>
    <row r="524" spans="1:9" x14ac:dyDescent="0.2">
      <c r="A524" s="5" t="str">
        <f>IF('FUENTE NO BORRAR'!A542="","",(IF('FUENTE NO BORRAR'!A542&lt;&gt;"Resultado total",'FUENTE NO BORRAR'!A542,"")))</f>
        <v/>
      </c>
      <c r="B524" s="5" t="str">
        <f>IF('FUENTE NO BORRAR'!B542="","",'FUENTE NO BORRAR'!B542)</f>
        <v/>
      </c>
      <c r="C524" s="5" t="str">
        <f>IF('FUENTE NO BORRAR'!C542="","",'FUENTE NO BORRAR'!C542)</f>
        <v/>
      </c>
      <c r="D524" s="5" t="str">
        <f>IF('FUENTE NO BORRAR'!D542="","",'FUENTE NO BORRAR'!D542)</f>
        <v/>
      </c>
      <c r="E524" s="5" t="str">
        <f>IF('FUENTE NO BORRAR'!E542="","",'FUENTE NO BORRAR'!E542)</f>
        <v/>
      </c>
      <c r="F524" s="6">
        <f>IF('FUENTE NO BORRAR'!F542="","",IF('FUENTE NO BORRAR'!$A542&lt;&gt;"Resultado total",('FUENTE NO BORRAR'!F542),""))</f>
        <v>20244.32</v>
      </c>
      <c r="G524" s="6">
        <f>IF('FUENTE NO BORRAR'!G542="","",IF('FUENTE NO BORRAR'!$A542&lt;&gt;"Resultado total",('FUENTE NO BORRAR'!G542),""))</f>
        <v>20244.32</v>
      </c>
      <c r="H524" s="6">
        <f>IF('FUENTE NO BORRAR'!H542="","",IF('FUENTE NO BORRAR'!$A542&lt;&gt;"Resultado total",('FUENTE NO BORRAR'!H542),""))</f>
        <v>20244.32</v>
      </c>
      <c r="I524" s="6">
        <f>IF('FUENTE NO BORRAR'!I542="","",IF('FUENTE NO BORRAR'!$A542&lt;&gt;"Resultado total",('FUENTE NO BORRAR'!I542),""))</f>
        <v>0</v>
      </c>
    </row>
    <row r="525" spans="1:9" x14ac:dyDescent="0.2">
      <c r="A525" s="5" t="str">
        <f>IF('FUENTE NO BORRAR'!A543="","",(IF('FUENTE NO BORRAR'!A543&lt;&gt;"Resultado total",'FUENTE NO BORRAR'!A543,"")))</f>
        <v/>
      </c>
      <c r="B525" s="5" t="str">
        <f>IF('FUENTE NO BORRAR'!B543="","",'FUENTE NO BORRAR'!B543)</f>
        <v/>
      </c>
      <c r="C525" s="5" t="str">
        <f>IF('FUENTE NO BORRAR'!C543="","",'FUENTE NO BORRAR'!C543)</f>
        <v/>
      </c>
      <c r="D525" s="5" t="str">
        <f>IF('FUENTE NO BORRAR'!D543="","",'FUENTE NO BORRAR'!D543)</f>
        <v/>
      </c>
      <c r="E525" s="5" t="str">
        <f>IF('FUENTE NO BORRAR'!E543="","",'FUENTE NO BORRAR'!E543)</f>
        <v/>
      </c>
      <c r="F525" s="6">
        <f>IF('FUENTE NO BORRAR'!F543="","",IF('FUENTE NO BORRAR'!$A543&lt;&gt;"Resultado total",('FUENTE NO BORRAR'!F543),""))</f>
        <v>993</v>
      </c>
      <c r="G525" s="6">
        <f>IF('FUENTE NO BORRAR'!G543="","",IF('FUENTE NO BORRAR'!$A543&lt;&gt;"Resultado total",('FUENTE NO BORRAR'!G543),""))</f>
        <v>993</v>
      </c>
      <c r="H525" s="6">
        <f>IF('FUENTE NO BORRAR'!H543="","",IF('FUENTE NO BORRAR'!$A543&lt;&gt;"Resultado total",('FUENTE NO BORRAR'!H543),""))</f>
        <v>993</v>
      </c>
      <c r="I525" s="6">
        <f>IF('FUENTE NO BORRAR'!I543="","",IF('FUENTE NO BORRAR'!$A543&lt;&gt;"Resultado total",('FUENTE NO BORRAR'!I543),""))</f>
        <v>0</v>
      </c>
    </row>
    <row r="526" spans="1:9" x14ac:dyDescent="0.2">
      <c r="A526" s="5" t="str">
        <f>IF('FUENTE NO BORRAR'!A544="","",(IF('FUENTE NO BORRAR'!A544&lt;&gt;"Resultado total",'FUENTE NO BORRAR'!A544,"")))</f>
        <v/>
      </c>
      <c r="B526" s="5" t="str">
        <f>IF('FUENTE NO BORRAR'!B544="","",'FUENTE NO BORRAR'!B544)</f>
        <v/>
      </c>
      <c r="C526" s="5" t="str">
        <f>IF('FUENTE NO BORRAR'!C544="","",'FUENTE NO BORRAR'!C544)</f>
        <v/>
      </c>
      <c r="D526" s="5" t="str">
        <f>IF('FUENTE NO BORRAR'!D544="","",'FUENTE NO BORRAR'!D544)</f>
        <v/>
      </c>
      <c r="E526" s="5" t="str">
        <f>IF('FUENTE NO BORRAR'!E544="","",'FUENTE NO BORRAR'!E544)</f>
        <v/>
      </c>
      <c r="F526" s="6">
        <f>IF('FUENTE NO BORRAR'!F544="","",IF('FUENTE NO BORRAR'!$A544&lt;&gt;"Resultado total",('FUENTE NO BORRAR'!F544),""))</f>
        <v>87</v>
      </c>
      <c r="G526" s="6">
        <f>IF('FUENTE NO BORRAR'!G544="","",IF('FUENTE NO BORRAR'!$A544&lt;&gt;"Resultado total",('FUENTE NO BORRAR'!G544),""))</f>
        <v>87</v>
      </c>
      <c r="H526" s="6">
        <f>IF('FUENTE NO BORRAR'!H544="","",IF('FUENTE NO BORRAR'!$A544&lt;&gt;"Resultado total",('FUENTE NO BORRAR'!H544),""))</f>
        <v>87</v>
      </c>
      <c r="I526" s="6">
        <f>IF('FUENTE NO BORRAR'!I544="","",IF('FUENTE NO BORRAR'!$A544&lt;&gt;"Resultado total",('FUENTE NO BORRAR'!I544),""))</f>
        <v>0</v>
      </c>
    </row>
    <row r="527" spans="1:9" x14ac:dyDescent="0.2">
      <c r="A527" s="5" t="str">
        <f>IF('FUENTE NO BORRAR'!A545="","",(IF('FUENTE NO BORRAR'!A545&lt;&gt;"Resultado total",'FUENTE NO BORRAR'!A545,"")))</f>
        <v/>
      </c>
      <c r="B527" s="5" t="str">
        <f>IF('FUENTE NO BORRAR'!B545="","",'FUENTE NO BORRAR'!B545)</f>
        <v/>
      </c>
      <c r="C527" s="5" t="str">
        <f>IF('FUENTE NO BORRAR'!C545="","",'FUENTE NO BORRAR'!C545)</f>
        <v/>
      </c>
      <c r="D527" s="5" t="str">
        <f>IF('FUENTE NO BORRAR'!D545="","",'FUENTE NO BORRAR'!D545)</f>
        <v/>
      </c>
      <c r="E527" s="5" t="str">
        <f>IF('FUENTE NO BORRAR'!E545="","",'FUENTE NO BORRAR'!E545)</f>
        <v/>
      </c>
      <c r="F527" s="6">
        <f>IF('FUENTE NO BORRAR'!F545="","",IF('FUENTE NO BORRAR'!$A545&lt;&gt;"Resultado total",('FUENTE NO BORRAR'!F545),""))</f>
        <v>9338</v>
      </c>
      <c r="G527" s="6">
        <f>IF('FUENTE NO BORRAR'!G545="","",IF('FUENTE NO BORRAR'!$A545&lt;&gt;"Resultado total",('FUENTE NO BORRAR'!G545),""))</f>
        <v>9338</v>
      </c>
      <c r="H527" s="6">
        <f>IF('FUENTE NO BORRAR'!H545="","",IF('FUENTE NO BORRAR'!$A545&lt;&gt;"Resultado total",('FUENTE NO BORRAR'!H545),""))</f>
        <v>9338</v>
      </c>
      <c r="I527" s="6">
        <f>IF('FUENTE NO BORRAR'!I545="","",IF('FUENTE NO BORRAR'!$A545&lt;&gt;"Resultado total",('FUENTE NO BORRAR'!I545),""))</f>
        <v>0</v>
      </c>
    </row>
    <row r="528" spans="1:9" x14ac:dyDescent="0.2">
      <c r="A528" s="5" t="str">
        <f>IF('FUENTE NO BORRAR'!A546="","",(IF('FUENTE NO BORRAR'!A546&lt;&gt;"Resultado total",'FUENTE NO BORRAR'!A546,"")))</f>
        <v/>
      </c>
      <c r="B528" s="5" t="str">
        <f>IF('FUENTE NO BORRAR'!B546="","",'FUENTE NO BORRAR'!B546)</f>
        <v/>
      </c>
      <c r="C528" s="5" t="str">
        <f>IF('FUENTE NO BORRAR'!C546="","",'FUENTE NO BORRAR'!C546)</f>
        <v/>
      </c>
      <c r="D528" s="5" t="str">
        <f>IF('FUENTE NO BORRAR'!D546="","",'FUENTE NO BORRAR'!D546)</f>
        <v/>
      </c>
      <c r="E528" s="5" t="str">
        <f>IF('FUENTE NO BORRAR'!E546="","",'FUENTE NO BORRAR'!E546)</f>
        <v/>
      </c>
      <c r="F528" s="6">
        <f>IF('FUENTE NO BORRAR'!F546="","",IF('FUENTE NO BORRAR'!$A546&lt;&gt;"Resultado total",('FUENTE NO BORRAR'!F546),""))</f>
        <v>35496</v>
      </c>
      <c r="G528" s="6">
        <f>IF('FUENTE NO BORRAR'!G546="","",IF('FUENTE NO BORRAR'!$A546&lt;&gt;"Resultado total",('FUENTE NO BORRAR'!G546),""))</f>
        <v>35496</v>
      </c>
      <c r="H528" s="6">
        <f>IF('FUENTE NO BORRAR'!H546="","",IF('FUENTE NO BORRAR'!$A546&lt;&gt;"Resultado total",('FUENTE NO BORRAR'!H546),""))</f>
        <v>35496</v>
      </c>
      <c r="I528" s="6">
        <f>IF('FUENTE NO BORRAR'!I546="","",IF('FUENTE NO BORRAR'!$A546&lt;&gt;"Resultado total",('FUENTE NO BORRAR'!I546),""))</f>
        <v>0</v>
      </c>
    </row>
    <row r="529" spans="1:9" x14ac:dyDescent="0.2">
      <c r="A529" s="5" t="str">
        <f>IF('FUENTE NO BORRAR'!A547="","",(IF('FUENTE NO BORRAR'!A547&lt;&gt;"Resultado total",'FUENTE NO BORRAR'!A547,"")))</f>
        <v/>
      </c>
      <c r="B529" s="5" t="str">
        <f>IF('FUENTE NO BORRAR'!B547="","",'FUENTE NO BORRAR'!B547)</f>
        <v/>
      </c>
      <c r="C529" s="5" t="str">
        <f>IF('FUENTE NO BORRAR'!C547="","",'FUENTE NO BORRAR'!C547)</f>
        <v/>
      </c>
      <c r="D529" s="5" t="str">
        <f>IF('FUENTE NO BORRAR'!D547="","",'FUENTE NO BORRAR'!D547)</f>
        <v/>
      </c>
      <c r="E529" s="5" t="str">
        <f>IF('FUENTE NO BORRAR'!E547="","",'FUENTE NO BORRAR'!E547)</f>
        <v/>
      </c>
      <c r="F529" s="6">
        <f>IF('FUENTE NO BORRAR'!F547="","",IF('FUENTE NO BORRAR'!$A547&lt;&gt;"Resultado total",('FUENTE NO BORRAR'!F547),""))</f>
        <v>62613.279999999999</v>
      </c>
      <c r="G529" s="6">
        <f>IF('FUENTE NO BORRAR'!G547="","",IF('FUENTE NO BORRAR'!$A547&lt;&gt;"Resultado total",('FUENTE NO BORRAR'!G547),""))</f>
        <v>62613.279999999999</v>
      </c>
      <c r="H529" s="6">
        <f>IF('FUENTE NO BORRAR'!H547="","",IF('FUENTE NO BORRAR'!$A547&lt;&gt;"Resultado total",('FUENTE NO BORRAR'!H547),""))</f>
        <v>45717.88</v>
      </c>
      <c r="I529" s="6">
        <f>IF('FUENTE NO BORRAR'!I547="","",IF('FUENTE NO BORRAR'!$A547&lt;&gt;"Resultado total",('FUENTE NO BORRAR'!I547),""))</f>
        <v>0</v>
      </c>
    </row>
    <row r="530" spans="1:9" x14ac:dyDescent="0.2">
      <c r="A530" s="5" t="str">
        <f>IF('FUENTE NO BORRAR'!A548="","",(IF('FUENTE NO BORRAR'!A548&lt;&gt;"Resultado total",'FUENTE NO BORRAR'!A548,"")))</f>
        <v/>
      </c>
      <c r="B530" s="5" t="str">
        <f>IF('FUENTE NO BORRAR'!B548="","",'FUENTE NO BORRAR'!B548)</f>
        <v/>
      </c>
      <c r="C530" s="5" t="str">
        <f>IF('FUENTE NO BORRAR'!C548="","",'FUENTE NO BORRAR'!C548)</f>
        <v/>
      </c>
      <c r="D530" s="5" t="str">
        <f>IF('FUENTE NO BORRAR'!D548="","",'FUENTE NO BORRAR'!D548)</f>
        <v/>
      </c>
      <c r="E530" s="5" t="str">
        <f>IF('FUENTE NO BORRAR'!E548="","",'FUENTE NO BORRAR'!E548)</f>
        <v/>
      </c>
      <c r="F530" s="6">
        <f>IF('FUENTE NO BORRAR'!F548="","",IF('FUENTE NO BORRAR'!$A548&lt;&gt;"Resultado total",('FUENTE NO BORRAR'!F548),""))</f>
        <v>65473.88</v>
      </c>
      <c r="G530" s="6">
        <f>IF('FUENTE NO BORRAR'!G548="","",IF('FUENTE NO BORRAR'!$A548&lt;&gt;"Resultado total",('FUENTE NO BORRAR'!G548),""))</f>
        <v>65473.88</v>
      </c>
      <c r="H530" s="6">
        <f>IF('FUENTE NO BORRAR'!H548="","",IF('FUENTE NO BORRAR'!$A548&lt;&gt;"Resultado total",('FUENTE NO BORRAR'!H548),""))</f>
        <v>57817.88</v>
      </c>
      <c r="I530" s="6">
        <f>IF('FUENTE NO BORRAR'!I548="","",IF('FUENTE NO BORRAR'!$A548&lt;&gt;"Resultado total",('FUENTE NO BORRAR'!I548),""))</f>
        <v>0</v>
      </c>
    </row>
    <row r="531" spans="1:9" x14ac:dyDescent="0.2">
      <c r="A531" s="5" t="str">
        <f>IF('FUENTE NO BORRAR'!A549="","",(IF('FUENTE NO BORRAR'!A549&lt;&gt;"Resultado total",'FUENTE NO BORRAR'!A549,"")))</f>
        <v/>
      </c>
      <c r="B531" s="5" t="str">
        <f>IF('FUENTE NO BORRAR'!B549="","",'FUENTE NO BORRAR'!B549)</f>
        <v/>
      </c>
      <c r="C531" s="5" t="str">
        <f>IF('FUENTE NO BORRAR'!C549="","",'FUENTE NO BORRAR'!C549)</f>
        <v/>
      </c>
      <c r="D531" s="5" t="str">
        <f>IF('FUENTE NO BORRAR'!D549="","",'FUENTE NO BORRAR'!D549)</f>
        <v/>
      </c>
      <c r="E531" s="5" t="str">
        <f>IF('FUENTE NO BORRAR'!E549="","",'FUENTE NO BORRAR'!E549)</f>
        <v/>
      </c>
      <c r="F531" s="6">
        <f>IF('FUENTE NO BORRAR'!F549="","",IF('FUENTE NO BORRAR'!$A549&lt;&gt;"Resultado total",('FUENTE NO BORRAR'!F549),""))</f>
        <v>6936.8</v>
      </c>
      <c r="G531" s="6">
        <f>IF('FUENTE NO BORRAR'!G549="","",IF('FUENTE NO BORRAR'!$A549&lt;&gt;"Resultado total",('FUENTE NO BORRAR'!G549),""))</f>
        <v>6936.8</v>
      </c>
      <c r="H531" s="6">
        <f>IF('FUENTE NO BORRAR'!H549="","",IF('FUENTE NO BORRAR'!$A549&lt;&gt;"Resultado total",('FUENTE NO BORRAR'!H549),""))</f>
        <v>0</v>
      </c>
      <c r="I531" s="6">
        <f>IF('FUENTE NO BORRAR'!I549="","",IF('FUENTE NO BORRAR'!$A549&lt;&gt;"Resultado total",('FUENTE NO BORRAR'!I549),""))</f>
        <v>0</v>
      </c>
    </row>
    <row r="532" spans="1:9" x14ac:dyDescent="0.2">
      <c r="A532" s="5" t="str">
        <f>IF('FUENTE NO BORRAR'!A550="","",(IF('FUENTE NO BORRAR'!A550&lt;&gt;"Resultado total",'FUENTE NO BORRAR'!A550,"")))</f>
        <v/>
      </c>
      <c r="B532" s="5" t="str">
        <f>IF('FUENTE NO BORRAR'!B550="","",'FUENTE NO BORRAR'!B550)</f>
        <v/>
      </c>
      <c r="C532" s="5" t="str">
        <f>IF('FUENTE NO BORRAR'!C550="","",'FUENTE NO BORRAR'!C550)</f>
        <v>13041081E209</v>
      </c>
      <c r="D532" s="5" t="str">
        <f>IF('FUENTE NO BORRAR'!D550="","",'FUENTE NO BORRAR'!D550)</f>
        <v>13041081E209</v>
      </c>
      <c r="E532" s="5" t="str">
        <f>IF('FUENTE NO BORRAR'!E550="","",'FUENTE NO BORRAR'!E550)</f>
        <v/>
      </c>
      <c r="F532" s="6">
        <f>IF('FUENTE NO BORRAR'!F550="","",IF('FUENTE NO BORRAR'!$A550&lt;&gt;"Resultado total",('FUENTE NO BORRAR'!F550),""))</f>
        <v>4436286.92</v>
      </c>
      <c r="G532" s="6">
        <f>IF('FUENTE NO BORRAR'!G550="","",IF('FUENTE NO BORRAR'!$A550&lt;&gt;"Resultado total",('FUENTE NO BORRAR'!G550),""))</f>
        <v>4436286.92</v>
      </c>
      <c r="H532" s="6">
        <f>IF('FUENTE NO BORRAR'!H550="","",IF('FUENTE NO BORRAR'!$A550&lt;&gt;"Resultado total",('FUENTE NO BORRAR'!H550),""))</f>
        <v>4436286.92</v>
      </c>
      <c r="I532" s="6">
        <f>IF('FUENTE NO BORRAR'!I550="","",IF('FUENTE NO BORRAR'!$A550&lt;&gt;"Resultado total",('FUENTE NO BORRAR'!I550),""))</f>
        <v>1.0000000000000001E-9</v>
      </c>
    </row>
    <row r="533" spans="1:9" x14ac:dyDescent="0.2">
      <c r="A533" s="5" t="str">
        <f>IF('FUENTE NO BORRAR'!A551="","",(IF('FUENTE NO BORRAR'!A551&lt;&gt;"Resultado total",'FUENTE NO BORRAR'!A551,"")))</f>
        <v/>
      </c>
      <c r="B533" s="5" t="str">
        <f>IF('FUENTE NO BORRAR'!B551="","",'FUENTE NO BORRAR'!B551)</f>
        <v/>
      </c>
      <c r="C533" s="5" t="str">
        <f>IF('FUENTE NO BORRAR'!C551="","",'FUENTE NO BORRAR'!C551)</f>
        <v/>
      </c>
      <c r="D533" s="5" t="str">
        <f>IF('FUENTE NO BORRAR'!D551="","",'FUENTE NO BORRAR'!D551)</f>
        <v/>
      </c>
      <c r="E533" s="5" t="str">
        <f>IF('FUENTE NO BORRAR'!E551="","",'FUENTE NO BORRAR'!E551)</f>
        <v/>
      </c>
      <c r="F533" s="6">
        <f>IF('FUENTE NO BORRAR'!F551="","",IF('FUENTE NO BORRAR'!$A551&lt;&gt;"Resultado total",('FUENTE NO BORRAR'!F551),""))</f>
        <v>430341.57</v>
      </c>
      <c r="G533" s="6">
        <f>IF('FUENTE NO BORRAR'!G551="","",IF('FUENTE NO BORRAR'!$A551&lt;&gt;"Resultado total",('FUENTE NO BORRAR'!G551),""))</f>
        <v>430341.57</v>
      </c>
      <c r="H533" s="6">
        <f>IF('FUENTE NO BORRAR'!H551="","",IF('FUENTE NO BORRAR'!$A551&lt;&gt;"Resultado total",('FUENTE NO BORRAR'!H551),""))</f>
        <v>430341.57</v>
      </c>
      <c r="I533" s="6">
        <f>IF('FUENTE NO BORRAR'!I551="","",IF('FUENTE NO BORRAR'!$A551&lt;&gt;"Resultado total",('FUENTE NO BORRAR'!I551),""))</f>
        <v>0</v>
      </c>
    </row>
    <row r="534" spans="1:9" x14ac:dyDescent="0.2">
      <c r="A534" s="5" t="str">
        <f>IF('FUENTE NO BORRAR'!A552="","",(IF('FUENTE NO BORRAR'!A552&lt;&gt;"Resultado total",'FUENTE NO BORRAR'!A552,"")))</f>
        <v/>
      </c>
      <c r="B534" s="5" t="str">
        <f>IF('FUENTE NO BORRAR'!B552="","",'FUENTE NO BORRAR'!B552)</f>
        <v/>
      </c>
      <c r="C534" s="5" t="str">
        <f>IF('FUENTE NO BORRAR'!C552="","",'FUENTE NO BORRAR'!C552)</f>
        <v/>
      </c>
      <c r="D534" s="5" t="str">
        <f>IF('FUENTE NO BORRAR'!D552="","",'FUENTE NO BORRAR'!D552)</f>
        <v/>
      </c>
      <c r="E534" s="5" t="str">
        <f>IF('FUENTE NO BORRAR'!E552="","",'FUENTE NO BORRAR'!E552)</f>
        <v/>
      </c>
      <c r="F534" s="6">
        <f>IF('FUENTE NO BORRAR'!F552="","",IF('FUENTE NO BORRAR'!$A552&lt;&gt;"Resultado total",('FUENTE NO BORRAR'!F552),""))</f>
        <v>1735168.92</v>
      </c>
      <c r="G534" s="6">
        <f>IF('FUENTE NO BORRAR'!G552="","",IF('FUENTE NO BORRAR'!$A552&lt;&gt;"Resultado total",('FUENTE NO BORRAR'!G552),""))</f>
        <v>1735168.92</v>
      </c>
      <c r="H534" s="6">
        <f>IF('FUENTE NO BORRAR'!H552="","",IF('FUENTE NO BORRAR'!$A552&lt;&gt;"Resultado total",('FUENTE NO BORRAR'!H552),""))</f>
        <v>1735168.92</v>
      </c>
      <c r="I534" s="6">
        <f>IF('FUENTE NO BORRAR'!I552="","",IF('FUENTE NO BORRAR'!$A552&lt;&gt;"Resultado total",('FUENTE NO BORRAR'!I552),""))</f>
        <v>0</v>
      </c>
    </row>
    <row r="535" spans="1:9" x14ac:dyDescent="0.2">
      <c r="A535" s="5" t="str">
        <f>IF('FUENTE NO BORRAR'!A553="","",(IF('FUENTE NO BORRAR'!A553&lt;&gt;"Resultado total",'FUENTE NO BORRAR'!A553,"")))</f>
        <v/>
      </c>
      <c r="B535" s="5" t="str">
        <f>IF('FUENTE NO BORRAR'!B553="","",'FUENTE NO BORRAR'!B553)</f>
        <v/>
      </c>
      <c r="C535" s="5" t="str">
        <f>IF('FUENTE NO BORRAR'!C553="","",'FUENTE NO BORRAR'!C553)</f>
        <v/>
      </c>
      <c r="D535" s="5" t="str">
        <f>IF('FUENTE NO BORRAR'!D553="","",'FUENTE NO BORRAR'!D553)</f>
        <v/>
      </c>
      <c r="E535" s="5" t="str">
        <f>IF('FUENTE NO BORRAR'!E553="","",'FUENTE NO BORRAR'!E553)</f>
        <v/>
      </c>
      <c r="F535" s="6">
        <f>IF('FUENTE NO BORRAR'!F553="","",IF('FUENTE NO BORRAR'!$A553&lt;&gt;"Resultado total",('FUENTE NO BORRAR'!F553),""))</f>
        <v>1359.5</v>
      </c>
      <c r="G535" s="6">
        <f>IF('FUENTE NO BORRAR'!G553="","",IF('FUENTE NO BORRAR'!$A553&lt;&gt;"Resultado total",('FUENTE NO BORRAR'!G553),""))</f>
        <v>1359.5</v>
      </c>
      <c r="H535" s="6">
        <f>IF('FUENTE NO BORRAR'!H553="","",IF('FUENTE NO BORRAR'!$A553&lt;&gt;"Resultado total",('FUENTE NO BORRAR'!H553),""))</f>
        <v>1359.5</v>
      </c>
      <c r="I535" s="6">
        <f>IF('FUENTE NO BORRAR'!I553="","",IF('FUENTE NO BORRAR'!$A553&lt;&gt;"Resultado total",('FUENTE NO BORRAR'!I553),""))</f>
        <v>0</v>
      </c>
    </row>
    <row r="536" spans="1:9" x14ac:dyDescent="0.2">
      <c r="A536" s="5" t="str">
        <f>IF('FUENTE NO BORRAR'!A554="","",(IF('FUENTE NO BORRAR'!A554&lt;&gt;"Resultado total",'FUENTE NO BORRAR'!A554,"")))</f>
        <v/>
      </c>
      <c r="B536" s="5" t="str">
        <f>IF('FUENTE NO BORRAR'!B554="","",'FUENTE NO BORRAR'!B554)</f>
        <v/>
      </c>
      <c r="C536" s="5" t="str">
        <f>IF('FUENTE NO BORRAR'!C554="","",'FUENTE NO BORRAR'!C554)</f>
        <v/>
      </c>
      <c r="D536" s="5" t="str">
        <f>IF('FUENTE NO BORRAR'!D554="","",'FUENTE NO BORRAR'!D554)</f>
        <v/>
      </c>
      <c r="E536" s="5" t="str">
        <f>IF('FUENTE NO BORRAR'!E554="","",'FUENTE NO BORRAR'!E554)</f>
        <v/>
      </c>
      <c r="F536" s="6">
        <f>IF('FUENTE NO BORRAR'!F554="","",IF('FUENTE NO BORRAR'!$A554&lt;&gt;"Resultado total",('FUENTE NO BORRAR'!F554),""))</f>
        <v>17583.5</v>
      </c>
      <c r="G536" s="6">
        <f>IF('FUENTE NO BORRAR'!G554="","",IF('FUENTE NO BORRAR'!$A554&lt;&gt;"Resultado total",('FUENTE NO BORRAR'!G554),""))</f>
        <v>17583.5</v>
      </c>
      <c r="H536" s="6">
        <f>IF('FUENTE NO BORRAR'!H554="","",IF('FUENTE NO BORRAR'!$A554&lt;&gt;"Resultado total",('FUENTE NO BORRAR'!H554),""))</f>
        <v>17583.5</v>
      </c>
      <c r="I536" s="6">
        <f>IF('FUENTE NO BORRAR'!I554="","",IF('FUENTE NO BORRAR'!$A554&lt;&gt;"Resultado total",('FUENTE NO BORRAR'!I554),""))</f>
        <v>0</v>
      </c>
    </row>
    <row r="537" spans="1:9" x14ac:dyDescent="0.2">
      <c r="A537" s="5" t="str">
        <f>IF('FUENTE NO BORRAR'!A555="","",(IF('FUENTE NO BORRAR'!A555&lt;&gt;"Resultado total",'FUENTE NO BORRAR'!A555,"")))</f>
        <v/>
      </c>
      <c r="B537" s="5" t="str">
        <f>IF('FUENTE NO BORRAR'!B555="","",'FUENTE NO BORRAR'!B555)</f>
        <v/>
      </c>
      <c r="C537" s="5" t="str">
        <f>IF('FUENTE NO BORRAR'!C555="","",'FUENTE NO BORRAR'!C555)</f>
        <v/>
      </c>
      <c r="D537" s="5" t="str">
        <f>IF('FUENTE NO BORRAR'!D555="","",'FUENTE NO BORRAR'!D555)</f>
        <v/>
      </c>
      <c r="E537" s="5" t="str">
        <f>IF('FUENTE NO BORRAR'!E555="","",'FUENTE NO BORRAR'!E555)</f>
        <v/>
      </c>
      <c r="F537" s="6">
        <f>IF('FUENTE NO BORRAR'!F555="","",IF('FUENTE NO BORRAR'!$A555&lt;&gt;"Resultado total",('FUENTE NO BORRAR'!F555),""))</f>
        <v>89230.73</v>
      </c>
      <c r="G537" s="6">
        <f>IF('FUENTE NO BORRAR'!G555="","",IF('FUENTE NO BORRAR'!$A555&lt;&gt;"Resultado total",('FUENTE NO BORRAR'!G555),""))</f>
        <v>89230.73</v>
      </c>
      <c r="H537" s="6">
        <f>IF('FUENTE NO BORRAR'!H555="","",IF('FUENTE NO BORRAR'!$A555&lt;&gt;"Resultado total",('FUENTE NO BORRAR'!H555),""))</f>
        <v>89230.73</v>
      </c>
      <c r="I537" s="6">
        <f>IF('FUENTE NO BORRAR'!I555="","",IF('FUENTE NO BORRAR'!$A555&lt;&gt;"Resultado total",('FUENTE NO BORRAR'!I555),""))</f>
        <v>0</v>
      </c>
    </row>
    <row r="538" spans="1:9" x14ac:dyDescent="0.2">
      <c r="A538" s="5" t="str">
        <f>IF('FUENTE NO BORRAR'!A556="","",(IF('FUENTE NO BORRAR'!A556&lt;&gt;"Resultado total",'FUENTE NO BORRAR'!A556,"")))</f>
        <v/>
      </c>
      <c r="B538" s="5" t="str">
        <f>IF('FUENTE NO BORRAR'!B556="","",'FUENTE NO BORRAR'!B556)</f>
        <v/>
      </c>
      <c r="C538" s="5" t="str">
        <f>IF('FUENTE NO BORRAR'!C556="","",'FUENTE NO BORRAR'!C556)</f>
        <v/>
      </c>
      <c r="D538" s="5" t="str">
        <f>IF('FUENTE NO BORRAR'!D556="","",'FUENTE NO BORRAR'!D556)</f>
        <v/>
      </c>
      <c r="E538" s="5" t="str">
        <f>IF('FUENTE NO BORRAR'!E556="","",'FUENTE NO BORRAR'!E556)</f>
        <v/>
      </c>
      <c r="F538" s="6">
        <f>IF('FUENTE NO BORRAR'!F556="","",IF('FUENTE NO BORRAR'!$A556&lt;&gt;"Resultado total",('FUENTE NO BORRAR'!F556),""))</f>
        <v>1812.8</v>
      </c>
      <c r="G538" s="6">
        <f>IF('FUENTE NO BORRAR'!G556="","",IF('FUENTE NO BORRAR'!$A556&lt;&gt;"Resultado total",('FUENTE NO BORRAR'!G556),""))</f>
        <v>1812.8</v>
      </c>
      <c r="H538" s="6">
        <f>IF('FUENTE NO BORRAR'!H556="","",IF('FUENTE NO BORRAR'!$A556&lt;&gt;"Resultado total",('FUENTE NO BORRAR'!H556),""))</f>
        <v>1812.8</v>
      </c>
      <c r="I538" s="6">
        <f>IF('FUENTE NO BORRAR'!I556="","",IF('FUENTE NO BORRAR'!$A556&lt;&gt;"Resultado total",('FUENTE NO BORRAR'!I556),""))</f>
        <v>0</v>
      </c>
    </row>
    <row r="539" spans="1:9" x14ac:dyDescent="0.2">
      <c r="A539" s="5" t="str">
        <f>IF('FUENTE NO BORRAR'!A557="","",(IF('FUENTE NO BORRAR'!A557&lt;&gt;"Resultado total",'FUENTE NO BORRAR'!A557,"")))</f>
        <v/>
      </c>
      <c r="B539" s="5" t="str">
        <f>IF('FUENTE NO BORRAR'!B557="","",'FUENTE NO BORRAR'!B557)</f>
        <v/>
      </c>
      <c r="C539" s="5" t="str">
        <f>IF('FUENTE NO BORRAR'!C557="","",'FUENTE NO BORRAR'!C557)</f>
        <v/>
      </c>
      <c r="D539" s="5" t="str">
        <f>IF('FUENTE NO BORRAR'!D557="","",'FUENTE NO BORRAR'!D557)</f>
        <v/>
      </c>
      <c r="E539" s="5" t="str">
        <f>IF('FUENTE NO BORRAR'!E557="","",'FUENTE NO BORRAR'!E557)</f>
        <v/>
      </c>
      <c r="F539" s="6">
        <f>IF('FUENTE NO BORRAR'!F557="","",IF('FUENTE NO BORRAR'!$A557&lt;&gt;"Resultado total",('FUENTE NO BORRAR'!F557),""))</f>
        <v>15235.97</v>
      </c>
      <c r="G539" s="6">
        <f>IF('FUENTE NO BORRAR'!G557="","",IF('FUENTE NO BORRAR'!$A557&lt;&gt;"Resultado total",('FUENTE NO BORRAR'!G557),""))</f>
        <v>15235.97</v>
      </c>
      <c r="H539" s="6">
        <f>IF('FUENTE NO BORRAR'!H557="","",IF('FUENTE NO BORRAR'!$A557&lt;&gt;"Resultado total",('FUENTE NO BORRAR'!H557),""))</f>
        <v>15235.97</v>
      </c>
      <c r="I539" s="6">
        <f>IF('FUENTE NO BORRAR'!I557="","",IF('FUENTE NO BORRAR'!$A557&lt;&gt;"Resultado total",('FUENTE NO BORRAR'!I557),""))</f>
        <v>0</v>
      </c>
    </row>
    <row r="540" spans="1:9" x14ac:dyDescent="0.2">
      <c r="A540" s="5" t="str">
        <f>IF('FUENTE NO BORRAR'!A558="","",(IF('FUENTE NO BORRAR'!A558&lt;&gt;"Resultado total",'FUENTE NO BORRAR'!A558,"")))</f>
        <v/>
      </c>
      <c r="B540" s="5" t="str">
        <f>IF('FUENTE NO BORRAR'!B558="","",'FUENTE NO BORRAR'!B558)</f>
        <v/>
      </c>
      <c r="C540" s="5" t="str">
        <f>IF('FUENTE NO BORRAR'!C558="","",'FUENTE NO BORRAR'!C558)</f>
        <v/>
      </c>
      <c r="D540" s="5" t="str">
        <f>IF('FUENTE NO BORRAR'!D558="","",'FUENTE NO BORRAR'!D558)</f>
        <v/>
      </c>
      <c r="E540" s="5" t="str">
        <f>IF('FUENTE NO BORRAR'!E558="","",'FUENTE NO BORRAR'!E558)</f>
        <v/>
      </c>
      <c r="F540" s="6">
        <f>IF('FUENTE NO BORRAR'!F558="","",IF('FUENTE NO BORRAR'!$A558&lt;&gt;"Resultado total",('FUENTE NO BORRAR'!F558),""))</f>
        <v>87301.22</v>
      </c>
      <c r="G540" s="6">
        <f>IF('FUENTE NO BORRAR'!G558="","",IF('FUENTE NO BORRAR'!$A558&lt;&gt;"Resultado total",('FUENTE NO BORRAR'!G558),""))</f>
        <v>87301.22</v>
      </c>
      <c r="H540" s="6">
        <f>IF('FUENTE NO BORRAR'!H558="","",IF('FUENTE NO BORRAR'!$A558&lt;&gt;"Resultado total",('FUENTE NO BORRAR'!H558),""))</f>
        <v>87301.22</v>
      </c>
      <c r="I540" s="6">
        <f>IF('FUENTE NO BORRAR'!I558="","",IF('FUENTE NO BORRAR'!$A558&lt;&gt;"Resultado total",('FUENTE NO BORRAR'!I558),""))</f>
        <v>0</v>
      </c>
    </row>
    <row r="541" spans="1:9" x14ac:dyDescent="0.2">
      <c r="A541" s="5" t="str">
        <f>IF('FUENTE NO BORRAR'!A559="","",(IF('FUENTE NO BORRAR'!A559&lt;&gt;"Resultado total",'FUENTE NO BORRAR'!A559,"")))</f>
        <v/>
      </c>
      <c r="B541" s="5" t="str">
        <f>IF('FUENTE NO BORRAR'!B559="","",'FUENTE NO BORRAR'!B559)</f>
        <v/>
      </c>
      <c r="C541" s="5" t="str">
        <f>IF('FUENTE NO BORRAR'!C559="","",'FUENTE NO BORRAR'!C559)</f>
        <v/>
      </c>
      <c r="D541" s="5" t="str">
        <f>IF('FUENTE NO BORRAR'!D559="","",'FUENTE NO BORRAR'!D559)</f>
        <v/>
      </c>
      <c r="E541" s="5" t="str">
        <f>IF('FUENTE NO BORRAR'!E559="","",'FUENTE NO BORRAR'!E559)</f>
        <v/>
      </c>
      <c r="F541" s="6">
        <f>IF('FUENTE NO BORRAR'!F559="","",IF('FUENTE NO BORRAR'!$A559&lt;&gt;"Resultado total",('FUENTE NO BORRAR'!F559),""))</f>
        <v>28222.25</v>
      </c>
      <c r="G541" s="6">
        <f>IF('FUENTE NO BORRAR'!G559="","",IF('FUENTE NO BORRAR'!$A559&lt;&gt;"Resultado total",('FUENTE NO BORRAR'!G559),""))</f>
        <v>28222.25</v>
      </c>
      <c r="H541" s="6">
        <f>IF('FUENTE NO BORRAR'!H559="","",IF('FUENTE NO BORRAR'!$A559&lt;&gt;"Resultado total",('FUENTE NO BORRAR'!H559),""))</f>
        <v>28222.25</v>
      </c>
      <c r="I541" s="6">
        <f>IF('FUENTE NO BORRAR'!I559="","",IF('FUENTE NO BORRAR'!$A559&lt;&gt;"Resultado total",('FUENTE NO BORRAR'!I559),""))</f>
        <v>0</v>
      </c>
    </row>
    <row r="542" spans="1:9" x14ac:dyDescent="0.2">
      <c r="A542" s="5" t="str">
        <f>IF('FUENTE NO BORRAR'!A560="","",(IF('FUENTE NO BORRAR'!A560&lt;&gt;"Resultado total",'FUENTE NO BORRAR'!A560,"")))</f>
        <v/>
      </c>
      <c r="B542" s="5" t="str">
        <f>IF('FUENTE NO BORRAR'!B560="","",'FUENTE NO BORRAR'!B560)</f>
        <v/>
      </c>
      <c r="C542" s="5" t="str">
        <f>IF('FUENTE NO BORRAR'!C560="","",'FUENTE NO BORRAR'!C560)</f>
        <v/>
      </c>
      <c r="D542" s="5" t="str">
        <f>IF('FUENTE NO BORRAR'!D560="","",'FUENTE NO BORRAR'!D560)</f>
        <v/>
      </c>
      <c r="E542" s="5" t="str">
        <f>IF('FUENTE NO BORRAR'!E560="","",'FUENTE NO BORRAR'!E560)</f>
        <v/>
      </c>
      <c r="F542" s="6">
        <f>IF('FUENTE NO BORRAR'!F560="","",IF('FUENTE NO BORRAR'!$A560&lt;&gt;"Resultado total",('FUENTE NO BORRAR'!F560),""))</f>
        <v>13203.35</v>
      </c>
      <c r="G542" s="6">
        <f>IF('FUENTE NO BORRAR'!G560="","",IF('FUENTE NO BORRAR'!$A560&lt;&gt;"Resultado total",('FUENTE NO BORRAR'!G560),""))</f>
        <v>13203.35</v>
      </c>
      <c r="H542" s="6">
        <f>IF('FUENTE NO BORRAR'!H560="","",IF('FUENTE NO BORRAR'!$A560&lt;&gt;"Resultado total",('FUENTE NO BORRAR'!H560),""))</f>
        <v>13203.35</v>
      </c>
      <c r="I542" s="6">
        <f>IF('FUENTE NO BORRAR'!I560="","",IF('FUENTE NO BORRAR'!$A560&lt;&gt;"Resultado total",('FUENTE NO BORRAR'!I560),""))</f>
        <v>0</v>
      </c>
    </row>
    <row r="543" spans="1:9" x14ac:dyDescent="0.2">
      <c r="A543" s="5" t="str">
        <f>IF('FUENTE NO BORRAR'!A561="","",(IF('FUENTE NO BORRAR'!A561&lt;&gt;"Resultado total",'FUENTE NO BORRAR'!A561,"")))</f>
        <v/>
      </c>
      <c r="B543" s="5" t="str">
        <f>IF('FUENTE NO BORRAR'!B561="","",'FUENTE NO BORRAR'!B561)</f>
        <v/>
      </c>
      <c r="C543" s="5" t="str">
        <f>IF('FUENTE NO BORRAR'!C561="","",'FUENTE NO BORRAR'!C561)</f>
        <v/>
      </c>
      <c r="D543" s="5" t="str">
        <f>IF('FUENTE NO BORRAR'!D561="","",'FUENTE NO BORRAR'!D561)</f>
        <v/>
      </c>
      <c r="E543" s="5" t="str">
        <f>IF('FUENTE NO BORRAR'!E561="","",'FUENTE NO BORRAR'!E561)</f>
        <v/>
      </c>
      <c r="F543" s="6">
        <f>IF('FUENTE NO BORRAR'!F561="","",IF('FUENTE NO BORRAR'!$A561&lt;&gt;"Resultado total",('FUENTE NO BORRAR'!F561),""))</f>
        <v>51612.12</v>
      </c>
      <c r="G543" s="6">
        <f>IF('FUENTE NO BORRAR'!G561="","",IF('FUENTE NO BORRAR'!$A561&lt;&gt;"Resultado total",('FUENTE NO BORRAR'!G561),""))</f>
        <v>51612.12</v>
      </c>
      <c r="H543" s="6">
        <f>IF('FUENTE NO BORRAR'!H561="","",IF('FUENTE NO BORRAR'!$A561&lt;&gt;"Resultado total",('FUENTE NO BORRAR'!H561),""))</f>
        <v>51612.12</v>
      </c>
      <c r="I543" s="6">
        <f>IF('FUENTE NO BORRAR'!I561="","",IF('FUENTE NO BORRAR'!$A561&lt;&gt;"Resultado total",('FUENTE NO BORRAR'!I561),""))</f>
        <v>0</v>
      </c>
    </row>
    <row r="544" spans="1:9" x14ac:dyDescent="0.2">
      <c r="A544" s="5" t="str">
        <f>IF('FUENTE NO BORRAR'!A562="","",(IF('FUENTE NO BORRAR'!A562&lt;&gt;"Resultado total",'FUENTE NO BORRAR'!A562,"")))</f>
        <v/>
      </c>
      <c r="B544" s="5" t="str">
        <f>IF('FUENTE NO BORRAR'!B562="","",'FUENTE NO BORRAR'!B562)</f>
        <v/>
      </c>
      <c r="C544" s="5" t="str">
        <f>IF('FUENTE NO BORRAR'!C562="","",'FUENTE NO BORRAR'!C562)</f>
        <v/>
      </c>
      <c r="D544" s="5" t="str">
        <f>IF('FUENTE NO BORRAR'!D562="","",'FUENTE NO BORRAR'!D562)</f>
        <v/>
      </c>
      <c r="E544" s="5" t="str">
        <f>IF('FUENTE NO BORRAR'!E562="","",'FUENTE NO BORRAR'!E562)</f>
        <v/>
      </c>
      <c r="F544" s="6">
        <f>IF('FUENTE NO BORRAR'!F562="","",IF('FUENTE NO BORRAR'!$A562&lt;&gt;"Resultado total",('FUENTE NO BORRAR'!F562),""))</f>
        <v>311133.43</v>
      </c>
      <c r="G544" s="6">
        <f>IF('FUENTE NO BORRAR'!G562="","",IF('FUENTE NO BORRAR'!$A562&lt;&gt;"Resultado total",('FUENTE NO BORRAR'!G562),""))</f>
        <v>311133.43</v>
      </c>
      <c r="H544" s="6">
        <f>IF('FUENTE NO BORRAR'!H562="","",IF('FUENTE NO BORRAR'!$A562&lt;&gt;"Resultado total",('FUENTE NO BORRAR'!H562),""))</f>
        <v>311133.43</v>
      </c>
      <c r="I544" s="6">
        <f>IF('FUENTE NO BORRAR'!I562="","",IF('FUENTE NO BORRAR'!$A562&lt;&gt;"Resultado total",('FUENTE NO BORRAR'!I562),""))</f>
        <v>0</v>
      </c>
    </row>
    <row r="545" spans="1:9" x14ac:dyDescent="0.2">
      <c r="A545" s="5" t="str">
        <f>IF('FUENTE NO BORRAR'!A563="","",(IF('FUENTE NO BORRAR'!A563&lt;&gt;"Resultado total",'FUENTE NO BORRAR'!A563,"")))</f>
        <v/>
      </c>
      <c r="B545" s="5" t="str">
        <f>IF('FUENTE NO BORRAR'!B563="","",'FUENTE NO BORRAR'!B563)</f>
        <v/>
      </c>
      <c r="C545" s="5" t="str">
        <f>IF('FUENTE NO BORRAR'!C563="","",'FUENTE NO BORRAR'!C563)</f>
        <v/>
      </c>
      <c r="D545" s="5" t="str">
        <f>IF('FUENTE NO BORRAR'!D563="","",'FUENTE NO BORRAR'!D563)</f>
        <v/>
      </c>
      <c r="E545" s="5" t="str">
        <f>IF('FUENTE NO BORRAR'!E563="","",'FUENTE NO BORRAR'!E563)</f>
        <v/>
      </c>
      <c r="F545" s="6">
        <f>IF('FUENTE NO BORRAR'!F563="","",IF('FUENTE NO BORRAR'!$A563&lt;&gt;"Resultado total",('FUENTE NO BORRAR'!F563),""))</f>
        <v>1252.8</v>
      </c>
      <c r="G545" s="6">
        <f>IF('FUENTE NO BORRAR'!G563="","",IF('FUENTE NO BORRAR'!$A563&lt;&gt;"Resultado total",('FUENTE NO BORRAR'!G563),""))</f>
        <v>1252.8</v>
      </c>
      <c r="H545" s="6">
        <f>IF('FUENTE NO BORRAR'!H563="","",IF('FUENTE NO BORRAR'!$A563&lt;&gt;"Resultado total",('FUENTE NO BORRAR'!H563),""))</f>
        <v>1252.8</v>
      </c>
      <c r="I545" s="6">
        <f>IF('FUENTE NO BORRAR'!I563="","",IF('FUENTE NO BORRAR'!$A563&lt;&gt;"Resultado total",('FUENTE NO BORRAR'!I563),""))</f>
        <v>0</v>
      </c>
    </row>
    <row r="546" spans="1:9" x14ac:dyDescent="0.2">
      <c r="A546" s="5" t="str">
        <f>IF('FUENTE NO BORRAR'!A564="","",(IF('FUENTE NO BORRAR'!A564&lt;&gt;"Resultado total",'FUENTE NO BORRAR'!A564,"")))</f>
        <v/>
      </c>
      <c r="B546" s="5" t="str">
        <f>IF('FUENTE NO BORRAR'!B564="","",'FUENTE NO BORRAR'!B564)</f>
        <v/>
      </c>
      <c r="C546" s="5" t="str">
        <f>IF('FUENTE NO BORRAR'!C564="","",'FUENTE NO BORRAR'!C564)</f>
        <v/>
      </c>
      <c r="D546" s="5" t="str">
        <f>IF('FUENTE NO BORRAR'!D564="","",'FUENTE NO BORRAR'!D564)</f>
        <v/>
      </c>
      <c r="E546" s="5" t="str">
        <f>IF('FUENTE NO BORRAR'!E564="","",'FUENTE NO BORRAR'!E564)</f>
        <v/>
      </c>
      <c r="F546" s="6">
        <f>IF('FUENTE NO BORRAR'!F564="","",IF('FUENTE NO BORRAR'!$A564&lt;&gt;"Resultado total",('FUENTE NO BORRAR'!F564),""))</f>
        <v>2204</v>
      </c>
      <c r="G546" s="6">
        <f>IF('FUENTE NO BORRAR'!G564="","",IF('FUENTE NO BORRAR'!$A564&lt;&gt;"Resultado total",('FUENTE NO BORRAR'!G564),""))</f>
        <v>2204</v>
      </c>
      <c r="H546" s="6">
        <f>IF('FUENTE NO BORRAR'!H564="","",IF('FUENTE NO BORRAR'!$A564&lt;&gt;"Resultado total",('FUENTE NO BORRAR'!H564),""))</f>
        <v>2204</v>
      </c>
      <c r="I546" s="6">
        <f>IF('FUENTE NO BORRAR'!I564="","",IF('FUENTE NO BORRAR'!$A564&lt;&gt;"Resultado total",('FUENTE NO BORRAR'!I564),""))</f>
        <v>0</v>
      </c>
    </row>
    <row r="547" spans="1:9" x14ac:dyDescent="0.2">
      <c r="A547" s="5" t="str">
        <f>IF('FUENTE NO BORRAR'!A565="","",(IF('FUENTE NO BORRAR'!A565&lt;&gt;"Resultado total",'FUENTE NO BORRAR'!A565,"")))</f>
        <v/>
      </c>
      <c r="B547" s="5" t="str">
        <f>IF('FUENTE NO BORRAR'!B565="","",'FUENTE NO BORRAR'!B565)</f>
        <v/>
      </c>
      <c r="C547" s="5" t="str">
        <f>IF('FUENTE NO BORRAR'!C565="","",'FUENTE NO BORRAR'!C565)</f>
        <v/>
      </c>
      <c r="D547" s="5" t="str">
        <f>IF('FUENTE NO BORRAR'!D565="","",'FUENTE NO BORRAR'!D565)</f>
        <v/>
      </c>
      <c r="E547" s="5" t="str">
        <f>IF('FUENTE NO BORRAR'!E565="","",'FUENTE NO BORRAR'!E565)</f>
        <v/>
      </c>
      <c r="F547" s="6">
        <f>IF('FUENTE NO BORRAR'!F565="","",IF('FUENTE NO BORRAR'!$A565&lt;&gt;"Resultado total",('FUENTE NO BORRAR'!F565),""))</f>
        <v>33326.800000000003</v>
      </c>
      <c r="G547" s="6">
        <f>IF('FUENTE NO BORRAR'!G565="","",IF('FUENTE NO BORRAR'!$A565&lt;&gt;"Resultado total",('FUENTE NO BORRAR'!G565),""))</f>
        <v>33326.800000000003</v>
      </c>
      <c r="H547" s="6">
        <f>IF('FUENTE NO BORRAR'!H565="","",IF('FUENTE NO BORRAR'!$A565&lt;&gt;"Resultado total",('FUENTE NO BORRAR'!H565),""))</f>
        <v>928</v>
      </c>
      <c r="I547" s="6">
        <f>IF('FUENTE NO BORRAR'!I565="","",IF('FUENTE NO BORRAR'!$A565&lt;&gt;"Resultado total",('FUENTE NO BORRAR'!I565),""))</f>
        <v>0</v>
      </c>
    </row>
    <row r="548" spans="1:9" x14ac:dyDescent="0.2">
      <c r="A548" s="5" t="str">
        <f>IF('FUENTE NO BORRAR'!A566="","",(IF('FUENTE NO BORRAR'!A566&lt;&gt;"Resultado total",'FUENTE NO BORRAR'!A566,"")))</f>
        <v/>
      </c>
      <c r="B548" s="5" t="str">
        <f>IF('FUENTE NO BORRAR'!B566="","",'FUENTE NO BORRAR'!B566)</f>
        <v/>
      </c>
      <c r="C548" s="5" t="str">
        <f>IF('FUENTE NO BORRAR'!C566="","",'FUENTE NO BORRAR'!C566)</f>
        <v/>
      </c>
      <c r="D548" s="5" t="str">
        <f>IF('FUENTE NO BORRAR'!D566="","",'FUENTE NO BORRAR'!D566)</f>
        <v/>
      </c>
      <c r="E548" s="5" t="str">
        <f>IF('FUENTE NO BORRAR'!E566="","",'FUENTE NO BORRAR'!E566)</f>
        <v/>
      </c>
      <c r="F548" s="6">
        <f>IF('FUENTE NO BORRAR'!F566="","",IF('FUENTE NO BORRAR'!$A566&lt;&gt;"Resultado total",('FUENTE NO BORRAR'!F566),""))</f>
        <v>0</v>
      </c>
      <c r="G548" s="6">
        <f>IF('FUENTE NO BORRAR'!G566="","",IF('FUENTE NO BORRAR'!$A566&lt;&gt;"Resultado total",('FUENTE NO BORRAR'!G566),""))</f>
        <v>0</v>
      </c>
      <c r="H548" s="6">
        <f>IF('FUENTE NO BORRAR'!H566="","",IF('FUENTE NO BORRAR'!$A566&lt;&gt;"Resultado total",('FUENTE NO BORRAR'!H566),""))</f>
        <v>0</v>
      </c>
      <c r="I548" s="6">
        <f>IF('FUENTE NO BORRAR'!I566="","",IF('FUENTE NO BORRAR'!$A566&lt;&gt;"Resultado total",('FUENTE NO BORRAR'!I566),""))</f>
        <v>0</v>
      </c>
    </row>
    <row r="549" spans="1:9" x14ac:dyDescent="0.2">
      <c r="A549" s="5" t="str">
        <f>IF('FUENTE NO BORRAR'!A567="","",(IF('FUENTE NO BORRAR'!A567&lt;&gt;"Resultado total",'FUENTE NO BORRAR'!A567,"")))</f>
        <v/>
      </c>
      <c r="B549" s="5" t="str">
        <f>IF('FUENTE NO BORRAR'!B567="","",'FUENTE NO BORRAR'!B567)</f>
        <v/>
      </c>
      <c r="C549" s="5" t="str">
        <f>IF('FUENTE NO BORRAR'!C567="","",'FUENTE NO BORRAR'!C567)</f>
        <v/>
      </c>
      <c r="D549" s="5" t="str">
        <f>IF('FUENTE NO BORRAR'!D567="","",'FUENTE NO BORRAR'!D567)</f>
        <v/>
      </c>
      <c r="E549" s="5" t="str">
        <f>IF('FUENTE NO BORRAR'!E567="","",'FUENTE NO BORRAR'!E567)</f>
        <v/>
      </c>
      <c r="F549" s="6">
        <f>IF('FUENTE NO BORRAR'!F567="","",IF('FUENTE NO BORRAR'!$A567&lt;&gt;"Resultado total",('FUENTE NO BORRAR'!F567),""))</f>
        <v>24400.080000000002</v>
      </c>
      <c r="G549" s="6">
        <f>IF('FUENTE NO BORRAR'!G567="","",IF('FUENTE NO BORRAR'!$A567&lt;&gt;"Resultado total",('FUENTE NO BORRAR'!G567),""))</f>
        <v>24400.080000000002</v>
      </c>
      <c r="H549" s="6">
        <f>IF('FUENTE NO BORRAR'!H567="","",IF('FUENTE NO BORRAR'!$A567&lt;&gt;"Resultado total",('FUENTE NO BORRAR'!H567),""))</f>
        <v>0</v>
      </c>
      <c r="I549" s="6">
        <f>IF('FUENTE NO BORRAR'!I567="","",IF('FUENTE NO BORRAR'!$A567&lt;&gt;"Resultado total",('FUENTE NO BORRAR'!I567),""))</f>
        <v>0</v>
      </c>
    </row>
    <row r="550" spans="1:9" x14ac:dyDescent="0.2">
      <c r="A550" s="5" t="str">
        <f>IF('FUENTE NO BORRAR'!A568="","",(IF('FUENTE NO BORRAR'!A568&lt;&gt;"Resultado total",'FUENTE NO BORRAR'!A568,"")))</f>
        <v/>
      </c>
      <c r="B550" s="5" t="str">
        <f>IF('FUENTE NO BORRAR'!B568="","",'FUENTE NO BORRAR'!B568)</f>
        <v/>
      </c>
      <c r="C550" s="5" t="str">
        <f>IF('FUENTE NO BORRAR'!C568="","",'FUENTE NO BORRAR'!C568)</f>
        <v/>
      </c>
      <c r="D550" s="5" t="str">
        <f>IF('FUENTE NO BORRAR'!D568="","",'FUENTE NO BORRAR'!D568)</f>
        <v/>
      </c>
      <c r="E550" s="5" t="str">
        <f>IF('FUENTE NO BORRAR'!E568="","",'FUENTE NO BORRAR'!E568)</f>
        <v/>
      </c>
      <c r="F550" s="6">
        <f>IF('FUENTE NO BORRAR'!F568="","",IF('FUENTE NO BORRAR'!$A568&lt;&gt;"Resultado total",('FUENTE NO BORRAR'!F568),""))</f>
        <v>11600</v>
      </c>
      <c r="G550" s="6">
        <f>IF('FUENTE NO BORRAR'!G568="","",IF('FUENTE NO BORRAR'!$A568&lt;&gt;"Resultado total",('FUENTE NO BORRAR'!G568),""))</f>
        <v>11600</v>
      </c>
      <c r="H550" s="6">
        <f>IF('FUENTE NO BORRAR'!H568="","",IF('FUENTE NO BORRAR'!$A568&lt;&gt;"Resultado total",('FUENTE NO BORRAR'!H568),""))</f>
        <v>11600</v>
      </c>
      <c r="I550" s="6">
        <f>IF('FUENTE NO BORRAR'!I568="","",IF('FUENTE NO BORRAR'!$A568&lt;&gt;"Resultado total",('FUENTE NO BORRAR'!I568),""))</f>
        <v>0</v>
      </c>
    </row>
    <row r="551" spans="1:9" x14ac:dyDescent="0.2">
      <c r="A551" s="5" t="str">
        <f>IF('FUENTE NO BORRAR'!A569="","",(IF('FUENTE NO BORRAR'!A569&lt;&gt;"Resultado total",'FUENTE NO BORRAR'!A569,"")))</f>
        <v/>
      </c>
      <c r="B551" s="5" t="str">
        <f>IF('FUENTE NO BORRAR'!B569="","",'FUENTE NO BORRAR'!B569)</f>
        <v/>
      </c>
      <c r="C551" s="5" t="str">
        <f>IF('FUENTE NO BORRAR'!C569="","",'FUENTE NO BORRAR'!C569)</f>
        <v/>
      </c>
      <c r="D551" s="5" t="str">
        <f>IF('FUENTE NO BORRAR'!D569="","",'FUENTE NO BORRAR'!D569)</f>
        <v/>
      </c>
      <c r="E551" s="5" t="str">
        <f>IF('FUENTE NO BORRAR'!E569="","",'FUENTE NO BORRAR'!E569)</f>
        <v/>
      </c>
      <c r="F551" s="6">
        <f>IF('FUENTE NO BORRAR'!F569="","",IF('FUENTE NO BORRAR'!$A569&lt;&gt;"Resultado total",('FUENTE NO BORRAR'!F569),""))</f>
        <v>24615</v>
      </c>
      <c r="G551" s="6">
        <f>IF('FUENTE NO BORRAR'!G569="","",IF('FUENTE NO BORRAR'!$A569&lt;&gt;"Resultado total",('FUENTE NO BORRAR'!G569),""))</f>
        <v>24615</v>
      </c>
      <c r="H551" s="6">
        <f>IF('FUENTE NO BORRAR'!H569="","",IF('FUENTE NO BORRAR'!$A569&lt;&gt;"Resultado total",('FUENTE NO BORRAR'!H569),""))</f>
        <v>0</v>
      </c>
      <c r="I551" s="6">
        <f>IF('FUENTE NO BORRAR'!I569="","",IF('FUENTE NO BORRAR'!$A569&lt;&gt;"Resultado total",('FUENTE NO BORRAR'!I569),""))</f>
        <v>0</v>
      </c>
    </row>
    <row r="552" spans="1:9" x14ac:dyDescent="0.2">
      <c r="A552" s="5" t="str">
        <f>IF('FUENTE NO BORRAR'!A570="","",(IF('FUENTE NO BORRAR'!A570&lt;&gt;"Resultado total",'FUENTE NO BORRAR'!A570,"")))</f>
        <v/>
      </c>
      <c r="B552" s="5" t="str">
        <f>IF('FUENTE NO BORRAR'!B570="","",'FUENTE NO BORRAR'!B570)</f>
        <v/>
      </c>
      <c r="C552" s="5" t="str">
        <f>IF('FUENTE NO BORRAR'!C570="","",'FUENTE NO BORRAR'!C570)</f>
        <v/>
      </c>
      <c r="D552" s="5" t="str">
        <f>IF('FUENTE NO BORRAR'!D570="","",'FUENTE NO BORRAR'!D570)</f>
        <v/>
      </c>
      <c r="E552" s="5" t="str">
        <f>IF('FUENTE NO BORRAR'!E570="","",'FUENTE NO BORRAR'!E570)</f>
        <v/>
      </c>
      <c r="F552" s="6">
        <f>IF('FUENTE NO BORRAR'!F570="","",IF('FUENTE NO BORRAR'!$A570&lt;&gt;"Resultado total",('FUENTE NO BORRAR'!F570),""))</f>
        <v>274778.33</v>
      </c>
      <c r="G552" s="6">
        <f>IF('FUENTE NO BORRAR'!G570="","",IF('FUENTE NO BORRAR'!$A570&lt;&gt;"Resultado total",('FUENTE NO BORRAR'!G570),""))</f>
        <v>274778.33</v>
      </c>
      <c r="H552" s="6">
        <f>IF('FUENTE NO BORRAR'!H570="","",IF('FUENTE NO BORRAR'!$A570&lt;&gt;"Resultado total",('FUENTE NO BORRAR'!H570),""))</f>
        <v>274778.33</v>
      </c>
      <c r="I552" s="6">
        <f>IF('FUENTE NO BORRAR'!I570="","",IF('FUENTE NO BORRAR'!$A570&lt;&gt;"Resultado total",('FUENTE NO BORRAR'!I570),""))</f>
        <v>0</v>
      </c>
    </row>
    <row r="553" spans="1:9" x14ac:dyDescent="0.2">
      <c r="A553" s="5" t="str">
        <f>IF('FUENTE NO BORRAR'!A571="","",(IF('FUENTE NO BORRAR'!A571&lt;&gt;"Resultado total",'FUENTE NO BORRAR'!A571,"")))</f>
        <v/>
      </c>
      <c r="B553" s="5" t="str">
        <f>IF('FUENTE NO BORRAR'!B571="","",'FUENTE NO BORRAR'!B571)</f>
        <v/>
      </c>
      <c r="C553" s="5" t="str">
        <f>IF('FUENTE NO BORRAR'!C571="","",'FUENTE NO BORRAR'!C571)</f>
        <v/>
      </c>
      <c r="D553" s="5" t="str">
        <f>IF('FUENTE NO BORRAR'!D571="","",'FUENTE NO BORRAR'!D571)</f>
        <v/>
      </c>
      <c r="E553" s="5" t="str">
        <f>IF('FUENTE NO BORRAR'!E571="","",'FUENTE NO BORRAR'!E571)</f>
        <v/>
      </c>
      <c r="F553" s="6">
        <f>IF('FUENTE NO BORRAR'!F571="","",IF('FUENTE NO BORRAR'!$A571&lt;&gt;"Resultado total",('FUENTE NO BORRAR'!F571),""))</f>
        <v>23183</v>
      </c>
      <c r="G553" s="6">
        <f>IF('FUENTE NO BORRAR'!G571="","",IF('FUENTE NO BORRAR'!$A571&lt;&gt;"Resultado total",('FUENTE NO BORRAR'!G571),""))</f>
        <v>23183</v>
      </c>
      <c r="H553" s="6">
        <f>IF('FUENTE NO BORRAR'!H571="","",IF('FUENTE NO BORRAR'!$A571&lt;&gt;"Resultado total",('FUENTE NO BORRAR'!H571),""))</f>
        <v>23183</v>
      </c>
      <c r="I553" s="6">
        <f>IF('FUENTE NO BORRAR'!I571="","",IF('FUENTE NO BORRAR'!$A571&lt;&gt;"Resultado total",('FUENTE NO BORRAR'!I571),""))</f>
        <v>0</v>
      </c>
    </row>
    <row r="554" spans="1:9" x14ac:dyDescent="0.2">
      <c r="A554" s="5" t="str">
        <f>IF('FUENTE NO BORRAR'!A572="","",(IF('FUENTE NO BORRAR'!A572&lt;&gt;"Resultado total",'FUENTE NO BORRAR'!A572,"")))</f>
        <v/>
      </c>
      <c r="B554" s="5" t="str">
        <f>IF('FUENTE NO BORRAR'!B572="","",'FUENTE NO BORRAR'!B572)</f>
        <v/>
      </c>
      <c r="C554" s="5" t="str">
        <f>IF('FUENTE NO BORRAR'!C572="","",'FUENTE NO BORRAR'!C572)</f>
        <v/>
      </c>
      <c r="D554" s="5" t="str">
        <f>IF('FUENTE NO BORRAR'!D572="","",'FUENTE NO BORRAR'!D572)</f>
        <v/>
      </c>
      <c r="E554" s="5" t="str">
        <f>IF('FUENTE NO BORRAR'!E572="","",'FUENTE NO BORRAR'!E572)</f>
        <v/>
      </c>
      <c r="F554" s="6">
        <f>IF('FUENTE NO BORRAR'!F572="","",IF('FUENTE NO BORRAR'!$A572&lt;&gt;"Resultado total",('FUENTE NO BORRAR'!F572),""))</f>
        <v>93918.57</v>
      </c>
      <c r="G554" s="6">
        <f>IF('FUENTE NO BORRAR'!G572="","",IF('FUENTE NO BORRAR'!$A572&lt;&gt;"Resultado total",('FUENTE NO BORRAR'!G572),""))</f>
        <v>93918.57</v>
      </c>
      <c r="H554" s="6">
        <f>IF('FUENTE NO BORRAR'!H572="","",IF('FUENTE NO BORRAR'!$A572&lt;&gt;"Resultado total",('FUENTE NO BORRAR'!H572),""))</f>
        <v>93918.57</v>
      </c>
      <c r="I554" s="6">
        <f>IF('FUENTE NO BORRAR'!I572="","",IF('FUENTE NO BORRAR'!$A572&lt;&gt;"Resultado total",('FUENTE NO BORRAR'!I572),""))</f>
        <v>0</v>
      </c>
    </row>
    <row r="555" spans="1:9" x14ac:dyDescent="0.2">
      <c r="A555" s="5" t="str">
        <f>IF('FUENTE NO BORRAR'!A573="","",(IF('FUENTE NO BORRAR'!A573&lt;&gt;"Resultado total",'FUENTE NO BORRAR'!A573,"")))</f>
        <v/>
      </c>
      <c r="B555" s="5" t="str">
        <f>IF('FUENTE NO BORRAR'!B573="","",'FUENTE NO BORRAR'!B573)</f>
        <v/>
      </c>
      <c r="C555" s="5" t="str">
        <f>IF('FUENTE NO BORRAR'!C573="","",'FUENTE NO BORRAR'!C573)</f>
        <v/>
      </c>
      <c r="D555" s="5" t="str">
        <f>IF('FUENTE NO BORRAR'!D573="","",'FUENTE NO BORRAR'!D573)</f>
        <v/>
      </c>
      <c r="E555" s="5" t="str">
        <f>IF('FUENTE NO BORRAR'!E573="","",'FUENTE NO BORRAR'!E573)</f>
        <v/>
      </c>
      <c r="F555" s="6">
        <f>IF('FUENTE NO BORRAR'!F573="","",IF('FUENTE NO BORRAR'!$A573&lt;&gt;"Resultado total",('FUENTE NO BORRAR'!F573),""))</f>
        <v>0</v>
      </c>
      <c r="G555" s="6">
        <f>IF('FUENTE NO BORRAR'!G573="","",IF('FUENTE NO BORRAR'!$A573&lt;&gt;"Resultado total",('FUENTE NO BORRAR'!G573),""))</f>
        <v>0</v>
      </c>
      <c r="H555" s="6">
        <f>IF('FUENTE NO BORRAR'!H573="","",IF('FUENTE NO BORRAR'!$A573&lt;&gt;"Resultado total",('FUENTE NO BORRAR'!H573),""))</f>
        <v>0</v>
      </c>
      <c r="I555" s="6">
        <f>IF('FUENTE NO BORRAR'!I573="","",IF('FUENTE NO BORRAR'!$A573&lt;&gt;"Resultado total",('FUENTE NO BORRAR'!I573),""))</f>
        <v>0</v>
      </c>
    </row>
    <row r="556" spans="1:9" x14ac:dyDescent="0.2">
      <c r="A556" s="5" t="str">
        <f>IF('FUENTE NO BORRAR'!A574="","",(IF('FUENTE NO BORRAR'!A574&lt;&gt;"Resultado total",'FUENTE NO BORRAR'!A574,"")))</f>
        <v/>
      </c>
      <c r="B556" s="5" t="str">
        <f>IF('FUENTE NO BORRAR'!B574="","",'FUENTE NO BORRAR'!B574)</f>
        <v/>
      </c>
      <c r="C556" s="5" t="str">
        <f>IF('FUENTE NO BORRAR'!C574="","",'FUENTE NO BORRAR'!C574)</f>
        <v/>
      </c>
      <c r="D556" s="5" t="str">
        <f>IF('FUENTE NO BORRAR'!D574="","",'FUENTE NO BORRAR'!D574)</f>
        <v/>
      </c>
      <c r="E556" s="5" t="str">
        <f>IF('FUENTE NO BORRAR'!E574="","",'FUENTE NO BORRAR'!E574)</f>
        <v/>
      </c>
      <c r="F556" s="6">
        <f>IF('FUENTE NO BORRAR'!F574="","",IF('FUENTE NO BORRAR'!$A574&lt;&gt;"Resultado total",('FUENTE NO BORRAR'!F574),""))</f>
        <v>43732</v>
      </c>
      <c r="G556" s="6">
        <f>IF('FUENTE NO BORRAR'!G574="","",IF('FUENTE NO BORRAR'!$A574&lt;&gt;"Resultado total",('FUENTE NO BORRAR'!G574),""))</f>
        <v>43732</v>
      </c>
      <c r="H556" s="6">
        <f>IF('FUENTE NO BORRAR'!H574="","",IF('FUENTE NO BORRAR'!$A574&lt;&gt;"Resultado total",('FUENTE NO BORRAR'!H574),""))</f>
        <v>0</v>
      </c>
      <c r="I556" s="6">
        <f>IF('FUENTE NO BORRAR'!I574="","",IF('FUENTE NO BORRAR'!$A574&lt;&gt;"Resultado total",('FUENTE NO BORRAR'!I574),""))</f>
        <v>0</v>
      </c>
    </row>
    <row r="557" spans="1:9" x14ac:dyDescent="0.2">
      <c r="A557" s="5" t="str">
        <f>IF('FUENTE NO BORRAR'!A575="","",(IF('FUENTE NO BORRAR'!A575&lt;&gt;"Resultado total",'FUENTE NO BORRAR'!A575,"")))</f>
        <v/>
      </c>
      <c r="B557" s="5" t="str">
        <f>IF('FUENTE NO BORRAR'!B575="","",'FUENTE NO BORRAR'!B575)</f>
        <v/>
      </c>
      <c r="C557" s="5" t="str">
        <f>IF('FUENTE NO BORRAR'!C575="","",'FUENTE NO BORRAR'!C575)</f>
        <v/>
      </c>
      <c r="D557" s="5" t="str">
        <f>IF('FUENTE NO BORRAR'!D575="","",'FUENTE NO BORRAR'!D575)</f>
        <v/>
      </c>
      <c r="E557" s="5" t="str">
        <f>IF('FUENTE NO BORRAR'!E575="","",'FUENTE NO BORRAR'!E575)</f>
        <v/>
      </c>
      <c r="F557" s="6">
        <f>IF('FUENTE NO BORRAR'!F575="","",IF('FUENTE NO BORRAR'!$A575&lt;&gt;"Resultado total",('FUENTE NO BORRAR'!F575),""))</f>
        <v>8000</v>
      </c>
      <c r="G557" s="6">
        <f>IF('FUENTE NO BORRAR'!G575="","",IF('FUENTE NO BORRAR'!$A575&lt;&gt;"Resultado total",('FUENTE NO BORRAR'!G575),""))</f>
        <v>8000</v>
      </c>
      <c r="H557" s="6">
        <f>IF('FUENTE NO BORRAR'!H575="","",IF('FUENTE NO BORRAR'!$A575&lt;&gt;"Resultado total",('FUENTE NO BORRAR'!H575),""))</f>
        <v>8000</v>
      </c>
      <c r="I557" s="6">
        <f>IF('FUENTE NO BORRAR'!I575="","",IF('FUENTE NO BORRAR'!$A575&lt;&gt;"Resultado total",('FUENTE NO BORRAR'!I575),""))</f>
        <v>0</v>
      </c>
    </row>
    <row r="558" spans="1:9" x14ac:dyDescent="0.2">
      <c r="A558" s="5" t="str">
        <f>IF('FUENTE NO BORRAR'!A576="","",(IF('FUENTE NO BORRAR'!A576&lt;&gt;"Resultado total",'FUENTE NO BORRAR'!A576,"")))</f>
        <v/>
      </c>
      <c r="B558" s="5" t="str">
        <f>IF('FUENTE NO BORRAR'!B576="","",'FUENTE NO BORRAR'!B576)</f>
        <v/>
      </c>
      <c r="C558" s="5" t="str">
        <f>IF('FUENTE NO BORRAR'!C576="","",'FUENTE NO BORRAR'!C576)</f>
        <v/>
      </c>
      <c r="D558" s="5" t="str">
        <f>IF('FUENTE NO BORRAR'!D576="","",'FUENTE NO BORRAR'!D576)</f>
        <v/>
      </c>
      <c r="E558" s="5" t="str">
        <f>IF('FUENTE NO BORRAR'!E576="","",'FUENTE NO BORRAR'!E576)</f>
        <v/>
      </c>
      <c r="F558" s="6">
        <f>IF('FUENTE NO BORRAR'!F576="","",IF('FUENTE NO BORRAR'!$A576&lt;&gt;"Resultado total",('FUENTE NO BORRAR'!F576),""))</f>
        <v>1021000</v>
      </c>
      <c r="G558" s="6">
        <f>IF('FUENTE NO BORRAR'!G576="","",IF('FUENTE NO BORRAR'!$A576&lt;&gt;"Resultado total",('FUENTE NO BORRAR'!G576),""))</f>
        <v>1021000</v>
      </c>
      <c r="H558" s="6">
        <f>IF('FUENTE NO BORRAR'!H576="","",IF('FUENTE NO BORRAR'!$A576&lt;&gt;"Resultado total",('FUENTE NO BORRAR'!H576),""))</f>
        <v>753500</v>
      </c>
      <c r="I558" s="6">
        <f>IF('FUENTE NO BORRAR'!I576="","",IF('FUENTE NO BORRAR'!$A576&lt;&gt;"Resultado total",('FUENTE NO BORRAR'!I576),""))</f>
        <v>0</v>
      </c>
    </row>
    <row r="559" spans="1:9" x14ac:dyDescent="0.2">
      <c r="A559" s="5" t="str">
        <f>IF('FUENTE NO BORRAR'!A577="","",(IF('FUENTE NO BORRAR'!A577&lt;&gt;"Resultado total",'FUENTE NO BORRAR'!A577,"")))</f>
        <v/>
      </c>
      <c r="B559" s="5" t="str">
        <f>IF('FUENTE NO BORRAR'!B577="","",'FUENTE NO BORRAR'!B577)</f>
        <v/>
      </c>
      <c r="C559" s="5" t="str">
        <f>IF('FUENTE NO BORRAR'!C577="","",'FUENTE NO BORRAR'!C577)</f>
        <v/>
      </c>
      <c r="D559" s="5" t="str">
        <f>IF('FUENTE NO BORRAR'!D577="","",'FUENTE NO BORRAR'!D577)</f>
        <v/>
      </c>
      <c r="E559" s="5" t="str">
        <f>IF('FUENTE NO BORRAR'!E577="","",'FUENTE NO BORRAR'!E577)</f>
        <v/>
      </c>
      <c r="F559" s="6">
        <f>IF('FUENTE NO BORRAR'!F577="","",IF('FUENTE NO BORRAR'!$A577&lt;&gt;"Resultado total",('FUENTE NO BORRAR'!F577),""))</f>
        <v>14150.26</v>
      </c>
      <c r="G559" s="6">
        <f>IF('FUENTE NO BORRAR'!G577="","",IF('FUENTE NO BORRAR'!$A577&lt;&gt;"Resultado total",('FUENTE NO BORRAR'!G577),""))</f>
        <v>14150.26</v>
      </c>
      <c r="H559" s="6">
        <f>IF('FUENTE NO BORRAR'!H577="","",IF('FUENTE NO BORRAR'!$A577&lt;&gt;"Resultado total",('FUENTE NO BORRAR'!H577),""))</f>
        <v>0</v>
      </c>
      <c r="I559" s="6">
        <f>IF('FUENTE NO BORRAR'!I577="","",IF('FUENTE NO BORRAR'!$A577&lt;&gt;"Resultado total",('FUENTE NO BORRAR'!I577),""))</f>
        <v>0</v>
      </c>
    </row>
    <row r="560" spans="1:9" x14ac:dyDescent="0.2">
      <c r="A560" s="5" t="str">
        <f>IF('FUENTE NO BORRAR'!A578="","",(IF('FUENTE NO BORRAR'!A578&lt;&gt;"Resultado total",'FUENTE NO BORRAR'!A578,"")))</f>
        <v/>
      </c>
      <c r="B560" s="5" t="str">
        <f>IF('FUENTE NO BORRAR'!B578="","",'FUENTE NO BORRAR'!B578)</f>
        <v/>
      </c>
      <c r="C560" s="5" t="str">
        <f>IF('FUENTE NO BORRAR'!C578="","",'FUENTE NO BORRAR'!C578)</f>
        <v>13042111E204</v>
      </c>
      <c r="D560" s="5" t="str">
        <f>IF('FUENTE NO BORRAR'!D578="","",'FUENTE NO BORRAR'!D578)</f>
        <v>13042111E204</v>
      </c>
      <c r="E560" s="5" t="str">
        <f>IF('FUENTE NO BORRAR'!E578="","",'FUENTE NO BORRAR'!E578)</f>
        <v/>
      </c>
      <c r="F560" s="6">
        <f>IF('FUENTE NO BORRAR'!F578="","",IF('FUENTE NO BORRAR'!$A578&lt;&gt;"Resultado total",('FUENTE NO BORRAR'!F578),""))</f>
        <v>25973.9</v>
      </c>
      <c r="G560" s="6">
        <f>IF('FUENTE NO BORRAR'!G578="","",IF('FUENTE NO BORRAR'!$A578&lt;&gt;"Resultado total",('FUENTE NO BORRAR'!G578),""))</f>
        <v>25973.9</v>
      </c>
      <c r="H560" s="6">
        <f>IF('FUENTE NO BORRAR'!H578="","",IF('FUENTE NO BORRAR'!$A578&lt;&gt;"Resultado total",('FUENTE NO BORRAR'!H578),""))</f>
        <v>25973.9</v>
      </c>
      <c r="I560" s="6">
        <f>IF('FUENTE NO BORRAR'!I578="","",IF('FUENTE NO BORRAR'!$A578&lt;&gt;"Resultado total",('FUENTE NO BORRAR'!I578),""))</f>
        <v>0</v>
      </c>
    </row>
    <row r="561" spans="1:9" x14ac:dyDescent="0.2">
      <c r="A561" s="5" t="str">
        <f>IF('FUENTE NO BORRAR'!A579="","",(IF('FUENTE NO BORRAR'!A579&lt;&gt;"Resultado total",'FUENTE NO BORRAR'!A579,"")))</f>
        <v/>
      </c>
      <c r="B561" s="5" t="str">
        <f>IF('FUENTE NO BORRAR'!B579="","",'FUENTE NO BORRAR'!B579)</f>
        <v/>
      </c>
      <c r="C561" s="5" t="str">
        <f>IF('FUENTE NO BORRAR'!C579="","",'FUENTE NO BORRAR'!C579)</f>
        <v/>
      </c>
      <c r="D561" s="5" t="str">
        <f>IF('FUENTE NO BORRAR'!D579="","",'FUENTE NO BORRAR'!D579)</f>
        <v/>
      </c>
      <c r="E561" s="5" t="str">
        <f>IF('FUENTE NO BORRAR'!E579="","",'FUENTE NO BORRAR'!E579)</f>
        <v/>
      </c>
      <c r="F561" s="6">
        <f>IF('FUENTE NO BORRAR'!F579="","",IF('FUENTE NO BORRAR'!$A579&lt;&gt;"Resultado total",('FUENTE NO BORRAR'!F579),""))</f>
        <v>1226894.3799999999</v>
      </c>
      <c r="G561" s="6">
        <f>IF('FUENTE NO BORRAR'!G579="","",IF('FUENTE NO BORRAR'!$A579&lt;&gt;"Resultado total",('FUENTE NO BORRAR'!G579),""))</f>
        <v>1226894.3799999999</v>
      </c>
      <c r="H561" s="6">
        <f>IF('FUENTE NO BORRAR'!H579="","",IF('FUENTE NO BORRAR'!$A579&lt;&gt;"Resultado total",('FUENTE NO BORRAR'!H579),""))</f>
        <v>1226894.3799999999</v>
      </c>
      <c r="I561" s="6">
        <f>IF('FUENTE NO BORRAR'!I579="","",IF('FUENTE NO BORRAR'!$A579&lt;&gt;"Resultado total",('FUENTE NO BORRAR'!I579),""))</f>
        <v>0</v>
      </c>
    </row>
    <row r="562" spans="1:9" x14ac:dyDescent="0.2">
      <c r="A562" s="5" t="str">
        <f>IF('FUENTE NO BORRAR'!A580="","",(IF('FUENTE NO BORRAR'!A580&lt;&gt;"Resultado total",'FUENTE NO BORRAR'!A580,"")))</f>
        <v/>
      </c>
      <c r="B562" s="5" t="str">
        <f>IF('FUENTE NO BORRAR'!B580="","",'FUENTE NO BORRAR'!B580)</f>
        <v/>
      </c>
      <c r="C562" s="5" t="str">
        <f>IF('FUENTE NO BORRAR'!C580="","",'FUENTE NO BORRAR'!C580)</f>
        <v/>
      </c>
      <c r="D562" s="5" t="str">
        <f>IF('FUENTE NO BORRAR'!D580="","",'FUENTE NO BORRAR'!D580)</f>
        <v/>
      </c>
      <c r="E562" s="5" t="str">
        <f>IF('FUENTE NO BORRAR'!E580="","",'FUENTE NO BORRAR'!E580)</f>
        <v/>
      </c>
      <c r="F562" s="6">
        <f>IF('FUENTE NO BORRAR'!F580="","",IF('FUENTE NO BORRAR'!$A580&lt;&gt;"Resultado total",('FUENTE NO BORRAR'!F580),""))</f>
        <v>892368.48</v>
      </c>
      <c r="G562" s="6">
        <f>IF('FUENTE NO BORRAR'!G580="","",IF('FUENTE NO BORRAR'!$A580&lt;&gt;"Resultado total",('FUENTE NO BORRAR'!G580),""))</f>
        <v>892368.48</v>
      </c>
      <c r="H562" s="6">
        <f>IF('FUENTE NO BORRAR'!H580="","",IF('FUENTE NO BORRAR'!$A580&lt;&gt;"Resultado total",('FUENTE NO BORRAR'!H580),""))</f>
        <v>827220.5</v>
      </c>
      <c r="I562" s="6">
        <f>IF('FUENTE NO BORRAR'!I580="","",IF('FUENTE NO BORRAR'!$A580&lt;&gt;"Resultado total",('FUENTE NO BORRAR'!I580),""))</f>
        <v>0</v>
      </c>
    </row>
    <row r="563" spans="1:9" x14ac:dyDescent="0.2">
      <c r="A563" s="5" t="str">
        <f>IF('FUENTE NO BORRAR'!A581="","",(IF('FUENTE NO BORRAR'!A581&lt;&gt;"Resultado total",'FUENTE NO BORRAR'!A581,"")))</f>
        <v/>
      </c>
      <c r="B563" s="5" t="str">
        <f>IF('FUENTE NO BORRAR'!B581="","",'FUENTE NO BORRAR'!B581)</f>
        <v/>
      </c>
      <c r="C563" s="5" t="str">
        <f>IF('FUENTE NO BORRAR'!C581="","",'FUENTE NO BORRAR'!C581)</f>
        <v/>
      </c>
      <c r="D563" s="5" t="str">
        <f>IF('FUENTE NO BORRAR'!D581="","",'FUENTE NO BORRAR'!D581)</f>
        <v/>
      </c>
      <c r="E563" s="5" t="str">
        <f>IF('FUENTE NO BORRAR'!E581="","",'FUENTE NO BORRAR'!E581)</f>
        <v/>
      </c>
      <c r="F563" s="6">
        <f>IF('FUENTE NO BORRAR'!F581="","",IF('FUENTE NO BORRAR'!$A581&lt;&gt;"Resultado total",('FUENTE NO BORRAR'!F581),""))</f>
        <v>2917182.35</v>
      </c>
      <c r="G563" s="6">
        <f>IF('FUENTE NO BORRAR'!G581="","",IF('FUENTE NO BORRAR'!$A581&lt;&gt;"Resultado total",('FUENTE NO BORRAR'!G581),""))</f>
        <v>2917182.35</v>
      </c>
      <c r="H563" s="6">
        <f>IF('FUENTE NO BORRAR'!H581="","",IF('FUENTE NO BORRAR'!$A581&lt;&gt;"Resultado total",('FUENTE NO BORRAR'!H581),""))</f>
        <v>2917182.35</v>
      </c>
      <c r="I563" s="6">
        <f>IF('FUENTE NO BORRAR'!I581="","",IF('FUENTE NO BORRAR'!$A581&lt;&gt;"Resultado total",('FUENTE NO BORRAR'!I581),""))</f>
        <v>0</v>
      </c>
    </row>
    <row r="564" spans="1:9" x14ac:dyDescent="0.2">
      <c r="A564" s="5" t="str">
        <f>IF('FUENTE NO BORRAR'!A582="","",(IF('FUENTE NO BORRAR'!A582&lt;&gt;"Resultado total",'FUENTE NO BORRAR'!A582,"")))</f>
        <v/>
      </c>
      <c r="B564" s="5" t="str">
        <f>IF('FUENTE NO BORRAR'!B582="","",'FUENTE NO BORRAR'!B582)</f>
        <v/>
      </c>
      <c r="C564" s="5" t="str">
        <f>IF('FUENTE NO BORRAR'!C582="","",'FUENTE NO BORRAR'!C582)</f>
        <v/>
      </c>
      <c r="D564" s="5" t="str">
        <f>IF('FUENTE NO BORRAR'!D582="","",'FUENTE NO BORRAR'!D582)</f>
        <v/>
      </c>
      <c r="E564" s="5" t="str">
        <f>IF('FUENTE NO BORRAR'!E582="","",'FUENTE NO BORRAR'!E582)</f>
        <v/>
      </c>
      <c r="F564" s="6">
        <f>IF('FUENTE NO BORRAR'!F582="","",IF('FUENTE NO BORRAR'!$A582&lt;&gt;"Resultado total",('FUENTE NO BORRAR'!F582),""))</f>
        <v>3860.55</v>
      </c>
      <c r="G564" s="6">
        <f>IF('FUENTE NO BORRAR'!G582="","",IF('FUENTE NO BORRAR'!$A582&lt;&gt;"Resultado total",('FUENTE NO BORRAR'!G582),""))</f>
        <v>3860.55</v>
      </c>
      <c r="H564" s="6">
        <f>IF('FUENTE NO BORRAR'!H582="","",IF('FUENTE NO BORRAR'!$A582&lt;&gt;"Resultado total",('FUENTE NO BORRAR'!H582),""))</f>
        <v>3860.55</v>
      </c>
      <c r="I564" s="6">
        <f>IF('FUENTE NO BORRAR'!I582="","",IF('FUENTE NO BORRAR'!$A582&lt;&gt;"Resultado total",('FUENTE NO BORRAR'!I582),""))</f>
        <v>0</v>
      </c>
    </row>
    <row r="565" spans="1:9" x14ac:dyDescent="0.2">
      <c r="A565" s="5" t="str">
        <f>IF('FUENTE NO BORRAR'!A583="","",(IF('FUENTE NO BORRAR'!A583&lt;&gt;"Resultado total",'FUENTE NO BORRAR'!A583,"")))</f>
        <v/>
      </c>
      <c r="B565" s="5" t="str">
        <f>IF('FUENTE NO BORRAR'!B583="","",'FUENTE NO BORRAR'!B583)</f>
        <v/>
      </c>
      <c r="C565" s="5" t="str">
        <f>IF('FUENTE NO BORRAR'!C583="","",'FUENTE NO BORRAR'!C583)</f>
        <v/>
      </c>
      <c r="D565" s="5" t="str">
        <f>IF('FUENTE NO BORRAR'!D583="","",'FUENTE NO BORRAR'!D583)</f>
        <v/>
      </c>
      <c r="E565" s="5" t="str">
        <f>IF('FUENTE NO BORRAR'!E583="","",'FUENTE NO BORRAR'!E583)</f>
        <v/>
      </c>
      <c r="F565" s="6">
        <f>IF('FUENTE NO BORRAR'!F583="","",IF('FUENTE NO BORRAR'!$A583&lt;&gt;"Resultado total",('FUENTE NO BORRAR'!F583),""))</f>
        <v>9308.7199999999993</v>
      </c>
      <c r="G565" s="6">
        <f>IF('FUENTE NO BORRAR'!G583="","",IF('FUENTE NO BORRAR'!$A583&lt;&gt;"Resultado total",('FUENTE NO BORRAR'!G583),""))</f>
        <v>9308.7199999999993</v>
      </c>
      <c r="H565" s="6">
        <f>IF('FUENTE NO BORRAR'!H583="","",IF('FUENTE NO BORRAR'!$A583&lt;&gt;"Resultado total",('FUENTE NO BORRAR'!H583),""))</f>
        <v>9308.7199999999993</v>
      </c>
      <c r="I565" s="6">
        <f>IF('FUENTE NO BORRAR'!I583="","",IF('FUENTE NO BORRAR'!$A583&lt;&gt;"Resultado total",('FUENTE NO BORRAR'!I583),""))</f>
        <v>0</v>
      </c>
    </row>
    <row r="566" spans="1:9" x14ac:dyDescent="0.2">
      <c r="A566" s="5" t="str">
        <f>IF('FUENTE NO BORRAR'!A584="","",(IF('FUENTE NO BORRAR'!A584&lt;&gt;"Resultado total",'FUENTE NO BORRAR'!A584,"")))</f>
        <v/>
      </c>
      <c r="B566" s="5" t="str">
        <f>IF('FUENTE NO BORRAR'!B584="","",'FUENTE NO BORRAR'!B584)</f>
        <v/>
      </c>
      <c r="C566" s="5" t="str">
        <f>IF('FUENTE NO BORRAR'!C584="","",'FUENTE NO BORRAR'!C584)</f>
        <v/>
      </c>
      <c r="D566" s="5" t="str">
        <f>IF('FUENTE NO BORRAR'!D584="","",'FUENTE NO BORRAR'!D584)</f>
        <v/>
      </c>
      <c r="E566" s="5" t="str">
        <f>IF('FUENTE NO BORRAR'!E584="","",'FUENTE NO BORRAR'!E584)</f>
        <v/>
      </c>
      <c r="F566" s="6">
        <f>IF('FUENTE NO BORRAR'!F584="","",IF('FUENTE NO BORRAR'!$A584&lt;&gt;"Resultado total",('FUENTE NO BORRAR'!F584),""))</f>
        <v>33564.53</v>
      </c>
      <c r="G566" s="6">
        <f>IF('FUENTE NO BORRAR'!G584="","",IF('FUENTE NO BORRAR'!$A584&lt;&gt;"Resultado total",('FUENTE NO BORRAR'!G584),""))</f>
        <v>33564.53</v>
      </c>
      <c r="H566" s="6">
        <f>IF('FUENTE NO BORRAR'!H584="","",IF('FUENTE NO BORRAR'!$A584&lt;&gt;"Resultado total",('FUENTE NO BORRAR'!H584),""))</f>
        <v>33564.53</v>
      </c>
      <c r="I566" s="6">
        <f>IF('FUENTE NO BORRAR'!I584="","",IF('FUENTE NO BORRAR'!$A584&lt;&gt;"Resultado total",('FUENTE NO BORRAR'!I584),""))</f>
        <v>0</v>
      </c>
    </row>
    <row r="567" spans="1:9" x14ac:dyDescent="0.2">
      <c r="A567" s="5" t="str">
        <f>IF('FUENTE NO BORRAR'!A585="","",(IF('FUENTE NO BORRAR'!A585&lt;&gt;"Resultado total",'FUENTE NO BORRAR'!A585,"")))</f>
        <v/>
      </c>
      <c r="B567" s="5" t="str">
        <f>IF('FUENTE NO BORRAR'!B585="","",'FUENTE NO BORRAR'!B585)</f>
        <v/>
      </c>
      <c r="C567" s="5" t="str">
        <f>IF('FUENTE NO BORRAR'!C585="","",'FUENTE NO BORRAR'!C585)</f>
        <v/>
      </c>
      <c r="D567" s="5" t="str">
        <f>IF('FUENTE NO BORRAR'!D585="","",'FUENTE NO BORRAR'!D585)</f>
        <v/>
      </c>
      <c r="E567" s="5" t="str">
        <f>IF('FUENTE NO BORRAR'!E585="","",'FUENTE NO BORRAR'!E585)</f>
        <v/>
      </c>
      <c r="F567" s="6">
        <f>IF('FUENTE NO BORRAR'!F585="","",IF('FUENTE NO BORRAR'!$A585&lt;&gt;"Resultado total",('FUENTE NO BORRAR'!F585),""))</f>
        <v>369800.63</v>
      </c>
      <c r="G567" s="6">
        <f>IF('FUENTE NO BORRAR'!G585="","",IF('FUENTE NO BORRAR'!$A585&lt;&gt;"Resultado total",('FUENTE NO BORRAR'!G585),""))</f>
        <v>369800.63</v>
      </c>
      <c r="H567" s="6">
        <f>IF('FUENTE NO BORRAR'!H585="","",IF('FUENTE NO BORRAR'!$A585&lt;&gt;"Resultado total",('FUENTE NO BORRAR'!H585),""))</f>
        <v>369800.63</v>
      </c>
      <c r="I567" s="6">
        <f>IF('FUENTE NO BORRAR'!I585="","",IF('FUENTE NO BORRAR'!$A585&lt;&gt;"Resultado total",('FUENTE NO BORRAR'!I585),""))</f>
        <v>0</v>
      </c>
    </row>
    <row r="568" spans="1:9" x14ac:dyDescent="0.2">
      <c r="A568" s="5" t="str">
        <f>IF('FUENTE NO BORRAR'!A586="","",(IF('FUENTE NO BORRAR'!A586&lt;&gt;"Resultado total",'FUENTE NO BORRAR'!A586,"")))</f>
        <v/>
      </c>
      <c r="B568" s="5" t="str">
        <f>IF('FUENTE NO BORRAR'!B586="","",'FUENTE NO BORRAR'!B586)</f>
        <v/>
      </c>
      <c r="C568" s="5" t="str">
        <f>IF('FUENTE NO BORRAR'!C586="","",'FUENTE NO BORRAR'!C586)</f>
        <v/>
      </c>
      <c r="D568" s="5" t="str">
        <f>IF('FUENTE NO BORRAR'!D586="","",'FUENTE NO BORRAR'!D586)</f>
        <v/>
      </c>
      <c r="E568" s="5" t="str">
        <f>IF('FUENTE NO BORRAR'!E586="","",'FUENTE NO BORRAR'!E586)</f>
        <v/>
      </c>
      <c r="F568" s="6">
        <f>IF('FUENTE NO BORRAR'!F586="","",IF('FUENTE NO BORRAR'!$A586&lt;&gt;"Resultado total",('FUENTE NO BORRAR'!F586),""))</f>
        <v>2889342.85</v>
      </c>
      <c r="G568" s="6">
        <f>IF('FUENTE NO BORRAR'!G586="","",IF('FUENTE NO BORRAR'!$A586&lt;&gt;"Resultado total",('FUENTE NO BORRAR'!G586),""))</f>
        <v>2889342.85</v>
      </c>
      <c r="H568" s="6">
        <f>IF('FUENTE NO BORRAR'!H586="","",IF('FUENTE NO BORRAR'!$A586&lt;&gt;"Resultado total",('FUENTE NO BORRAR'!H586),""))</f>
        <v>2933504.56</v>
      </c>
      <c r="I568" s="6">
        <f>IF('FUENTE NO BORRAR'!I586="","",IF('FUENTE NO BORRAR'!$A586&lt;&gt;"Resultado total",('FUENTE NO BORRAR'!I586),""))</f>
        <v>0</v>
      </c>
    </row>
    <row r="569" spans="1:9" x14ac:dyDescent="0.2">
      <c r="A569" s="5" t="str">
        <f>IF('FUENTE NO BORRAR'!A587="","",(IF('FUENTE NO BORRAR'!A587&lt;&gt;"Resultado total",'FUENTE NO BORRAR'!A587,"")))</f>
        <v/>
      </c>
      <c r="B569" s="5" t="str">
        <f>IF('FUENTE NO BORRAR'!B587="","",'FUENTE NO BORRAR'!B587)</f>
        <v/>
      </c>
      <c r="C569" s="5" t="str">
        <f>IF('FUENTE NO BORRAR'!C587="","",'FUENTE NO BORRAR'!C587)</f>
        <v/>
      </c>
      <c r="D569" s="5" t="str">
        <f>IF('FUENTE NO BORRAR'!D587="","",'FUENTE NO BORRAR'!D587)</f>
        <v/>
      </c>
      <c r="E569" s="5" t="str">
        <f>IF('FUENTE NO BORRAR'!E587="","",'FUENTE NO BORRAR'!E587)</f>
        <v/>
      </c>
      <c r="F569" s="6">
        <f>IF('FUENTE NO BORRAR'!F587="","",IF('FUENTE NO BORRAR'!$A587&lt;&gt;"Resultado total",('FUENTE NO BORRAR'!F587),""))</f>
        <v>1334745.73</v>
      </c>
      <c r="G569" s="6">
        <f>IF('FUENTE NO BORRAR'!G587="","",IF('FUENTE NO BORRAR'!$A587&lt;&gt;"Resultado total",('FUENTE NO BORRAR'!G587),""))</f>
        <v>1334745.73</v>
      </c>
      <c r="H569" s="6">
        <f>IF('FUENTE NO BORRAR'!H587="","",IF('FUENTE NO BORRAR'!$A587&lt;&gt;"Resultado total",('FUENTE NO BORRAR'!H587),""))</f>
        <v>1334745.73</v>
      </c>
      <c r="I569" s="6">
        <f>IF('FUENTE NO BORRAR'!I587="","",IF('FUENTE NO BORRAR'!$A587&lt;&gt;"Resultado total",('FUENTE NO BORRAR'!I587),""))</f>
        <v>1.0000000000000001E-9</v>
      </c>
    </row>
    <row r="570" spans="1:9" x14ac:dyDescent="0.2">
      <c r="A570" s="5" t="str">
        <f>IF('FUENTE NO BORRAR'!A588="","",(IF('FUENTE NO BORRAR'!A588&lt;&gt;"Resultado total",'FUENTE NO BORRAR'!A588,"")))</f>
        <v/>
      </c>
      <c r="B570" s="5" t="str">
        <f>IF('FUENTE NO BORRAR'!B588="","",'FUENTE NO BORRAR'!B588)</f>
        <v/>
      </c>
      <c r="C570" s="5" t="str">
        <f>IF('FUENTE NO BORRAR'!C588="","",'FUENTE NO BORRAR'!C588)</f>
        <v/>
      </c>
      <c r="D570" s="5" t="str">
        <f>IF('FUENTE NO BORRAR'!D588="","",'FUENTE NO BORRAR'!D588)</f>
        <v/>
      </c>
      <c r="E570" s="5" t="str">
        <f>IF('FUENTE NO BORRAR'!E588="","",'FUENTE NO BORRAR'!E588)</f>
        <v/>
      </c>
      <c r="F570" s="6">
        <f>IF('FUENTE NO BORRAR'!F588="","",IF('FUENTE NO BORRAR'!$A588&lt;&gt;"Resultado total",('FUENTE NO BORRAR'!F588),""))</f>
        <v>661847.80000000005</v>
      </c>
      <c r="G570" s="6">
        <f>IF('FUENTE NO BORRAR'!G588="","",IF('FUENTE NO BORRAR'!$A588&lt;&gt;"Resultado total",('FUENTE NO BORRAR'!G588),""))</f>
        <v>661847.80000000005</v>
      </c>
      <c r="H570" s="6">
        <f>IF('FUENTE NO BORRAR'!H588="","",IF('FUENTE NO BORRAR'!$A588&lt;&gt;"Resultado total",('FUENTE NO BORRAR'!H588),""))</f>
        <v>661847.80000000005</v>
      </c>
      <c r="I570" s="6">
        <f>IF('FUENTE NO BORRAR'!I588="","",IF('FUENTE NO BORRAR'!$A588&lt;&gt;"Resultado total",('FUENTE NO BORRAR'!I588),""))</f>
        <v>0</v>
      </c>
    </row>
    <row r="571" spans="1:9" x14ac:dyDescent="0.2">
      <c r="A571" s="5" t="str">
        <f>IF('FUENTE NO BORRAR'!A589="","",(IF('FUENTE NO BORRAR'!A589&lt;&gt;"Resultado total",'FUENTE NO BORRAR'!A589,"")))</f>
        <v/>
      </c>
      <c r="B571" s="5" t="str">
        <f>IF('FUENTE NO BORRAR'!B589="","",'FUENTE NO BORRAR'!B589)</f>
        <v/>
      </c>
      <c r="C571" s="5" t="str">
        <f>IF('FUENTE NO BORRAR'!C589="","",'FUENTE NO BORRAR'!C589)</f>
        <v/>
      </c>
      <c r="D571" s="5" t="str">
        <f>IF('FUENTE NO BORRAR'!D589="","",'FUENTE NO BORRAR'!D589)</f>
        <v/>
      </c>
      <c r="E571" s="5" t="str">
        <f>IF('FUENTE NO BORRAR'!E589="","",'FUENTE NO BORRAR'!E589)</f>
        <v/>
      </c>
      <c r="F571" s="6">
        <f>IF('FUENTE NO BORRAR'!F589="","",IF('FUENTE NO BORRAR'!$A589&lt;&gt;"Resultado total",('FUENTE NO BORRAR'!F589),""))</f>
        <v>214944.07</v>
      </c>
      <c r="G571" s="6">
        <f>IF('FUENTE NO BORRAR'!G589="","",IF('FUENTE NO BORRAR'!$A589&lt;&gt;"Resultado total",('FUENTE NO BORRAR'!G589),""))</f>
        <v>214944.07</v>
      </c>
      <c r="H571" s="6">
        <f>IF('FUENTE NO BORRAR'!H589="","",IF('FUENTE NO BORRAR'!$A589&lt;&gt;"Resultado total",('FUENTE NO BORRAR'!H589),""))</f>
        <v>214944.07</v>
      </c>
      <c r="I571" s="6">
        <f>IF('FUENTE NO BORRAR'!I589="","",IF('FUENTE NO BORRAR'!$A589&lt;&gt;"Resultado total",('FUENTE NO BORRAR'!I589),""))</f>
        <v>0</v>
      </c>
    </row>
    <row r="572" spans="1:9" x14ac:dyDescent="0.2">
      <c r="A572" s="5" t="str">
        <f>IF('FUENTE NO BORRAR'!A590="","",(IF('FUENTE NO BORRAR'!A590&lt;&gt;"Resultado total",'FUENTE NO BORRAR'!A590,"")))</f>
        <v/>
      </c>
      <c r="B572" s="5" t="str">
        <f>IF('FUENTE NO BORRAR'!B590="","",'FUENTE NO BORRAR'!B590)</f>
        <v/>
      </c>
      <c r="C572" s="5" t="str">
        <f>IF('FUENTE NO BORRAR'!C590="","",'FUENTE NO BORRAR'!C590)</f>
        <v/>
      </c>
      <c r="D572" s="5" t="str">
        <f>IF('FUENTE NO BORRAR'!D590="","",'FUENTE NO BORRAR'!D590)</f>
        <v/>
      </c>
      <c r="E572" s="5" t="str">
        <f>IF('FUENTE NO BORRAR'!E590="","",'FUENTE NO BORRAR'!E590)</f>
        <v/>
      </c>
      <c r="F572" s="6">
        <f>IF('FUENTE NO BORRAR'!F590="","",IF('FUENTE NO BORRAR'!$A590&lt;&gt;"Resultado total",('FUENTE NO BORRAR'!F590),""))</f>
        <v>101216.24</v>
      </c>
      <c r="G572" s="6">
        <f>IF('FUENTE NO BORRAR'!G590="","",IF('FUENTE NO BORRAR'!$A590&lt;&gt;"Resultado total",('FUENTE NO BORRAR'!G590),""))</f>
        <v>101216.24</v>
      </c>
      <c r="H572" s="6">
        <f>IF('FUENTE NO BORRAR'!H590="","",IF('FUENTE NO BORRAR'!$A590&lt;&gt;"Resultado total",('FUENTE NO BORRAR'!H590),""))</f>
        <v>101216.24</v>
      </c>
      <c r="I572" s="6">
        <f>IF('FUENTE NO BORRAR'!I590="","",IF('FUENTE NO BORRAR'!$A590&lt;&gt;"Resultado total",('FUENTE NO BORRAR'!I590),""))</f>
        <v>0</v>
      </c>
    </row>
    <row r="573" spans="1:9" x14ac:dyDescent="0.2">
      <c r="A573" s="5" t="str">
        <f>IF('FUENTE NO BORRAR'!A591="","",(IF('FUENTE NO BORRAR'!A591&lt;&gt;"Resultado total",'FUENTE NO BORRAR'!A591,"")))</f>
        <v/>
      </c>
      <c r="B573" s="5" t="str">
        <f>IF('FUENTE NO BORRAR'!B591="","",'FUENTE NO BORRAR'!B591)</f>
        <v/>
      </c>
      <c r="C573" s="5" t="str">
        <f>IF('FUENTE NO BORRAR'!C591="","",'FUENTE NO BORRAR'!C591)</f>
        <v/>
      </c>
      <c r="D573" s="5" t="str">
        <f>IF('FUENTE NO BORRAR'!D591="","",'FUENTE NO BORRAR'!D591)</f>
        <v/>
      </c>
      <c r="E573" s="5" t="str">
        <f>IF('FUENTE NO BORRAR'!E591="","",'FUENTE NO BORRAR'!E591)</f>
        <v/>
      </c>
      <c r="F573" s="6">
        <f>IF('FUENTE NO BORRAR'!F591="","",IF('FUENTE NO BORRAR'!$A591&lt;&gt;"Resultado total",('FUENTE NO BORRAR'!F591),""))</f>
        <v>153167.64000000001</v>
      </c>
      <c r="G573" s="6">
        <f>IF('FUENTE NO BORRAR'!G591="","",IF('FUENTE NO BORRAR'!$A591&lt;&gt;"Resultado total",('FUENTE NO BORRAR'!G591),""))</f>
        <v>153167.64000000001</v>
      </c>
      <c r="H573" s="6">
        <f>IF('FUENTE NO BORRAR'!H591="","",IF('FUENTE NO BORRAR'!$A591&lt;&gt;"Resultado total",('FUENTE NO BORRAR'!H591),""))</f>
        <v>153167.64000000001</v>
      </c>
      <c r="I573" s="6">
        <f>IF('FUENTE NO BORRAR'!I591="","",IF('FUENTE NO BORRAR'!$A591&lt;&gt;"Resultado total",('FUENTE NO BORRAR'!I591),""))</f>
        <v>0</v>
      </c>
    </row>
    <row r="574" spans="1:9" x14ac:dyDescent="0.2">
      <c r="A574" s="5" t="str">
        <f>IF('FUENTE NO BORRAR'!A592="","",(IF('FUENTE NO BORRAR'!A592&lt;&gt;"Resultado total",'FUENTE NO BORRAR'!A592,"")))</f>
        <v/>
      </c>
      <c r="B574" s="5" t="str">
        <f>IF('FUENTE NO BORRAR'!B592="","",'FUENTE NO BORRAR'!B592)</f>
        <v/>
      </c>
      <c r="C574" s="5" t="str">
        <f>IF('FUENTE NO BORRAR'!C592="","",'FUENTE NO BORRAR'!C592)</f>
        <v/>
      </c>
      <c r="D574" s="5" t="str">
        <f>IF('FUENTE NO BORRAR'!D592="","",'FUENTE NO BORRAR'!D592)</f>
        <v/>
      </c>
      <c r="E574" s="5" t="str">
        <f>IF('FUENTE NO BORRAR'!E592="","",'FUENTE NO BORRAR'!E592)</f>
        <v/>
      </c>
      <c r="F574" s="6">
        <f>IF('FUENTE NO BORRAR'!F592="","",IF('FUENTE NO BORRAR'!$A592&lt;&gt;"Resultado total",('FUENTE NO BORRAR'!F592),""))</f>
        <v>381052.78</v>
      </c>
      <c r="G574" s="6">
        <f>IF('FUENTE NO BORRAR'!G592="","",IF('FUENTE NO BORRAR'!$A592&lt;&gt;"Resultado total",('FUENTE NO BORRAR'!G592),""))</f>
        <v>381052.78</v>
      </c>
      <c r="H574" s="6">
        <f>IF('FUENTE NO BORRAR'!H592="","",IF('FUENTE NO BORRAR'!$A592&lt;&gt;"Resultado total",('FUENTE NO BORRAR'!H592),""))</f>
        <v>381052.78</v>
      </c>
      <c r="I574" s="6">
        <f>IF('FUENTE NO BORRAR'!I592="","",IF('FUENTE NO BORRAR'!$A592&lt;&gt;"Resultado total",('FUENTE NO BORRAR'!I592),""))</f>
        <v>0</v>
      </c>
    </row>
    <row r="575" spans="1:9" x14ac:dyDescent="0.2">
      <c r="A575" s="5" t="str">
        <f>IF('FUENTE NO BORRAR'!A593="","",(IF('FUENTE NO BORRAR'!A593&lt;&gt;"Resultado total",'FUENTE NO BORRAR'!A593,"")))</f>
        <v/>
      </c>
      <c r="B575" s="5" t="str">
        <f>IF('FUENTE NO BORRAR'!B593="","",'FUENTE NO BORRAR'!B593)</f>
        <v/>
      </c>
      <c r="C575" s="5" t="str">
        <f>IF('FUENTE NO BORRAR'!C593="","",'FUENTE NO BORRAR'!C593)</f>
        <v/>
      </c>
      <c r="D575" s="5" t="str">
        <f>IF('FUENTE NO BORRAR'!D593="","",'FUENTE NO BORRAR'!D593)</f>
        <v/>
      </c>
      <c r="E575" s="5" t="str">
        <f>IF('FUENTE NO BORRAR'!E593="","",'FUENTE NO BORRAR'!E593)</f>
        <v/>
      </c>
      <c r="F575" s="6">
        <f>IF('FUENTE NO BORRAR'!F593="","",IF('FUENTE NO BORRAR'!$A593&lt;&gt;"Resultado total",('FUENTE NO BORRAR'!F593),""))</f>
        <v>162453.10999999999</v>
      </c>
      <c r="G575" s="6">
        <f>IF('FUENTE NO BORRAR'!G593="","",IF('FUENTE NO BORRAR'!$A593&lt;&gt;"Resultado total",('FUENTE NO BORRAR'!G593),""))</f>
        <v>162453.10999999999</v>
      </c>
      <c r="H575" s="6">
        <f>IF('FUENTE NO BORRAR'!H593="","",IF('FUENTE NO BORRAR'!$A593&lt;&gt;"Resultado total",('FUENTE NO BORRAR'!H593),""))</f>
        <v>159625.60999999999</v>
      </c>
      <c r="I575" s="6">
        <f>IF('FUENTE NO BORRAR'!I593="","",IF('FUENTE NO BORRAR'!$A593&lt;&gt;"Resultado total",('FUENTE NO BORRAR'!I593),""))</f>
        <v>0</v>
      </c>
    </row>
    <row r="576" spans="1:9" x14ac:dyDescent="0.2">
      <c r="A576" s="5" t="str">
        <f>IF('FUENTE NO BORRAR'!A594="","",(IF('FUENTE NO BORRAR'!A594&lt;&gt;"Resultado total",'FUENTE NO BORRAR'!A594,"")))</f>
        <v/>
      </c>
      <c r="B576" s="5" t="str">
        <f>IF('FUENTE NO BORRAR'!B594="","",'FUENTE NO BORRAR'!B594)</f>
        <v/>
      </c>
      <c r="C576" s="5" t="str">
        <f>IF('FUENTE NO BORRAR'!C594="","",'FUENTE NO BORRAR'!C594)</f>
        <v/>
      </c>
      <c r="D576" s="5" t="str">
        <f>IF('FUENTE NO BORRAR'!D594="","",'FUENTE NO BORRAR'!D594)</f>
        <v/>
      </c>
      <c r="E576" s="5" t="str">
        <f>IF('FUENTE NO BORRAR'!E594="","",'FUENTE NO BORRAR'!E594)</f>
        <v/>
      </c>
      <c r="F576" s="6">
        <f>IF('FUENTE NO BORRAR'!F594="","",IF('FUENTE NO BORRAR'!$A594&lt;&gt;"Resultado total",('FUENTE NO BORRAR'!F594),""))</f>
        <v>8261.98</v>
      </c>
      <c r="G576" s="6">
        <f>IF('FUENTE NO BORRAR'!G594="","",IF('FUENTE NO BORRAR'!$A594&lt;&gt;"Resultado total",('FUENTE NO BORRAR'!G594),""))</f>
        <v>8261.98</v>
      </c>
      <c r="H576" s="6">
        <f>IF('FUENTE NO BORRAR'!H594="","",IF('FUENTE NO BORRAR'!$A594&lt;&gt;"Resultado total",('FUENTE NO BORRAR'!H594),""))</f>
        <v>8261.98</v>
      </c>
      <c r="I576" s="6">
        <f>IF('FUENTE NO BORRAR'!I594="","",IF('FUENTE NO BORRAR'!$A594&lt;&gt;"Resultado total",('FUENTE NO BORRAR'!I594),""))</f>
        <v>0</v>
      </c>
    </row>
    <row r="577" spans="1:9" x14ac:dyDescent="0.2">
      <c r="A577" s="5" t="str">
        <f>IF('FUENTE NO BORRAR'!A595="","",(IF('FUENTE NO BORRAR'!A595&lt;&gt;"Resultado total",'FUENTE NO BORRAR'!A595,"")))</f>
        <v/>
      </c>
      <c r="B577" s="5" t="str">
        <f>IF('FUENTE NO BORRAR'!B595="","",'FUENTE NO BORRAR'!B595)</f>
        <v/>
      </c>
      <c r="C577" s="5" t="str">
        <f>IF('FUENTE NO BORRAR'!C595="","",'FUENTE NO BORRAR'!C595)</f>
        <v/>
      </c>
      <c r="D577" s="5" t="str">
        <f>IF('FUENTE NO BORRAR'!D595="","",'FUENTE NO BORRAR'!D595)</f>
        <v/>
      </c>
      <c r="E577" s="5" t="str">
        <f>IF('FUENTE NO BORRAR'!E595="","",'FUENTE NO BORRAR'!E595)</f>
        <v/>
      </c>
      <c r="F577" s="6">
        <f>IF('FUENTE NO BORRAR'!F595="","",IF('FUENTE NO BORRAR'!$A595&lt;&gt;"Resultado total",('FUENTE NO BORRAR'!F595),""))</f>
        <v>0</v>
      </c>
      <c r="G577" s="6">
        <f>IF('FUENTE NO BORRAR'!G595="","",IF('FUENTE NO BORRAR'!$A595&lt;&gt;"Resultado total",('FUENTE NO BORRAR'!G595),""))</f>
        <v>0</v>
      </c>
      <c r="H577" s="6">
        <f>IF('FUENTE NO BORRAR'!H595="","",IF('FUENTE NO BORRAR'!$A595&lt;&gt;"Resultado total",('FUENTE NO BORRAR'!H595),""))</f>
        <v>0</v>
      </c>
      <c r="I577" s="6">
        <f>IF('FUENTE NO BORRAR'!I595="","",IF('FUENTE NO BORRAR'!$A595&lt;&gt;"Resultado total",('FUENTE NO BORRAR'!I595),""))</f>
        <v>0</v>
      </c>
    </row>
    <row r="578" spans="1:9" x14ac:dyDescent="0.2">
      <c r="A578" s="5" t="str">
        <f>IF('FUENTE NO BORRAR'!A596="","",(IF('FUENTE NO BORRAR'!A596&lt;&gt;"Resultado total",'FUENTE NO BORRAR'!A596,"")))</f>
        <v/>
      </c>
      <c r="B578" s="5" t="str">
        <f>IF('FUENTE NO BORRAR'!B596="","",'FUENTE NO BORRAR'!B596)</f>
        <v/>
      </c>
      <c r="C578" s="5" t="str">
        <f>IF('FUENTE NO BORRAR'!C596="","",'FUENTE NO BORRAR'!C596)</f>
        <v/>
      </c>
      <c r="D578" s="5" t="str">
        <f>IF('FUENTE NO BORRAR'!D596="","",'FUENTE NO BORRAR'!D596)</f>
        <v/>
      </c>
      <c r="E578" s="5" t="str">
        <f>IF('FUENTE NO BORRAR'!E596="","",'FUENTE NO BORRAR'!E596)</f>
        <v/>
      </c>
      <c r="F578" s="6">
        <f>IF('FUENTE NO BORRAR'!F596="","",IF('FUENTE NO BORRAR'!$A596&lt;&gt;"Resultado total",('FUENTE NO BORRAR'!F596),""))</f>
        <v>71038.78</v>
      </c>
      <c r="G578" s="6">
        <f>IF('FUENTE NO BORRAR'!G596="","",IF('FUENTE NO BORRAR'!$A596&lt;&gt;"Resultado total",('FUENTE NO BORRAR'!G596),""))</f>
        <v>71038.78</v>
      </c>
      <c r="H578" s="6">
        <f>IF('FUENTE NO BORRAR'!H596="","",IF('FUENTE NO BORRAR'!$A596&lt;&gt;"Resultado total",('FUENTE NO BORRAR'!H596),""))</f>
        <v>71038.78</v>
      </c>
      <c r="I578" s="6">
        <f>IF('FUENTE NO BORRAR'!I596="","",IF('FUENTE NO BORRAR'!$A596&lt;&gt;"Resultado total",('FUENTE NO BORRAR'!I596),""))</f>
        <v>0</v>
      </c>
    </row>
    <row r="579" spans="1:9" x14ac:dyDescent="0.2">
      <c r="A579" s="5" t="str">
        <f>IF('FUENTE NO BORRAR'!A597="","",(IF('FUENTE NO BORRAR'!A597&lt;&gt;"Resultado total",'FUENTE NO BORRAR'!A597,"")))</f>
        <v/>
      </c>
      <c r="B579" s="5" t="str">
        <f>IF('FUENTE NO BORRAR'!B597="","",'FUENTE NO BORRAR'!B597)</f>
        <v/>
      </c>
      <c r="C579" s="5" t="str">
        <f>IF('FUENTE NO BORRAR'!C597="","",'FUENTE NO BORRAR'!C597)</f>
        <v/>
      </c>
      <c r="D579" s="5" t="str">
        <f>IF('FUENTE NO BORRAR'!D597="","",'FUENTE NO BORRAR'!D597)</f>
        <v/>
      </c>
      <c r="E579" s="5" t="str">
        <f>IF('FUENTE NO BORRAR'!E597="","",'FUENTE NO BORRAR'!E597)</f>
        <v/>
      </c>
      <c r="F579" s="6">
        <f>IF('FUENTE NO BORRAR'!F597="","",IF('FUENTE NO BORRAR'!$A597&lt;&gt;"Resultado total",('FUENTE NO BORRAR'!F597),""))</f>
        <v>0</v>
      </c>
      <c r="G579" s="6">
        <f>IF('FUENTE NO BORRAR'!G597="","",IF('FUENTE NO BORRAR'!$A597&lt;&gt;"Resultado total",('FUENTE NO BORRAR'!G597),""))</f>
        <v>0</v>
      </c>
      <c r="H579" s="6">
        <f>IF('FUENTE NO BORRAR'!H597="","",IF('FUENTE NO BORRAR'!$A597&lt;&gt;"Resultado total",('FUENTE NO BORRAR'!H597),""))</f>
        <v>0</v>
      </c>
      <c r="I579" s="6">
        <f>IF('FUENTE NO BORRAR'!I597="","",IF('FUENTE NO BORRAR'!$A597&lt;&gt;"Resultado total",('FUENTE NO BORRAR'!I597),""))</f>
        <v>0</v>
      </c>
    </row>
    <row r="580" spans="1:9" x14ac:dyDescent="0.2">
      <c r="A580" s="5" t="str">
        <f>IF('FUENTE NO BORRAR'!A598="","",(IF('FUENTE NO BORRAR'!A598&lt;&gt;"Resultado total",'FUENTE NO BORRAR'!A598,"")))</f>
        <v/>
      </c>
      <c r="B580" s="5" t="str">
        <f>IF('FUENTE NO BORRAR'!B598="","",'FUENTE NO BORRAR'!B598)</f>
        <v/>
      </c>
      <c r="C580" s="5" t="str">
        <f>IF('FUENTE NO BORRAR'!C598="","",'FUENTE NO BORRAR'!C598)</f>
        <v/>
      </c>
      <c r="D580" s="5" t="str">
        <f>IF('FUENTE NO BORRAR'!D598="","",'FUENTE NO BORRAR'!D598)</f>
        <v/>
      </c>
      <c r="E580" s="5" t="str">
        <f>IF('FUENTE NO BORRAR'!E598="","",'FUENTE NO BORRAR'!E598)</f>
        <v/>
      </c>
      <c r="F580" s="6">
        <f>IF('FUENTE NO BORRAR'!F598="","",IF('FUENTE NO BORRAR'!$A598&lt;&gt;"Resultado total",('FUENTE NO BORRAR'!F598),""))</f>
        <v>109400.22</v>
      </c>
      <c r="G580" s="6">
        <f>IF('FUENTE NO BORRAR'!G598="","",IF('FUENTE NO BORRAR'!$A598&lt;&gt;"Resultado total",('FUENTE NO BORRAR'!G598),""))</f>
        <v>109400.22</v>
      </c>
      <c r="H580" s="6">
        <f>IF('FUENTE NO BORRAR'!H598="","",IF('FUENTE NO BORRAR'!$A598&lt;&gt;"Resultado total",('FUENTE NO BORRAR'!H598),""))</f>
        <v>109400.14</v>
      </c>
      <c r="I580" s="6">
        <f>IF('FUENTE NO BORRAR'!I598="","",IF('FUENTE NO BORRAR'!$A598&lt;&gt;"Resultado total",('FUENTE NO BORRAR'!I598),""))</f>
        <v>0</v>
      </c>
    </row>
    <row r="581" spans="1:9" x14ac:dyDescent="0.2">
      <c r="A581" s="5" t="str">
        <f>IF('FUENTE NO BORRAR'!A599="","",(IF('FUENTE NO BORRAR'!A599&lt;&gt;"Resultado total",'FUENTE NO BORRAR'!A599,"")))</f>
        <v/>
      </c>
      <c r="B581" s="5" t="str">
        <f>IF('FUENTE NO BORRAR'!B599="","",'FUENTE NO BORRAR'!B599)</f>
        <v/>
      </c>
      <c r="C581" s="5" t="str">
        <f>IF('FUENTE NO BORRAR'!C599="","",'FUENTE NO BORRAR'!C599)</f>
        <v/>
      </c>
      <c r="D581" s="5" t="str">
        <f>IF('FUENTE NO BORRAR'!D599="","",'FUENTE NO BORRAR'!D599)</f>
        <v/>
      </c>
      <c r="E581" s="5" t="str">
        <f>IF('FUENTE NO BORRAR'!E599="","",'FUENTE NO BORRAR'!E599)</f>
        <v/>
      </c>
      <c r="F581" s="6">
        <f>IF('FUENTE NO BORRAR'!F599="","",IF('FUENTE NO BORRAR'!$A599&lt;&gt;"Resultado total",('FUENTE NO BORRAR'!F599),""))</f>
        <v>0</v>
      </c>
      <c r="G581" s="6">
        <f>IF('FUENTE NO BORRAR'!G599="","",IF('FUENTE NO BORRAR'!$A599&lt;&gt;"Resultado total",('FUENTE NO BORRAR'!G599),""))</f>
        <v>0</v>
      </c>
      <c r="H581" s="6">
        <f>IF('FUENTE NO BORRAR'!H599="","",IF('FUENTE NO BORRAR'!$A599&lt;&gt;"Resultado total",('FUENTE NO BORRAR'!H599),""))</f>
        <v>0</v>
      </c>
      <c r="I581" s="6">
        <f>IF('FUENTE NO BORRAR'!I599="","",IF('FUENTE NO BORRAR'!$A599&lt;&gt;"Resultado total",('FUENTE NO BORRAR'!I599),""))</f>
        <v>0</v>
      </c>
    </row>
    <row r="582" spans="1:9" x14ac:dyDescent="0.2">
      <c r="A582" s="5" t="str">
        <f>IF('FUENTE NO BORRAR'!A600="","",(IF('FUENTE NO BORRAR'!A600&lt;&gt;"Resultado total",'FUENTE NO BORRAR'!A600,"")))</f>
        <v/>
      </c>
      <c r="B582" s="5" t="str">
        <f>IF('FUENTE NO BORRAR'!B600="","",'FUENTE NO BORRAR'!B600)</f>
        <v/>
      </c>
      <c r="C582" s="5" t="str">
        <f>IF('FUENTE NO BORRAR'!C600="","",'FUENTE NO BORRAR'!C600)</f>
        <v/>
      </c>
      <c r="D582" s="5" t="str">
        <f>IF('FUENTE NO BORRAR'!D600="","",'FUENTE NO BORRAR'!D600)</f>
        <v/>
      </c>
      <c r="E582" s="5" t="str">
        <f>IF('FUENTE NO BORRAR'!E600="","",'FUENTE NO BORRAR'!E600)</f>
        <v/>
      </c>
      <c r="F582" s="6">
        <f>IF('FUENTE NO BORRAR'!F600="","",IF('FUENTE NO BORRAR'!$A600&lt;&gt;"Resultado total",('FUENTE NO BORRAR'!F600),""))</f>
        <v>1130.21</v>
      </c>
      <c r="G582" s="6">
        <f>IF('FUENTE NO BORRAR'!G600="","",IF('FUENTE NO BORRAR'!$A600&lt;&gt;"Resultado total",('FUENTE NO BORRAR'!G600),""))</f>
        <v>1130.21</v>
      </c>
      <c r="H582" s="6">
        <f>IF('FUENTE NO BORRAR'!H600="","",IF('FUENTE NO BORRAR'!$A600&lt;&gt;"Resultado total",('FUENTE NO BORRAR'!H600),""))</f>
        <v>1130.21</v>
      </c>
      <c r="I582" s="6">
        <f>IF('FUENTE NO BORRAR'!I600="","",IF('FUENTE NO BORRAR'!$A600&lt;&gt;"Resultado total",('FUENTE NO BORRAR'!I600),""))</f>
        <v>0</v>
      </c>
    </row>
    <row r="583" spans="1:9" x14ac:dyDescent="0.2">
      <c r="A583" s="5" t="str">
        <f>IF('FUENTE NO BORRAR'!A601="","",(IF('FUENTE NO BORRAR'!A601&lt;&gt;"Resultado total",'FUENTE NO BORRAR'!A601,"")))</f>
        <v/>
      </c>
      <c r="B583" s="5" t="str">
        <f>IF('FUENTE NO BORRAR'!B601="","",'FUENTE NO BORRAR'!B601)</f>
        <v/>
      </c>
      <c r="C583" s="5" t="str">
        <f>IF('FUENTE NO BORRAR'!C601="","",'FUENTE NO BORRAR'!C601)</f>
        <v/>
      </c>
      <c r="D583" s="5" t="str">
        <f>IF('FUENTE NO BORRAR'!D601="","",'FUENTE NO BORRAR'!D601)</f>
        <v/>
      </c>
      <c r="E583" s="5" t="str">
        <f>IF('FUENTE NO BORRAR'!E601="","",'FUENTE NO BORRAR'!E601)</f>
        <v/>
      </c>
      <c r="F583" s="6">
        <f>IF('FUENTE NO BORRAR'!F601="","",IF('FUENTE NO BORRAR'!$A601&lt;&gt;"Resultado total",('FUENTE NO BORRAR'!F601),""))</f>
        <v>17972</v>
      </c>
      <c r="G583" s="6">
        <f>IF('FUENTE NO BORRAR'!G601="","",IF('FUENTE NO BORRAR'!$A601&lt;&gt;"Resultado total",('FUENTE NO BORRAR'!G601),""))</f>
        <v>17972</v>
      </c>
      <c r="H583" s="6">
        <f>IF('FUENTE NO BORRAR'!H601="","",IF('FUENTE NO BORRAR'!$A601&lt;&gt;"Resultado total",('FUENTE NO BORRAR'!H601),""))</f>
        <v>17972</v>
      </c>
      <c r="I583" s="6">
        <f>IF('FUENTE NO BORRAR'!I601="","",IF('FUENTE NO BORRAR'!$A601&lt;&gt;"Resultado total",('FUENTE NO BORRAR'!I601),""))</f>
        <v>0</v>
      </c>
    </row>
    <row r="584" spans="1:9" x14ac:dyDescent="0.2">
      <c r="A584" s="5" t="str">
        <f>IF('FUENTE NO BORRAR'!A602="","",(IF('FUENTE NO BORRAR'!A602&lt;&gt;"Resultado total",'FUENTE NO BORRAR'!A602,"")))</f>
        <v/>
      </c>
      <c r="B584" s="5" t="str">
        <f>IF('FUENTE NO BORRAR'!B602="","",'FUENTE NO BORRAR'!B602)</f>
        <v/>
      </c>
      <c r="C584" s="5" t="str">
        <f>IF('FUENTE NO BORRAR'!C602="","",'FUENTE NO BORRAR'!C602)</f>
        <v/>
      </c>
      <c r="D584" s="5" t="str">
        <f>IF('FUENTE NO BORRAR'!D602="","",'FUENTE NO BORRAR'!D602)</f>
        <v/>
      </c>
      <c r="E584" s="5" t="str">
        <f>IF('FUENTE NO BORRAR'!E602="","",'FUENTE NO BORRAR'!E602)</f>
        <v/>
      </c>
      <c r="F584" s="6">
        <f>IF('FUENTE NO BORRAR'!F602="","",IF('FUENTE NO BORRAR'!$A602&lt;&gt;"Resultado total",('FUENTE NO BORRAR'!F602),""))</f>
        <v>18905.439999999999</v>
      </c>
      <c r="G584" s="6">
        <f>IF('FUENTE NO BORRAR'!G602="","",IF('FUENTE NO BORRAR'!$A602&lt;&gt;"Resultado total",('FUENTE NO BORRAR'!G602),""))</f>
        <v>18905.439999999999</v>
      </c>
      <c r="H584" s="6">
        <f>IF('FUENTE NO BORRAR'!H602="","",IF('FUENTE NO BORRAR'!$A602&lt;&gt;"Resultado total",('FUENTE NO BORRAR'!H602),""))</f>
        <v>18905.439999999999</v>
      </c>
      <c r="I584" s="6">
        <f>IF('FUENTE NO BORRAR'!I602="","",IF('FUENTE NO BORRAR'!$A602&lt;&gt;"Resultado total",('FUENTE NO BORRAR'!I602),""))</f>
        <v>0</v>
      </c>
    </row>
    <row r="585" spans="1:9" x14ac:dyDescent="0.2">
      <c r="A585" s="5" t="str">
        <f>IF('FUENTE NO BORRAR'!A603="","",(IF('FUENTE NO BORRAR'!A603&lt;&gt;"Resultado total",'FUENTE NO BORRAR'!A603,"")))</f>
        <v/>
      </c>
      <c r="B585" s="5" t="str">
        <f>IF('FUENTE NO BORRAR'!B603="","",'FUENTE NO BORRAR'!B603)</f>
        <v/>
      </c>
      <c r="C585" s="5" t="str">
        <f>IF('FUENTE NO BORRAR'!C603="","",'FUENTE NO BORRAR'!C603)</f>
        <v/>
      </c>
      <c r="D585" s="5" t="str">
        <f>IF('FUENTE NO BORRAR'!D603="","",'FUENTE NO BORRAR'!D603)</f>
        <v/>
      </c>
      <c r="E585" s="5" t="str">
        <f>IF('FUENTE NO BORRAR'!E603="","",'FUENTE NO BORRAR'!E603)</f>
        <v/>
      </c>
      <c r="F585" s="6">
        <f>IF('FUENTE NO BORRAR'!F603="","",IF('FUENTE NO BORRAR'!$A603&lt;&gt;"Resultado total",('FUENTE NO BORRAR'!F603),""))</f>
        <v>231634.6</v>
      </c>
      <c r="G585" s="6">
        <f>IF('FUENTE NO BORRAR'!G603="","",IF('FUENTE NO BORRAR'!$A603&lt;&gt;"Resultado total",('FUENTE NO BORRAR'!G603),""))</f>
        <v>231634.6</v>
      </c>
      <c r="H585" s="6">
        <f>IF('FUENTE NO BORRAR'!H603="","",IF('FUENTE NO BORRAR'!$A603&lt;&gt;"Resultado total",('FUENTE NO BORRAR'!H603),""))</f>
        <v>0</v>
      </c>
      <c r="I585" s="6">
        <f>IF('FUENTE NO BORRAR'!I603="","",IF('FUENTE NO BORRAR'!$A603&lt;&gt;"Resultado total",('FUENTE NO BORRAR'!I603),""))</f>
        <v>0</v>
      </c>
    </row>
    <row r="586" spans="1:9" x14ac:dyDescent="0.2">
      <c r="A586" s="5" t="str">
        <f>IF('FUENTE NO BORRAR'!A604="","",(IF('FUENTE NO BORRAR'!A604&lt;&gt;"Resultado total",'FUENTE NO BORRAR'!A604,"")))</f>
        <v/>
      </c>
      <c r="B586" s="5" t="str">
        <f>IF('FUENTE NO BORRAR'!B604="","",'FUENTE NO BORRAR'!B604)</f>
        <v/>
      </c>
      <c r="C586" s="5" t="str">
        <f>IF('FUENTE NO BORRAR'!C604="","",'FUENTE NO BORRAR'!C604)</f>
        <v/>
      </c>
      <c r="D586" s="5" t="str">
        <f>IF('FUENTE NO BORRAR'!D604="","",'FUENTE NO BORRAR'!D604)</f>
        <v/>
      </c>
      <c r="E586" s="5" t="str">
        <f>IF('FUENTE NO BORRAR'!E604="","",'FUENTE NO BORRAR'!E604)</f>
        <v/>
      </c>
      <c r="F586" s="6">
        <f>IF('FUENTE NO BORRAR'!F604="","",IF('FUENTE NO BORRAR'!$A604&lt;&gt;"Resultado total",('FUENTE NO BORRAR'!F604),""))</f>
        <v>498799.34</v>
      </c>
      <c r="G586" s="6">
        <f>IF('FUENTE NO BORRAR'!G604="","",IF('FUENTE NO BORRAR'!$A604&lt;&gt;"Resultado total",('FUENTE NO BORRAR'!G604),""))</f>
        <v>498799.34</v>
      </c>
      <c r="H586" s="6">
        <f>IF('FUENTE NO BORRAR'!H604="","",IF('FUENTE NO BORRAR'!$A604&lt;&gt;"Resultado total",('FUENTE NO BORRAR'!H604),""))</f>
        <v>281799.65000000002</v>
      </c>
      <c r="I586" s="6">
        <f>IF('FUENTE NO BORRAR'!I604="","",IF('FUENTE NO BORRAR'!$A604&lt;&gt;"Resultado total",('FUENTE NO BORRAR'!I604),""))</f>
        <v>0</v>
      </c>
    </row>
    <row r="587" spans="1:9" x14ac:dyDescent="0.2">
      <c r="A587" s="5" t="str">
        <f>IF('FUENTE NO BORRAR'!A605="","",(IF('FUENTE NO BORRAR'!A605&lt;&gt;"Resultado total",'FUENTE NO BORRAR'!A605,"")))</f>
        <v/>
      </c>
      <c r="B587" s="5" t="str">
        <f>IF('FUENTE NO BORRAR'!B605="","",'FUENTE NO BORRAR'!B605)</f>
        <v/>
      </c>
      <c r="C587" s="5" t="str">
        <f>IF('FUENTE NO BORRAR'!C605="","",'FUENTE NO BORRAR'!C605)</f>
        <v/>
      </c>
      <c r="D587" s="5" t="str">
        <f>IF('FUENTE NO BORRAR'!D605="","",'FUENTE NO BORRAR'!D605)</f>
        <v/>
      </c>
      <c r="E587" s="5" t="str">
        <f>IF('FUENTE NO BORRAR'!E605="","",'FUENTE NO BORRAR'!E605)</f>
        <v/>
      </c>
      <c r="F587" s="6">
        <f>IF('FUENTE NO BORRAR'!F605="","",IF('FUENTE NO BORRAR'!$A605&lt;&gt;"Resultado total",('FUENTE NO BORRAR'!F605),""))</f>
        <v>0</v>
      </c>
      <c r="G587" s="6">
        <f>IF('FUENTE NO BORRAR'!G605="","",IF('FUENTE NO BORRAR'!$A605&lt;&gt;"Resultado total",('FUENTE NO BORRAR'!G605),""))</f>
        <v>0</v>
      </c>
      <c r="H587" s="6">
        <f>IF('FUENTE NO BORRAR'!H605="","",IF('FUENTE NO BORRAR'!$A605&lt;&gt;"Resultado total",('FUENTE NO BORRAR'!H605),""))</f>
        <v>0</v>
      </c>
      <c r="I587" s="6">
        <f>IF('FUENTE NO BORRAR'!I605="","",IF('FUENTE NO BORRAR'!$A605&lt;&gt;"Resultado total",('FUENTE NO BORRAR'!I605),""))</f>
        <v>0</v>
      </c>
    </row>
    <row r="588" spans="1:9" x14ac:dyDescent="0.2">
      <c r="A588" s="5" t="str">
        <f>IF('FUENTE NO BORRAR'!A606="","",(IF('FUENTE NO BORRAR'!A606&lt;&gt;"Resultado total",'FUENTE NO BORRAR'!A606,"")))</f>
        <v/>
      </c>
      <c r="B588" s="5" t="str">
        <f>IF('FUENTE NO BORRAR'!B606="","",'FUENTE NO BORRAR'!B606)</f>
        <v/>
      </c>
      <c r="C588" s="5" t="str">
        <f>IF('FUENTE NO BORRAR'!C606="","",'FUENTE NO BORRAR'!C606)</f>
        <v/>
      </c>
      <c r="D588" s="5" t="str">
        <f>IF('FUENTE NO BORRAR'!D606="","",'FUENTE NO BORRAR'!D606)</f>
        <v/>
      </c>
      <c r="E588" s="5" t="str">
        <f>IF('FUENTE NO BORRAR'!E606="","",'FUENTE NO BORRAR'!E606)</f>
        <v/>
      </c>
      <c r="F588" s="6">
        <f>IF('FUENTE NO BORRAR'!F606="","",IF('FUENTE NO BORRAR'!$A606&lt;&gt;"Resultado total",('FUENTE NO BORRAR'!F606),""))</f>
        <v>3915</v>
      </c>
      <c r="G588" s="6">
        <f>IF('FUENTE NO BORRAR'!G606="","",IF('FUENTE NO BORRAR'!$A606&lt;&gt;"Resultado total",('FUENTE NO BORRAR'!G606),""))</f>
        <v>3915</v>
      </c>
      <c r="H588" s="6">
        <f>IF('FUENTE NO BORRAR'!H606="","",IF('FUENTE NO BORRAR'!$A606&lt;&gt;"Resultado total",('FUENTE NO BORRAR'!H606),""))</f>
        <v>3915</v>
      </c>
      <c r="I588" s="6">
        <f>IF('FUENTE NO BORRAR'!I606="","",IF('FUENTE NO BORRAR'!$A606&lt;&gt;"Resultado total",('FUENTE NO BORRAR'!I606),""))</f>
        <v>0</v>
      </c>
    </row>
    <row r="589" spans="1:9" x14ac:dyDescent="0.2">
      <c r="A589" s="5" t="str">
        <f>IF('FUENTE NO BORRAR'!A607="","",(IF('FUENTE NO BORRAR'!A607&lt;&gt;"Resultado total",'FUENTE NO BORRAR'!A607,"")))</f>
        <v/>
      </c>
      <c r="B589" s="5" t="str">
        <f>IF('FUENTE NO BORRAR'!B607="","",'FUENTE NO BORRAR'!B607)</f>
        <v/>
      </c>
      <c r="C589" s="5" t="str">
        <f>IF('FUENTE NO BORRAR'!C607="","",'FUENTE NO BORRAR'!C607)</f>
        <v/>
      </c>
      <c r="D589" s="5" t="str">
        <f>IF('FUENTE NO BORRAR'!D607="","",'FUENTE NO BORRAR'!D607)</f>
        <v/>
      </c>
      <c r="E589" s="5" t="str">
        <f>IF('FUENTE NO BORRAR'!E607="","",'FUENTE NO BORRAR'!E607)</f>
        <v/>
      </c>
      <c r="F589" s="6">
        <f>IF('FUENTE NO BORRAR'!F607="","",IF('FUENTE NO BORRAR'!$A607&lt;&gt;"Resultado total",('FUENTE NO BORRAR'!F607),""))</f>
        <v>10499.45</v>
      </c>
      <c r="G589" s="6">
        <f>IF('FUENTE NO BORRAR'!G607="","",IF('FUENTE NO BORRAR'!$A607&lt;&gt;"Resultado total",('FUENTE NO BORRAR'!G607),""))</f>
        <v>10499.45</v>
      </c>
      <c r="H589" s="6">
        <f>IF('FUENTE NO BORRAR'!H607="","",IF('FUENTE NO BORRAR'!$A607&lt;&gt;"Resultado total",('FUENTE NO BORRAR'!H607),""))</f>
        <v>10499.45</v>
      </c>
      <c r="I589" s="6">
        <f>IF('FUENTE NO BORRAR'!I607="","",IF('FUENTE NO BORRAR'!$A607&lt;&gt;"Resultado total",('FUENTE NO BORRAR'!I607),""))</f>
        <v>0</v>
      </c>
    </row>
    <row r="590" spans="1:9" x14ac:dyDescent="0.2">
      <c r="A590" s="5" t="str">
        <f>IF('FUENTE NO BORRAR'!A608="","",(IF('FUENTE NO BORRAR'!A608&lt;&gt;"Resultado total",'FUENTE NO BORRAR'!A608,"")))</f>
        <v/>
      </c>
      <c r="B590" s="5" t="str">
        <f>IF('FUENTE NO BORRAR'!B608="","",'FUENTE NO BORRAR'!B608)</f>
        <v/>
      </c>
      <c r="C590" s="5" t="str">
        <f>IF('FUENTE NO BORRAR'!C608="","",'FUENTE NO BORRAR'!C608)</f>
        <v/>
      </c>
      <c r="D590" s="5" t="str">
        <f>IF('FUENTE NO BORRAR'!D608="","",'FUENTE NO BORRAR'!D608)</f>
        <v/>
      </c>
      <c r="E590" s="5" t="str">
        <f>IF('FUENTE NO BORRAR'!E608="","",'FUENTE NO BORRAR'!E608)</f>
        <v/>
      </c>
      <c r="F590" s="6">
        <f>IF('FUENTE NO BORRAR'!F608="","",IF('FUENTE NO BORRAR'!$A608&lt;&gt;"Resultado total",('FUENTE NO BORRAR'!F608),""))</f>
        <v>22518.73</v>
      </c>
      <c r="G590" s="6">
        <f>IF('FUENTE NO BORRAR'!G608="","",IF('FUENTE NO BORRAR'!$A608&lt;&gt;"Resultado total",('FUENTE NO BORRAR'!G608),""))</f>
        <v>22518.73</v>
      </c>
      <c r="H590" s="6">
        <f>IF('FUENTE NO BORRAR'!H608="","",IF('FUENTE NO BORRAR'!$A608&lt;&gt;"Resultado total",('FUENTE NO BORRAR'!H608),""))</f>
        <v>22518.73</v>
      </c>
      <c r="I590" s="6">
        <f>IF('FUENTE NO BORRAR'!I608="","",IF('FUENTE NO BORRAR'!$A608&lt;&gt;"Resultado total",('FUENTE NO BORRAR'!I608),""))</f>
        <v>0</v>
      </c>
    </row>
    <row r="591" spans="1:9" x14ac:dyDescent="0.2">
      <c r="A591" s="5" t="str">
        <f>IF('FUENTE NO BORRAR'!A609="","",(IF('FUENTE NO BORRAR'!A609&lt;&gt;"Resultado total",'FUENTE NO BORRAR'!A609,"")))</f>
        <v/>
      </c>
      <c r="B591" s="5" t="str">
        <f>IF('FUENTE NO BORRAR'!B609="","",'FUENTE NO BORRAR'!B609)</f>
        <v/>
      </c>
      <c r="C591" s="5" t="str">
        <f>IF('FUENTE NO BORRAR'!C609="","",'FUENTE NO BORRAR'!C609)</f>
        <v/>
      </c>
      <c r="D591" s="5" t="str">
        <f>IF('FUENTE NO BORRAR'!D609="","",'FUENTE NO BORRAR'!D609)</f>
        <v/>
      </c>
      <c r="E591" s="5" t="str">
        <f>IF('FUENTE NO BORRAR'!E609="","",'FUENTE NO BORRAR'!E609)</f>
        <v/>
      </c>
      <c r="F591" s="6">
        <f>IF('FUENTE NO BORRAR'!F609="","",IF('FUENTE NO BORRAR'!$A609&lt;&gt;"Resultado total",('FUENTE NO BORRAR'!F609),""))</f>
        <v>90290.33</v>
      </c>
      <c r="G591" s="6">
        <f>IF('FUENTE NO BORRAR'!G609="","",IF('FUENTE NO BORRAR'!$A609&lt;&gt;"Resultado total",('FUENTE NO BORRAR'!G609),""))</f>
        <v>90290.33</v>
      </c>
      <c r="H591" s="6">
        <f>IF('FUENTE NO BORRAR'!H609="","",IF('FUENTE NO BORRAR'!$A609&lt;&gt;"Resultado total",('FUENTE NO BORRAR'!H609),""))</f>
        <v>90290.33</v>
      </c>
      <c r="I591" s="6">
        <f>IF('FUENTE NO BORRAR'!I609="","",IF('FUENTE NO BORRAR'!$A609&lt;&gt;"Resultado total",('FUENTE NO BORRAR'!I609),""))</f>
        <v>0</v>
      </c>
    </row>
    <row r="592" spans="1:9" x14ac:dyDescent="0.2">
      <c r="A592" s="5" t="str">
        <f>IF('FUENTE NO BORRAR'!A610="","",(IF('FUENTE NO BORRAR'!A610&lt;&gt;"Resultado total",'FUENTE NO BORRAR'!A610,"")))</f>
        <v/>
      </c>
      <c r="B592" s="5" t="str">
        <f>IF('FUENTE NO BORRAR'!B610="","",'FUENTE NO BORRAR'!B610)</f>
        <v/>
      </c>
      <c r="C592" s="5" t="str">
        <f>IF('FUENTE NO BORRAR'!C610="","",'FUENTE NO BORRAR'!C610)</f>
        <v/>
      </c>
      <c r="D592" s="5" t="str">
        <f>IF('FUENTE NO BORRAR'!D610="","",'FUENTE NO BORRAR'!D610)</f>
        <v/>
      </c>
      <c r="E592" s="5" t="str">
        <f>IF('FUENTE NO BORRAR'!E610="","",'FUENTE NO BORRAR'!E610)</f>
        <v/>
      </c>
      <c r="F592" s="6">
        <f>IF('FUENTE NO BORRAR'!F610="","",IF('FUENTE NO BORRAR'!$A610&lt;&gt;"Resultado total",('FUENTE NO BORRAR'!F610),""))</f>
        <v>0</v>
      </c>
      <c r="G592" s="6">
        <f>IF('FUENTE NO BORRAR'!G610="","",IF('FUENTE NO BORRAR'!$A610&lt;&gt;"Resultado total",('FUENTE NO BORRAR'!G610),""))</f>
        <v>0</v>
      </c>
      <c r="H592" s="6">
        <f>IF('FUENTE NO BORRAR'!H610="","",IF('FUENTE NO BORRAR'!$A610&lt;&gt;"Resultado total",('FUENTE NO BORRAR'!H610),""))</f>
        <v>0</v>
      </c>
      <c r="I592" s="6">
        <f>IF('FUENTE NO BORRAR'!I610="","",IF('FUENTE NO BORRAR'!$A610&lt;&gt;"Resultado total",('FUENTE NO BORRAR'!I610),""))</f>
        <v>0</v>
      </c>
    </row>
    <row r="593" spans="1:9" x14ac:dyDescent="0.2">
      <c r="A593" s="5" t="str">
        <f>IF('FUENTE NO BORRAR'!A611="","",(IF('FUENTE NO BORRAR'!A611&lt;&gt;"Resultado total",'FUENTE NO BORRAR'!A611,"")))</f>
        <v/>
      </c>
      <c r="B593" s="5" t="str">
        <f>IF('FUENTE NO BORRAR'!B611="","",'FUENTE NO BORRAR'!B611)</f>
        <v/>
      </c>
      <c r="C593" s="5" t="str">
        <f>IF('FUENTE NO BORRAR'!C611="","",'FUENTE NO BORRAR'!C611)</f>
        <v/>
      </c>
      <c r="D593" s="5" t="str">
        <f>IF('FUENTE NO BORRAR'!D611="","",'FUENTE NO BORRAR'!D611)</f>
        <v/>
      </c>
      <c r="E593" s="5" t="str">
        <f>IF('FUENTE NO BORRAR'!E611="","",'FUENTE NO BORRAR'!E611)</f>
        <v/>
      </c>
      <c r="F593" s="6">
        <f>IF('FUENTE NO BORRAR'!F611="","",IF('FUENTE NO BORRAR'!$A611&lt;&gt;"Resultado total",('FUENTE NO BORRAR'!F611),""))</f>
        <v>0</v>
      </c>
      <c r="G593" s="6">
        <f>IF('FUENTE NO BORRAR'!G611="","",IF('FUENTE NO BORRAR'!$A611&lt;&gt;"Resultado total",('FUENTE NO BORRAR'!G611),""))</f>
        <v>0</v>
      </c>
      <c r="H593" s="6">
        <f>IF('FUENTE NO BORRAR'!H611="","",IF('FUENTE NO BORRAR'!$A611&lt;&gt;"Resultado total",('FUENTE NO BORRAR'!H611),""))</f>
        <v>0</v>
      </c>
      <c r="I593" s="6">
        <f>IF('FUENTE NO BORRAR'!I611="","",IF('FUENTE NO BORRAR'!$A611&lt;&gt;"Resultado total",('FUENTE NO BORRAR'!I611),""))</f>
        <v>0</v>
      </c>
    </row>
    <row r="594" spans="1:9" x14ac:dyDescent="0.2">
      <c r="A594" s="5" t="str">
        <f>IF('FUENTE NO BORRAR'!A612="","",(IF('FUENTE NO BORRAR'!A612&lt;&gt;"Resultado total",'FUENTE NO BORRAR'!A612,"")))</f>
        <v/>
      </c>
      <c r="B594" s="5" t="str">
        <f>IF('FUENTE NO BORRAR'!B612="","",'FUENTE NO BORRAR'!B612)</f>
        <v/>
      </c>
      <c r="C594" s="5" t="str">
        <f>IF('FUENTE NO BORRAR'!C612="","",'FUENTE NO BORRAR'!C612)</f>
        <v/>
      </c>
      <c r="D594" s="5" t="str">
        <f>IF('FUENTE NO BORRAR'!D612="","",'FUENTE NO BORRAR'!D612)</f>
        <v/>
      </c>
      <c r="E594" s="5" t="str">
        <f>IF('FUENTE NO BORRAR'!E612="","",'FUENTE NO BORRAR'!E612)</f>
        <v/>
      </c>
      <c r="F594" s="6">
        <f>IF('FUENTE NO BORRAR'!F612="","",IF('FUENTE NO BORRAR'!$A612&lt;&gt;"Resultado total",('FUENTE NO BORRAR'!F612),""))</f>
        <v>6281.21</v>
      </c>
      <c r="G594" s="6">
        <f>IF('FUENTE NO BORRAR'!G612="","",IF('FUENTE NO BORRAR'!$A612&lt;&gt;"Resultado total",('FUENTE NO BORRAR'!G612),""))</f>
        <v>6281.21</v>
      </c>
      <c r="H594" s="6">
        <f>IF('FUENTE NO BORRAR'!H612="","",IF('FUENTE NO BORRAR'!$A612&lt;&gt;"Resultado total",('FUENTE NO BORRAR'!H612),""))</f>
        <v>6281.21</v>
      </c>
      <c r="I594" s="6">
        <f>IF('FUENTE NO BORRAR'!I612="","",IF('FUENTE NO BORRAR'!$A612&lt;&gt;"Resultado total",('FUENTE NO BORRAR'!I612),""))</f>
        <v>0</v>
      </c>
    </row>
    <row r="595" spans="1:9" x14ac:dyDescent="0.2">
      <c r="A595" s="5" t="str">
        <f>IF('FUENTE NO BORRAR'!A613="","",(IF('FUENTE NO BORRAR'!A613&lt;&gt;"Resultado total",'FUENTE NO BORRAR'!A613,"")))</f>
        <v/>
      </c>
      <c r="B595" s="5" t="str">
        <f>IF('FUENTE NO BORRAR'!B613="","",'FUENTE NO BORRAR'!B613)</f>
        <v/>
      </c>
      <c r="C595" s="5" t="str">
        <f>IF('FUENTE NO BORRAR'!C613="","",'FUENTE NO BORRAR'!C613)</f>
        <v/>
      </c>
      <c r="D595" s="5" t="str">
        <f>IF('FUENTE NO BORRAR'!D613="","",'FUENTE NO BORRAR'!D613)</f>
        <v/>
      </c>
      <c r="E595" s="5" t="str">
        <f>IF('FUENTE NO BORRAR'!E613="","",'FUENTE NO BORRAR'!E613)</f>
        <v/>
      </c>
      <c r="F595" s="6">
        <f>IF('FUENTE NO BORRAR'!F613="","",IF('FUENTE NO BORRAR'!$A613&lt;&gt;"Resultado total",('FUENTE NO BORRAR'!F613),""))</f>
        <v>312.60000000000002</v>
      </c>
      <c r="G595" s="6">
        <f>IF('FUENTE NO BORRAR'!G613="","",IF('FUENTE NO BORRAR'!$A613&lt;&gt;"Resultado total",('FUENTE NO BORRAR'!G613),""))</f>
        <v>312.60000000000002</v>
      </c>
      <c r="H595" s="6">
        <f>IF('FUENTE NO BORRAR'!H613="","",IF('FUENTE NO BORRAR'!$A613&lt;&gt;"Resultado total",('FUENTE NO BORRAR'!H613),""))</f>
        <v>312.60000000000002</v>
      </c>
      <c r="I595" s="6">
        <f>IF('FUENTE NO BORRAR'!I613="","",IF('FUENTE NO BORRAR'!$A613&lt;&gt;"Resultado total",('FUENTE NO BORRAR'!I613),""))</f>
        <v>0</v>
      </c>
    </row>
    <row r="596" spans="1:9" x14ac:dyDescent="0.2">
      <c r="A596" s="5" t="str">
        <f>IF('FUENTE NO BORRAR'!A614="","",(IF('FUENTE NO BORRAR'!A614&lt;&gt;"Resultado total",'FUENTE NO BORRAR'!A614,"")))</f>
        <v/>
      </c>
      <c r="B596" s="5" t="str">
        <f>IF('FUENTE NO BORRAR'!B614="","",'FUENTE NO BORRAR'!B614)</f>
        <v/>
      </c>
      <c r="C596" s="5" t="str">
        <f>IF('FUENTE NO BORRAR'!C614="","",'FUENTE NO BORRAR'!C614)</f>
        <v/>
      </c>
      <c r="D596" s="5" t="str">
        <f>IF('FUENTE NO BORRAR'!D614="","",'FUENTE NO BORRAR'!D614)</f>
        <v/>
      </c>
      <c r="E596" s="5" t="str">
        <f>IF('FUENTE NO BORRAR'!E614="","",'FUENTE NO BORRAR'!E614)</f>
        <v/>
      </c>
      <c r="F596" s="6">
        <f>IF('FUENTE NO BORRAR'!F614="","",IF('FUENTE NO BORRAR'!$A614&lt;&gt;"Resultado total",('FUENTE NO BORRAR'!F614),""))</f>
        <v>19024</v>
      </c>
      <c r="G596" s="6">
        <f>IF('FUENTE NO BORRAR'!G614="","",IF('FUENTE NO BORRAR'!$A614&lt;&gt;"Resultado total",('FUENTE NO BORRAR'!G614),""))</f>
        <v>19024</v>
      </c>
      <c r="H596" s="6">
        <f>IF('FUENTE NO BORRAR'!H614="","",IF('FUENTE NO BORRAR'!$A614&lt;&gt;"Resultado total",('FUENTE NO BORRAR'!H614),""))</f>
        <v>0</v>
      </c>
      <c r="I596" s="6">
        <f>IF('FUENTE NO BORRAR'!I614="","",IF('FUENTE NO BORRAR'!$A614&lt;&gt;"Resultado total",('FUENTE NO BORRAR'!I614),""))</f>
        <v>0</v>
      </c>
    </row>
    <row r="597" spans="1:9" x14ac:dyDescent="0.2">
      <c r="A597" s="5" t="str">
        <f>IF('FUENTE NO BORRAR'!A615="","",(IF('FUENTE NO BORRAR'!A615&lt;&gt;"Resultado total",'FUENTE NO BORRAR'!A615,"")))</f>
        <v/>
      </c>
      <c r="B597" s="5" t="str">
        <f>IF('FUENTE NO BORRAR'!B615="","",'FUENTE NO BORRAR'!B615)</f>
        <v/>
      </c>
      <c r="C597" s="5" t="str">
        <f>IF('FUENTE NO BORRAR'!C615="","",'FUENTE NO BORRAR'!C615)</f>
        <v/>
      </c>
      <c r="D597" s="5" t="str">
        <f>IF('FUENTE NO BORRAR'!D615="","",'FUENTE NO BORRAR'!D615)</f>
        <v/>
      </c>
      <c r="E597" s="5" t="str">
        <f>IF('FUENTE NO BORRAR'!E615="","",'FUENTE NO BORRAR'!E615)</f>
        <v/>
      </c>
      <c r="F597" s="6">
        <f>IF('FUENTE NO BORRAR'!F615="","",IF('FUENTE NO BORRAR'!$A615&lt;&gt;"Resultado total",('FUENTE NO BORRAR'!F615),""))</f>
        <v>15670.89</v>
      </c>
      <c r="G597" s="6">
        <f>IF('FUENTE NO BORRAR'!G615="","",IF('FUENTE NO BORRAR'!$A615&lt;&gt;"Resultado total",('FUENTE NO BORRAR'!G615),""))</f>
        <v>15670.89</v>
      </c>
      <c r="H597" s="6">
        <f>IF('FUENTE NO BORRAR'!H615="","",IF('FUENTE NO BORRAR'!$A615&lt;&gt;"Resultado total",('FUENTE NO BORRAR'!H615),""))</f>
        <v>15670.89</v>
      </c>
      <c r="I597" s="6">
        <f>IF('FUENTE NO BORRAR'!I615="","",IF('FUENTE NO BORRAR'!$A615&lt;&gt;"Resultado total",('FUENTE NO BORRAR'!I615),""))</f>
        <v>0</v>
      </c>
    </row>
    <row r="598" spans="1:9" x14ac:dyDescent="0.2">
      <c r="A598" s="5" t="str">
        <f>IF('FUENTE NO BORRAR'!A616="","",(IF('FUENTE NO BORRAR'!A616&lt;&gt;"Resultado total",'FUENTE NO BORRAR'!A616,"")))</f>
        <v/>
      </c>
      <c r="B598" s="5" t="str">
        <f>IF('FUENTE NO BORRAR'!B616="","",'FUENTE NO BORRAR'!B616)</f>
        <v/>
      </c>
      <c r="C598" s="5" t="str">
        <f>IF('FUENTE NO BORRAR'!C616="","",'FUENTE NO BORRAR'!C616)</f>
        <v/>
      </c>
      <c r="D598" s="5" t="str">
        <f>IF('FUENTE NO BORRAR'!D616="","",'FUENTE NO BORRAR'!D616)</f>
        <v/>
      </c>
      <c r="E598" s="5" t="str">
        <f>IF('FUENTE NO BORRAR'!E616="","",'FUENTE NO BORRAR'!E616)</f>
        <v/>
      </c>
      <c r="F598" s="6">
        <f>IF('FUENTE NO BORRAR'!F616="","",IF('FUENTE NO BORRAR'!$A616&lt;&gt;"Resultado total",('FUENTE NO BORRAR'!F616),""))</f>
        <v>1250.48</v>
      </c>
      <c r="G598" s="6">
        <f>IF('FUENTE NO BORRAR'!G616="","",IF('FUENTE NO BORRAR'!$A616&lt;&gt;"Resultado total",('FUENTE NO BORRAR'!G616),""))</f>
        <v>1250.48</v>
      </c>
      <c r="H598" s="6">
        <f>IF('FUENTE NO BORRAR'!H616="","",IF('FUENTE NO BORRAR'!$A616&lt;&gt;"Resultado total",('FUENTE NO BORRAR'!H616),""))</f>
        <v>1250.48</v>
      </c>
      <c r="I598" s="6">
        <f>IF('FUENTE NO BORRAR'!I616="","",IF('FUENTE NO BORRAR'!$A616&lt;&gt;"Resultado total",('FUENTE NO BORRAR'!I616),""))</f>
        <v>0</v>
      </c>
    </row>
    <row r="599" spans="1:9" x14ac:dyDescent="0.2">
      <c r="A599" s="5" t="str">
        <f>IF('FUENTE NO BORRAR'!A617="","",(IF('FUENTE NO BORRAR'!A617&lt;&gt;"Resultado total",'FUENTE NO BORRAR'!A617,"")))</f>
        <v/>
      </c>
      <c r="B599" s="5" t="str">
        <f>IF('FUENTE NO BORRAR'!B617="","",'FUENTE NO BORRAR'!B617)</f>
        <v/>
      </c>
      <c r="C599" s="5" t="str">
        <f>IF('FUENTE NO BORRAR'!C617="","",'FUENTE NO BORRAR'!C617)</f>
        <v/>
      </c>
      <c r="D599" s="5" t="str">
        <f>IF('FUENTE NO BORRAR'!D617="","",'FUENTE NO BORRAR'!D617)</f>
        <v/>
      </c>
      <c r="E599" s="5" t="str">
        <f>IF('FUENTE NO BORRAR'!E617="","",'FUENTE NO BORRAR'!E617)</f>
        <v/>
      </c>
      <c r="F599" s="6">
        <f>IF('FUENTE NO BORRAR'!F617="","",IF('FUENTE NO BORRAR'!$A617&lt;&gt;"Resultado total",('FUENTE NO BORRAR'!F617),""))</f>
        <v>924.99</v>
      </c>
      <c r="G599" s="6">
        <f>IF('FUENTE NO BORRAR'!G617="","",IF('FUENTE NO BORRAR'!$A617&lt;&gt;"Resultado total",('FUENTE NO BORRAR'!G617),""))</f>
        <v>924.99</v>
      </c>
      <c r="H599" s="6">
        <f>IF('FUENTE NO BORRAR'!H617="","",IF('FUENTE NO BORRAR'!$A617&lt;&gt;"Resultado total",('FUENTE NO BORRAR'!H617),""))</f>
        <v>924.99</v>
      </c>
      <c r="I599" s="6">
        <f>IF('FUENTE NO BORRAR'!I617="","",IF('FUENTE NO BORRAR'!$A617&lt;&gt;"Resultado total",('FUENTE NO BORRAR'!I617),""))</f>
        <v>0</v>
      </c>
    </row>
    <row r="600" spans="1:9" x14ac:dyDescent="0.2">
      <c r="A600" s="5" t="str">
        <f>IF('FUENTE NO BORRAR'!A618="","",(IF('FUENTE NO BORRAR'!A618&lt;&gt;"Resultado total",'FUENTE NO BORRAR'!A618,"")))</f>
        <v/>
      </c>
      <c r="B600" s="5" t="str">
        <f>IF('FUENTE NO BORRAR'!B618="","",'FUENTE NO BORRAR'!B618)</f>
        <v/>
      </c>
      <c r="C600" s="5" t="str">
        <f>IF('FUENTE NO BORRAR'!C618="","",'FUENTE NO BORRAR'!C618)</f>
        <v/>
      </c>
      <c r="D600" s="5" t="str">
        <f>IF('FUENTE NO BORRAR'!D618="","",'FUENTE NO BORRAR'!D618)</f>
        <v/>
      </c>
      <c r="E600" s="5" t="str">
        <f>IF('FUENTE NO BORRAR'!E618="","",'FUENTE NO BORRAR'!E618)</f>
        <v/>
      </c>
      <c r="F600" s="6">
        <f>IF('FUENTE NO BORRAR'!F618="","",IF('FUENTE NO BORRAR'!$A618&lt;&gt;"Resultado total",('FUENTE NO BORRAR'!F618),""))</f>
        <v>138.06</v>
      </c>
      <c r="G600" s="6">
        <f>IF('FUENTE NO BORRAR'!G618="","",IF('FUENTE NO BORRAR'!$A618&lt;&gt;"Resultado total",('FUENTE NO BORRAR'!G618),""))</f>
        <v>138.06</v>
      </c>
      <c r="H600" s="6">
        <f>IF('FUENTE NO BORRAR'!H618="","",IF('FUENTE NO BORRAR'!$A618&lt;&gt;"Resultado total",('FUENTE NO BORRAR'!H618),""))</f>
        <v>138.06</v>
      </c>
      <c r="I600" s="6">
        <f>IF('FUENTE NO BORRAR'!I618="","",IF('FUENTE NO BORRAR'!$A618&lt;&gt;"Resultado total",('FUENTE NO BORRAR'!I618),""))</f>
        <v>0</v>
      </c>
    </row>
    <row r="601" spans="1:9" x14ac:dyDescent="0.2">
      <c r="A601" s="5" t="str">
        <f>IF('FUENTE NO BORRAR'!A619="","",(IF('FUENTE NO BORRAR'!A619&lt;&gt;"Resultado total",'FUENTE NO BORRAR'!A619,"")))</f>
        <v/>
      </c>
      <c r="B601" s="5" t="str">
        <f>IF('FUENTE NO BORRAR'!B619="","",'FUENTE NO BORRAR'!B619)</f>
        <v/>
      </c>
      <c r="C601" s="5" t="str">
        <f>IF('FUENTE NO BORRAR'!C619="","",'FUENTE NO BORRAR'!C619)</f>
        <v/>
      </c>
      <c r="D601" s="5" t="str">
        <f>IF('FUENTE NO BORRAR'!D619="","",'FUENTE NO BORRAR'!D619)</f>
        <v/>
      </c>
      <c r="E601" s="5" t="str">
        <f>IF('FUENTE NO BORRAR'!E619="","",'FUENTE NO BORRAR'!E619)</f>
        <v/>
      </c>
      <c r="F601" s="6">
        <f>IF('FUENTE NO BORRAR'!F619="","",IF('FUENTE NO BORRAR'!$A619&lt;&gt;"Resultado total",('FUENTE NO BORRAR'!F619),""))</f>
        <v>3088.07</v>
      </c>
      <c r="G601" s="6">
        <f>IF('FUENTE NO BORRAR'!G619="","",IF('FUENTE NO BORRAR'!$A619&lt;&gt;"Resultado total",('FUENTE NO BORRAR'!G619),""))</f>
        <v>3088.07</v>
      </c>
      <c r="H601" s="6">
        <f>IF('FUENTE NO BORRAR'!H619="","",IF('FUENTE NO BORRAR'!$A619&lt;&gt;"Resultado total",('FUENTE NO BORRAR'!H619),""))</f>
        <v>3088.07</v>
      </c>
      <c r="I601" s="6">
        <f>IF('FUENTE NO BORRAR'!I619="","",IF('FUENTE NO BORRAR'!$A619&lt;&gt;"Resultado total",('FUENTE NO BORRAR'!I619),""))</f>
        <v>0</v>
      </c>
    </row>
    <row r="602" spans="1:9" x14ac:dyDescent="0.2">
      <c r="A602" s="5" t="str">
        <f>IF('FUENTE NO BORRAR'!A620="","",(IF('FUENTE NO BORRAR'!A620&lt;&gt;"Resultado total",'FUENTE NO BORRAR'!A620,"")))</f>
        <v/>
      </c>
      <c r="B602" s="5" t="str">
        <f>IF('FUENTE NO BORRAR'!B620="","",'FUENTE NO BORRAR'!B620)</f>
        <v/>
      </c>
      <c r="C602" s="5" t="str">
        <f>IF('FUENTE NO BORRAR'!C620="","",'FUENTE NO BORRAR'!C620)</f>
        <v/>
      </c>
      <c r="D602" s="5" t="str">
        <f>IF('FUENTE NO BORRAR'!D620="","",'FUENTE NO BORRAR'!D620)</f>
        <v/>
      </c>
      <c r="E602" s="5" t="str">
        <f>IF('FUENTE NO BORRAR'!E620="","",'FUENTE NO BORRAR'!E620)</f>
        <v/>
      </c>
      <c r="F602" s="6">
        <f>IF('FUENTE NO BORRAR'!F620="","",IF('FUENTE NO BORRAR'!$A620&lt;&gt;"Resultado total",('FUENTE NO BORRAR'!F620),""))</f>
        <v>0</v>
      </c>
      <c r="G602" s="6">
        <f>IF('FUENTE NO BORRAR'!G620="","",IF('FUENTE NO BORRAR'!$A620&lt;&gt;"Resultado total",('FUENTE NO BORRAR'!G620),""))</f>
        <v>0</v>
      </c>
      <c r="H602" s="6">
        <f>IF('FUENTE NO BORRAR'!H620="","",IF('FUENTE NO BORRAR'!$A620&lt;&gt;"Resultado total",('FUENTE NO BORRAR'!H620),""))</f>
        <v>0</v>
      </c>
      <c r="I602" s="6">
        <f>IF('FUENTE NO BORRAR'!I620="","",IF('FUENTE NO BORRAR'!$A620&lt;&gt;"Resultado total",('FUENTE NO BORRAR'!I620),""))</f>
        <v>0</v>
      </c>
    </row>
    <row r="603" spans="1:9" x14ac:dyDescent="0.2">
      <c r="A603" s="5" t="str">
        <f>IF('FUENTE NO BORRAR'!A621="","",(IF('FUENTE NO BORRAR'!A621&lt;&gt;"Resultado total",'FUENTE NO BORRAR'!A621,"")))</f>
        <v/>
      </c>
      <c r="B603" s="5" t="str">
        <f>IF('FUENTE NO BORRAR'!B621="","",'FUENTE NO BORRAR'!B621)</f>
        <v/>
      </c>
      <c r="C603" s="5" t="str">
        <f>IF('FUENTE NO BORRAR'!C621="","",'FUENTE NO BORRAR'!C621)</f>
        <v/>
      </c>
      <c r="D603" s="5" t="str">
        <f>IF('FUENTE NO BORRAR'!D621="","",'FUENTE NO BORRAR'!D621)</f>
        <v/>
      </c>
      <c r="E603" s="5" t="str">
        <f>IF('FUENTE NO BORRAR'!E621="","",'FUENTE NO BORRAR'!E621)</f>
        <v/>
      </c>
      <c r="F603" s="6">
        <f>IF('FUENTE NO BORRAR'!F621="","",IF('FUENTE NO BORRAR'!$A621&lt;&gt;"Resultado total",('FUENTE NO BORRAR'!F621),""))</f>
        <v>0</v>
      </c>
      <c r="G603" s="6">
        <f>IF('FUENTE NO BORRAR'!G621="","",IF('FUENTE NO BORRAR'!$A621&lt;&gt;"Resultado total",('FUENTE NO BORRAR'!G621),""))</f>
        <v>0</v>
      </c>
      <c r="H603" s="6">
        <f>IF('FUENTE NO BORRAR'!H621="","",IF('FUENTE NO BORRAR'!$A621&lt;&gt;"Resultado total",('FUENTE NO BORRAR'!H621),""))</f>
        <v>0</v>
      </c>
      <c r="I603" s="6">
        <f>IF('FUENTE NO BORRAR'!I621="","",IF('FUENTE NO BORRAR'!$A621&lt;&gt;"Resultado total",('FUENTE NO BORRAR'!I621),""))</f>
        <v>0</v>
      </c>
    </row>
    <row r="604" spans="1:9" x14ac:dyDescent="0.2">
      <c r="A604" s="5" t="str">
        <f>IF('FUENTE NO BORRAR'!A622="","",(IF('FUENTE NO BORRAR'!A622&lt;&gt;"Resultado total",'FUENTE NO BORRAR'!A622,"")))</f>
        <v/>
      </c>
      <c r="B604" s="5" t="str">
        <f>IF('FUENTE NO BORRAR'!B622="","",'FUENTE NO BORRAR'!B622)</f>
        <v/>
      </c>
      <c r="C604" s="5" t="str">
        <f>IF('FUENTE NO BORRAR'!C622="","",'FUENTE NO BORRAR'!C622)</f>
        <v/>
      </c>
      <c r="D604" s="5" t="str">
        <f>IF('FUENTE NO BORRAR'!D622="","",'FUENTE NO BORRAR'!D622)</f>
        <v/>
      </c>
      <c r="E604" s="5" t="str">
        <f>IF('FUENTE NO BORRAR'!E622="","",'FUENTE NO BORRAR'!E622)</f>
        <v/>
      </c>
      <c r="F604" s="6">
        <f>IF('FUENTE NO BORRAR'!F622="","",IF('FUENTE NO BORRAR'!$A622&lt;&gt;"Resultado total",('FUENTE NO BORRAR'!F622),""))</f>
        <v>0</v>
      </c>
      <c r="G604" s="6">
        <f>IF('FUENTE NO BORRAR'!G622="","",IF('FUENTE NO BORRAR'!$A622&lt;&gt;"Resultado total",('FUENTE NO BORRAR'!G622),""))</f>
        <v>0</v>
      </c>
      <c r="H604" s="6">
        <f>IF('FUENTE NO BORRAR'!H622="","",IF('FUENTE NO BORRAR'!$A622&lt;&gt;"Resultado total",('FUENTE NO BORRAR'!H622),""))</f>
        <v>0</v>
      </c>
      <c r="I604" s="6">
        <f>IF('FUENTE NO BORRAR'!I622="","",IF('FUENTE NO BORRAR'!$A622&lt;&gt;"Resultado total",('FUENTE NO BORRAR'!I622),""))</f>
        <v>0</v>
      </c>
    </row>
    <row r="605" spans="1:9" x14ac:dyDescent="0.2">
      <c r="A605" s="5" t="str">
        <f>IF('FUENTE NO BORRAR'!A623="","",(IF('FUENTE NO BORRAR'!A623&lt;&gt;"Resultado total",'FUENTE NO BORRAR'!A623,"")))</f>
        <v/>
      </c>
      <c r="B605" s="5" t="str">
        <f>IF('FUENTE NO BORRAR'!B623="","",'FUENTE NO BORRAR'!B623)</f>
        <v/>
      </c>
      <c r="C605" s="5" t="str">
        <f>IF('FUENTE NO BORRAR'!C623="","",'FUENTE NO BORRAR'!C623)</f>
        <v/>
      </c>
      <c r="D605" s="5" t="str">
        <f>IF('FUENTE NO BORRAR'!D623="","",'FUENTE NO BORRAR'!D623)</f>
        <v/>
      </c>
      <c r="E605" s="5" t="str">
        <f>IF('FUENTE NO BORRAR'!E623="","",'FUENTE NO BORRAR'!E623)</f>
        <v/>
      </c>
      <c r="F605" s="6">
        <f>IF('FUENTE NO BORRAR'!F623="","",IF('FUENTE NO BORRAR'!$A623&lt;&gt;"Resultado total",('FUENTE NO BORRAR'!F623),""))</f>
        <v>172551.16</v>
      </c>
      <c r="G605" s="6">
        <f>IF('FUENTE NO BORRAR'!G623="","",IF('FUENTE NO BORRAR'!$A623&lt;&gt;"Resultado total",('FUENTE NO BORRAR'!G623),""))</f>
        <v>172551.16</v>
      </c>
      <c r="H605" s="6">
        <f>IF('FUENTE NO BORRAR'!H623="","",IF('FUENTE NO BORRAR'!$A623&lt;&gt;"Resultado total",('FUENTE NO BORRAR'!H623),""))</f>
        <v>69327.399999999994</v>
      </c>
      <c r="I605" s="6">
        <f>IF('FUENTE NO BORRAR'!I623="","",IF('FUENTE NO BORRAR'!$A623&lt;&gt;"Resultado total",('FUENTE NO BORRAR'!I623),""))</f>
        <v>0</v>
      </c>
    </row>
    <row r="606" spans="1:9" x14ac:dyDescent="0.2">
      <c r="A606" s="5" t="str">
        <f>IF('FUENTE NO BORRAR'!A624="","",(IF('FUENTE NO BORRAR'!A624&lt;&gt;"Resultado total",'FUENTE NO BORRAR'!A624,"")))</f>
        <v/>
      </c>
      <c r="B606" s="5" t="str">
        <f>IF('FUENTE NO BORRAR'!B624="","",'FUENTE NO BORRAR'!B624)</f>
        <v/>
      </c>
      <c r="C606" s="5" t="str">
        <f>IF('FUENTE NO BORRAR'!C624="","",'FUENTE NO BORRAR'!C624)</f>
        <v/>
      </c>
      <c r="D606" s="5" t="str">
        <f>IF('FUENTE NO BORRAR'!D624="","",'FUENTE NO BORRAR'!D624)</f>
        <v/>
      </c>
      <c r="E606" s="5" t="str">
        <f>IF('FUENTE NO BORRAR'!E624="","",'FUENTE NO BORRAR'!E624)</f>
        <v/>
      </c>
      <c r="F606" s="6">
        <f>IF('FUENTE NO BORRAR'!F624="","",IF('FUENTE NO BORRAR'!$A624&lt;&gt;"Resultado total",('FUENTE NO BORRAR'!F624),""))</f>
        <v>0</v>
      </c>
      <c r="G606" s="6">
        <f>IF('FUENTE NO BORRAR'!G624="","",IF('FUENTE NO BORRAR'!$A624&lt;&gt;"Resultado total",('FUENTE NO BORRAR'!G624),""))</f>
        <v>0</v>
      </c>
      <c r="H606" s="6">
        <f>IF('FUENTE NO BORRAR'!H624="","",IF('FUENTE NO BORRAR'!$A624&lt;&gt;"Resultado total",('FUENTE NO BORRAR'!H624),""))</f>
        <v>0</v>
      </c>
      <c r="I606" s="6">
        <f>IF('FUENTE NO BORRAR'!I624="","",IF('FUENTE NO BORRAR'!$A624&lt;&gt;"Resultado total",('FUENTE NO BORRAR'!I624),""))</f>
        <v>0</v>
      </c>
    </row>
    <row r="607" spans="1:9" x14ac:dyDescent="0.2">
      <c r="A607" s="5" t="str">
        <f>IF('FUENTE NO BORRAR'!A625="","",(IF('FUENTE NO BORRAR'!A625&lt;&gt;"Resultado total",'FUENTE NO BORRAR'!A625,"")))</f>
        <v/>
      </c>
      <c r="B607" s="5" t="str">
        <f>IF('FUENTE NO BORRAR'!B625="","",'FUENTE NO BORRAR'!B625)</f>
        <v/>
      </c>
      <c r="C607" s="5" t="str">
        <f>IF('FUENTE NO BORRAR'!C625="","",'FUENTE NO BORRAR'!C625)</f>
        <v/>
      </c>
      <c r="D607" s="5" t="str">
        <f>IF('FUENTE NO BORRAR'!D625="","",'FUENTE NO BORRAR'!D625)</f>
        <v/>
      </c>
      <c r="E607" s="5" t="str">
        <f>IF('FUENTE NO BORRAR'!E625="","",'FUENTE NO BORRAR'!E625)</f>
        <v/>
      </c>
      <c r="F607" s="6">
        <f>IF('FUENTE NO BORRAR'!F625="","",IF('FUENTE NO BORRAR'!$A625&lt;&gt;"Resultado total",('FUENTE NO BORRAR'!F625),""))</f>
        <v>52400.959999999999</v>
      </c>
      <c r="G607" s="6">
        <f>IF('FUENTE NO BORRAR'!G625="","",IF('FUENTE NO BORRAR'!$A625&lt;&gt;"Resultado total",('FUENTE NO BORRAR'!G625),""))</f>
        <v>52400.959999999999</v>
      </c>
      <c r="H607" s="6">
        <f>IF('FUENTE NO BORRAR'!H625="","",IF('FUENTE NO BORRAR'!$A625&lt;&gt;"Resultado total",('FUENTE NO BORRAR'!H625),""))</f>
        <v>49262</v>
      </c>
      <c r="I607" s="6">
        <f>IF('FUENTE NO BORRAR'!I625="","",IF('FUENTE NO BORRAR'!$A625&lt;&gt;"Resultado total",('FUENTE NO BORRAR'!I625),""))</f>
        <v>0</v>
      </c>
    </row>
    <row r="608" spans="1:9" x14ac:dyDescent="0.2">
      <c r="A608" s="5" t="str">
        <f>IF('FUENTE NO BORRAR'!A626="","",(IF('FUENTE NO BORRAR'!A626&lt;&gt;"Resultado total",'FUENTE NO BORRAR'!A626,"")))</f>
        <v/>
      </c>
      <c r="B608" s="5" t="str">
        <f>IF('FUENTE NO BORRAR'!B626="","",'FUENTE NO BORRAR'!B626)</f>
        <v/>
      </c>
      <c r="C608" s="5" t="str">
        <f>IF('FUENTE NO BORRAR'!C626="","",'FUENTE NO BORRAR'!C626)</f>
        <v/>
      </c>
      <c r="D608" s="5" t="str">
        <f>IF('FUENTE NO BORRAR'!D626="","",'FUENTE NO BORRAR'!D626)</f>
        <v/>
      </c>
      <c r="E608" s="5" t="str">
        <f>IF('FUENTE NO BORRAR'!E626="","",'FUENTE NO BORRAR'!E626)</f>
        <v/>
      </c>
      <c r="F608" s="6">
        <f>IF('FUENTE NO BORRAR'!F626="","",IF('FUENTE NO BORRAR'!$A626&lt;&gt;"Resultado total",('FUENTE NO BORRAR'!F626),""))</f>
        <v>1160</v>
      </c>
      <c r="G608" s="6">
        <f>IF('FUENTE NO BORRAR'!G626="","",IF('FUENTE NO BORRAR'!$A626&lt;&gt;"Resultado total",('FUENTE NO BORRAR'!G626),""))</f>
        <v>1160</v>
      </c>
      <c r="H608" s="6">
        <f>IF('FUENTE NO BORRAR'!H626="","",IF('FUENTE NO BORRAR'!$A626&lt;&gt;"Resultado total",('FUENTE NO BORRAR'!H626),""))</f>
        <v>1160</v>
      </c>
      <c r="I608" s="6">
        <f>IF('FUENTE NO BORRAR'!I626="","",IF('FUENTE NO BORRAR'!$A626&lt;&gt;"Resultado total",('FUENTE NO BORRAR'!I626),""))</f>
        <v>0</v>
      </c>
    </row>
    <row r="609" spans="1:9" x14ac:dyDescent="0.2">
      <c r="A609" s="5" t="str">
        <f>IF('FUENTE NO BORRAR'!A627="","",(IF('FUENTE NO BORRAR'!A627&lt;&gt;"Resultado total",'FUENTE NO BORRAR'!A627,"")))</f>
        <v/>
      </c>
      <c r="B609" s="5" t="str">
        <f>IF('FUENTE NO BORRAR'!B627="","",'FUENTE NO BORRAR'!B627)</f>
        <v/>
      </c>
      <c r="C609" s="5" t="str">
        <f>IF('FUENTE NO BORRAR'!C627="","",'FUENTE NO BORRAR'!C627)</f>
        <v/>
      </c>
      <c r="D609" s="5" t="str">
        <f>IF('FUENTE NO BORRAR'!D627="","",'FUENTE NO BORRAR'!D627)</f>
        <v/>
      </c>
      <c r="E609" s="5" t="str">
        <f>IF('FUENTE NO BORRAR'!E627="","",'FUENTE NO BORRAR'!E627)</f>
        <v/>
      </c>
      <c r="F609" s="6">
        <f>IF('FUENTE NO BORRAR'!F627="","",IF('FUENTE NO BORRAR'!$A627&lt;&gt;"Resultado total",('FUENTE NO BORRAR'!F627),""))</f>
        <v>3248</v>
      </c>
      <c r="G609" s="6">
        <f>IF('FUENTE NO BORRAR'!G627="","",IF('FUENTE NO BORRAR'!$A627&lt;&gt;"Resultado total",('FUENTE NO BORRAR'!G627),""))</f>
        <v>3248</v>
      </c>
      <c r="H609" s="6">
        <f>IF('FUENTE NO BORRAR'!H627="","",IF('FUENTE NO BORRAR'!$A627&lt;&gt;"Resultado total",('FUENTE NO BORRAR'!H627),""))</f>
        <v>3248</v>
      </c>
      <c r="I609" s="6">
        <f>IF('FUENTE NO BORRAR'!I627="","",IF('FUENTE NO BORRAR'!$A627&lt;&gt;"Resultado total",('FUENTE NO BORRAR'!I627),""))</f>
        <v>0</v>
      </c>
    </row>
    <row r="610" spans="1:9" x14ac:dyDescent="0.2">
      <c r="A610" s="5" t="str">
        <f>IF('FUENTE NO BORRAR'!A628="","",(IF('FUENTE NO BORRAR'!A628&lt;&gt;"Resultado total",'FUENTE NO BORRAR'!A628,"")))</f>
        <v/>
      </c>
      <c r="B610" s="5" t="str">
        <f>IF('FUENTE NO BORRAR'!B628="","",'FUENTE NO BORRAR'!B628)</f>
        <v/>
      </c>
      <c r="C610" s="5" t="str">
        <f>IF('FUENTE NO BORRAR'!C628="","",'FUENTE NO BORRAR'!C628)</f>
        <v/>
      </c>
      <c r="D610" s="5" t="str">
        <f>IF('FUENTE NO BORRAR'!D628="","",'FUENTE NO BORRAR'!D628)</f>
        <v/>
      </c>
      <c r="E610" s="5" t="str">
        <f>IF('FUENTE NO BORRAR'!E628="","",'FUENTE NO BORRAR'!E628)</f>
        <v/>
      </c>
      <c r="F610" s="6">
        <f>IF('FUENTE NO BORRAR'!F628="","",IF('FUENTE NO BORRAR'!$A628&lt;&gt;"Resultado total",('FUENTE NO BORRAR'!F628),""))</f>
        <v>0</v>
      </c>
      <c r="G610" s="6">
        <f>IF('FUENTE NO BORRAR'!G628="","",IF('FUENTE NO BORRAR'!$A628&lt;&gt;"Resultado total",('FUENTE NO BORRAR'!G628),""))</f>
        <v>0</v>
      </c>
      <c r="H610" s="6">
        <f>IF('FUENTE NO BORRAR'!H628="","",IF('FUENTE NO BORRAR'!$A628&lt;&gt;"Resultado total",('FUENTE NO BORRAR'!H628),""))</f>
        <v>0</v>
      </c>
      <c r="I610" s="6">
        <f>IF('FUENTE NO BORRAR'!I628="","",IF('FUENTE NO BORRAR'!$A628&lt;&gt;"Resultado total",('FUENTE NO BORRAR'!I628),""))</f>
        <v>0</v>
      </c>
    </row>
    <row r="611" spans="1:9" x14ac:dyDescent="0.2">
      <c r="A611" s="5" t="str">
        <f>IF('FUENTE NO BORRAR'!A629="","",(IF('FUENTE NO BORRAR'!A629&lt;&gt;"Resultado total",'FUENTE NO BORRAR'!A629,"")))</f>
        <v/>
      </c>
      <c r="B611" s="5" t="str">
        <f>IF('FUENTE NO BORRAR'!B629="","",'FUENTE NO BORRAR'!B629)</f>
        <v/>
      </c>
      <c r="C611" s="5" t="str">
        <f>IF('FUENTE NO BORRAR'!C629="","",'FUENTE NO BORRAR'!C629)</f>
        <v/>
      </c>
      <c r="D611" s="5" t="str">
        <f>IF('FUENTE NO BORRAR'!D629="","",'FUENTE NO BORRAR'!D629)</f>
        <v/>
      </c>
      <c r="E611" s="5" t="str">
        <f>IF('FUENTE NO BORRAR'!E629="","",'FUENTE NO BORRAR'!E629)</f>
        <v/>
      </c>
      <c r="F611" s="6">
        <f>IF('FUENTE NO BORRAR'!F629="","",IF('FUENTE NO BORRAR'!$A629&lt;&gt;"Resultado total",('FUENTE NO BORRAR'!F629),""))</f>
        <v>4595.92</v>
      </c>
      <c r="G611" s="6">
        <f>IF('FUENTE NO BORRAR'!G629="","",IF('FUENTE NO BORRAR'!$A629&lt;&gt;"Resultado total",('FUENTE NO BORRAR'!G629),""))</f>
        <v>4595.92</v>
      </c>
      <c r="H611" s="6">
        <f>IF('FUENTE NO BORRAR'!H629="","",IF('FUENTE NO BORRAR'!$A629&lt;&gt;"Resultado total",('FUENTE NO BORRAR'!H629),""))</f>
        <v>4595.92</v>
      </c>
      <c r="I611" s="6">
        <f>IF('FUENTE NO BORRAR'!I629="","",IF('FUENTE NO BORRAR'!$A629&lt;&gt;"Resultado total",('FUENTE NO BORRAR'!I629),""))</f>
        <v>0</v>
      </c>
    </row>
    <row r="612" spans="1:9" x14ac:dyDescent="0.2">
      <c r="A612" s="5" t="str">
        <f>IF('FUENTE NO BORRAR'!A630="","",(IF('FUENTE NO BORRAR'!A630&lt;&gt;"Resultado total",'FUENTE NO BORRAR'!A630,"")))</f>
        <v/>
      </c>
      <c r="B612" s="5" t="str">
        <f>IF('FUENTE NO BORRAR'!B630="","",'FUENTE NO BORRAR'!B630)</f>
        <v/>
      </c>
      <c r="C612" s="5" t="str">
        <f>IF('FUENTE NO BORRAR'!C630="","",'FUENTE NO BORRAR'!C630)</f>
        <v/>
      </c>
      <c r="D612" s="5" t="str">
        <f>IF('FUENTE NO BORRAR'!D630="","",'FUENTE NO BORRAR'!D630)</f>
        <v/>
      </c>
      <c r="E612" s="5" t="str">
        <f>IF('FUENTE NO BORRAR'!E630="","",'FUENTE NO BORRAR'!E630)</f>
        <v/>
      </c>
      <c r="F612" s="6">
        <f>IF('FUENTE NO BORRAR'!F630="","",IF('FUENTE NO BORRAR'!$A630&lt;&gt;"Resultado total",('FUENTE NO BORRAR'!F630),""))</f>
        <v>9796</v>
      </c>
      <c r="G612" s="6">
        <f>IF('FUENTE NO BORRAR'!G630="","",IF('FUENTE NO BORRAR'!$A630&lt;&gt;"Resultado total",('FUENTE NO BORRAR'!G630),""))</f>
        <v>9796</v>
      </c>
      <c r="H612" s="6">
        <f>IF('FUENTE NO BORRAR'!H630="","",IF('FUENTE NO BORRAR'!$A630&lt;&gt;"Resultado total",('FUENTE NO BORRAR'!H630),""))</f>
        <v>9795.9599999999991</v>
      </c>
      <c r="I612" s="6">
        <f>IF('FUENTE NO BORRAR'!I630="","",IF('FUENTE NO BORRAR'!$A630&lt;&gt;"Resultado total",('FUENTE NO BORRAR'!I630),""))</f>
        <v>0</v>
      </c>
    </row>
    <row r="613" spans="1:9" x14ac:dyDescent="0.2">
      <c r="A613" s="5" t="str">
        <f>IF('FUENTE NO BORRAR'!A631="","",(IF('FUENTE NO BORRAR'!A631&lt;&gt;"Resultado total",'FUENTE NO BORRAR'!A631,"")))</f>
        <v/>
      </c>
      <c r="B613" s="5" t="str">
        <f>IF('FUENTE NO BORRAR'!B631="","",'FUENTE NO BORRAR'!B631)</f>
        <v/>
      </c>
      <c r="C613" s="5" t="str">
        <f>IF('FUENTE NO BORRAR'!C631="","",'FUENTE NO BORRAR'!C631)</f>
        <v/>
      </c>
      <c r="D613" s="5" t="str">
        <f>IF('FUENTE NO BORRAR'!D631="","",'FUENTE NO BORRAR'!D631)</f>
        <v/>
      </c>
      <c r="E613" s="5" t="str">
        <f>IF('FUENTE NO BORRAR'!E631="","",'FUENTE NO BORRAR'!E631)</f>
        <v/>
      </c>
      <c r="F613" s="6">
        <f>IF('FUENTE NO BORRAR'!F631="","",IF('FUENTE NO BORRAR'!$A631&lt;&gt;"Resultado total",('FUENTE NO BORRAR'!F631),""))</f>
        <v>1500</v>
      </c>
      <c r="G613" s="6">
        <f>IF('FUENTE NO BORRAR'!G631="","",IF('FUENTE NO BORRAR'!$A631&lt;&gt;"Resultado total",('FUENTE NO BORRAR'!G631),""))</f>
        <v>1500</v>
      </c>
      <c r="H613" s="6">
        <f>IF('FUENTE NO BORRAR'!H631="","",IF('FUENTE NO BORRAR'!$A631&lt;&gt;"Resultado total",('FUENTE NO BORRAR'!H631),""))</f>
        <v>1500</v>
      </c>
      <c r="I613" s="6">
        <f>IF('FUENTE NO BORRAR'!I631="","",IF('FUENTE NO BORRAR'!$A631&lt;&gt;"Resultado total",('FUENTE NO BORRAR'!I631),""))</f>
        <v>0</v>
      </c>
    </row>
    <row r="614" spans="1:9" x14ac:dyDescent="0.2">
      <c r="A614" s="5" t="str">
        <f>IF('FUENTE NO BORRAR'!A632="","",(IF('FUENTE NO BORRAR'!A632&lt;&gt;"Resultado total",'FUENTE NO BORRAR'!A632,"")))</f>
        <v/>
      </c>
      <c r="B614" s="5" t="str">
        <f>IF('FUENTE NO BORRAR'!B632="","",'FUENTE NO BORRAR'!B632)</f>
        <v/>
      </c>
      <c r="C614" s="5" t="str">
        <f>IF('FUENTE NO BORRAR'!C632="","",'FUENTE NO BORRAR'!C632)</f>
        <v/>
      </c>
      <c r="D614" s="5" t="str">
        <f>IF('FUENTE NO BORRAR'!D632="","",'FUENTE NO BORRAR'!D632)</f>
        <v/>
      </c>
      <c r="E614" s="5" t="str">
        <f>IF('FUENTE NO BORRAR'!E632="","",'FUENTE NO BORRAR'!E632)</f>
        <v/>
      </c>
      <c r="F614" s="6">
        <f>IF('FUENTE NO BORRAR'!F632="","",IF('FUENTE NO BORRAR'!$A632&lt;&gt;"Resultado total",('FUENTE NO BORRAR'!F632),""))</f>
        <v>152789.4</v>
      </c>
      <c r="G614" s="6">
        <f>IF('FUENTE NO BORRAR'!G632="","",IF('FUENTE NO BORRAR'!$A632&lt;&gt;"Resultado total",('FUENTE NO BORRAR'!G632),""))</f>
        <v>152789.4</v>
      </c>
      <c r="H614" s="6">
        <f>IF('FUENTE NO BORRAR'!H632="","",IF('FUENTE NO BORRAR'!$A632&lt;&gt;"Resultado total",('FUENTE NO BORRAR'!H632),""))</f>
        <v>152789.4</v>
      </c>
      <c r="I614" s="6">
        <f>IF('FUENTE NO BORRAR'!I632="","",IF('FUENTE NO BORRAR'!$A632&lt;&gt;"Resultado total",('FUENTE NO BORRAR'!I632),""))</f>
        <v>0</v>
      </c>
    </row>
    <row r="615" spans="1:9" x14ac:dyDescent="0.2">
      <c r="A615" s="5" t="str">
        <f>IF('FUENTE NO BORRAR'!A633="","",(IF('FUENTE NO BORRAR'!A633&lt;&gt;"Resultado total",'FUENTE NO BORRAR'!A633,"")))</f>
        <v/>
      </c>
      <c r="B615" s="5" t="str">
        <f>IF('FUENTE NO BORRAR'!B633="","",'FUENTE NO BORRAR'!B633)</f>
        <v/>
      </c>
      <c r="C615" s="5" t="str">
        <f>IF('FUENTE NO BORRAR'!C633="","",'FUENTE NO BORRAR'!C633)</f>
        <v/>
      </c>
      <c r="D615" s="5" t="str">
        <f>IF('FUENTE NO BORRAR'!D633="","",'FUENTE NO BORRAR'!D633)</f>
        <v/>
      </c>
      <c r="E615" s="5" t="str">
        <f>IF('FUENTE NO BORRAR'!E633="","",'FUENTE NO BORRAR'!E633)</f>
        <v/>
      </c>
      <c r="F615" s="6">
        <f>IF('FUENTE NO BORRAR'!F633="","",IF('FUENTE NO BORRAR'!$A633&lt;&gt;"Resultado total",('FUENTE NO BORRAR'!F633),""))</f>
        <v>134609.70000000001</v>
      </c>
      <c r="G615" s="6">
        <f>IF('FUENTE NO BORRAR'!G633="","",IF('FUENTE NO BORRAR'!$A633&lt;&gt;"Resultado total",('FUENTE NO BORRAR'!G633),""))</f>
        <v>134609.70000000001</v>
      </c>
      <c r="H615" s="6">
        <f>IF('FUENTE NO BORRAR'!H633="","",IF('FUENTE NO BORRAR'!$A633&lt;&gt;"Resultado total",('FUENTE NO BORRAR'!H633),""))</f>
        <v>134609.70000000001</v>
      </c>
      <c r="I615" s="6">
        <f>IF('FUENTE NO BORRAR'!I633="","",IF('FUENTE NO BORRAR'!$A633&lt;&gt;"Resultado total",('FUENTE NO BORRAR'!I633),""))</f>
        <v>0</v>
      </c>
    </row>
    <row r="616" spans="1:9" x14ac:dyDescent="0.2">
      <c r="A616" s="5" t="str">
        <f>IF('FUENTE NO BORRAR'!A634="","",(IF('FUENTE NO BORRAR'!A634&lt;&gt;"Resultado total",'FUENTE NO BORRAR'!A634,"")))</f>
        <v/>
      </c>
      <c r="B616" s="5" t="str">
        <f>IF('FUENTE NO BORRAR'!B634="","",'FUENTE NO BORRAR'!B634)</f>
        <v/>
      </c>
      <c r="C616" s="5" t="str">
        <f>IF('FUENTE NO BORRAR'!C634="","",'FUENTE NO BORRAR'!C634)</f>
        <v/>
      </c>
      <c r="D616" s="5" t="str">
        <f>IF('FUENTE NO BORRAR'!D634="","",'FUENTE NO BORRAR'!D634)</f>
        <v/>
      </c>
      <c r="E616" s="5" t="str">
        <f>IF('FUENTE NO BORRAR'!E634="","",'FUENTE NO BORRAR'!E634)</f>
        <v/>
      </c>
      <c r="F616" s="6">
        <f>IF('FUENTE NO BORRAR'!F634="","",IF('FUENTE NO BORRAR'!$A634&lt;&gt;"Resultado total",('FUENTE NO BORRAR'!F634),""))</f>
        <v>14598.9</v>
      </c>
      <c r="G616" s="6">
        <f>IF('FUENTE NO BORRAR'!G634="","",IF('FUENTE NO BORRAR'!$A634&lt;&gt;"Resultado total",('FUENTE NO BORRAR'!G634),""))</f>
        <v>14598.9</v>
      </c>
      <c r="H616" s="6">
        <f>IF('FUENTE NO BORRAR'!H634="","",IF('FUENTE NO BORRAR'!$A634&lt;&gt;"Resultado total",('FUENTE NO BORRAR'!H634),""))</f>
        <v>14598.9</v>
      </c>
      <c r="I616" s="6">
        <f>IF('FUENTE NO BORRAR'!I634="","",IF('FUENTE NO BORRAR'!$A634&lt;&gt;"Resultado total",('FUENTE NO BORRAR'!I634),""))</f>
        <v>0</v>
      </c>
    </row>
    <row r="617" spans="1:9" x14ac:dyDescent="0.2">
      <c r="A617" s="5" t="str">
        <f>IF('FUENTE NO BORRAR'!A635="","",(IF('FUENTE NO BORRAR'!A635&lt;&gt;"Resultado total",'FUENTE NO BORRAR'!A635,"")))</f>
        <v/>
      </c>
      <c r="B617" s="5" t="str">
        <f>IF('FUENTE NO BORRAR'!B635="","",'FUENTE NO BORRAR'!B635)</f>
        <v/>
      </c>
      <c r="C617" s="5" t="str">
        <f>IF('FUENTE NO BORRAR'!C635="","",'FUENTE NO BORRAR'!C635)</f>
        <v/>
      </c>
      <c r="D617" s="5" t="str">
        <f>IF('FUENTE NO BORRAR'!D635="","",'FUENTE NO BORRAR'!D635)</f>
        <v/>
      </c>
      <c r="E617" s="5" t="str">
        <f>IF('FUENTE NO BORRAR'!E635="","",'FUENTE NO BORRAR'!E635)</f>
        <v/>
      </c>
      <c r="F617" s="6">
        <f>IF('FUENTE NO BORRAR'!F635="","",IF('FUENTE NO BORRAR'!$A635&lt;&gt;"Resultado total",('FUENTE NO BORRAR'!F635),""))</f>
        <v>1000</v>
      </c>
      <c r="G617" s="6">
        <f>IF('FUENTE NO BORRAR'!G635="","",IF('FUENTE NO BORRAR'!$A635&lt;&gt;"Resultado total",('FUENTE NO BORRAR'!G635),""))</f>
        <v>1000</v>
      </c>
      <c r="H617" s="6">
        <f>IF('FUENTE NO BORRAR'!H635="","",IF('FUENTE NO BORRAR'!$A635&lt;&gt;"Resultado total",('FUENTE NO BORRAR'!H635),""))</f>
        <v>1000</v>
      </c>
      <c r="I617" s="6">
        <f>IF('FUENTE NO BORRAR'!I635="","",IF('FUENTE NO BORRAR'!$A635&lt;&gt;"Resultado total",('FUENTE NO BORRAR'!I635),""))</f>
        <v>0</v>
      </c>
    </row>
    <row r="618" spans="1:9" x14ac:dyDescent="0.2">
      <c r="A618" s="5" t="str">
        <f>IF('FUENTE NO BORRAR'!A636="","",(IF('FUENTE NO BORRAR'!A636&lt;&gt;"Resultado total",'FUENTE NO BORRAR'!A636,"")))</f>
        <v/>
      </c>
      <c r="B618" s="5" t="str">
        <f>IF('FUENTE NO BORRAR'!B636="","",'FUENTE NO BORRAR'!B636)</f>
        <v/>
      </c>
      <c r="C618" s="5" t="str">
        <f>IF('FUENTE NO BORRAR'!C636="","",'FUENTE NO BORRAR'!C636)</f>
        <v/>
      </c>
      <c r="D618" s="5" t="str">
        <f>IF('FUENTE NO BORRAR'!D636="","",'FUENTE NO BORRAR'!D636)</f>
        <v/>
      </c>
      <c r="E618" s="5" t="str">
        <f>IF('FUENTE NO BORRAR'!E636="","",'FUENTE NO BORRAR'!E636)</f>
        <v/>
      </c>
      <c r="F618" s="6">
        <f>IF('FUENTE NO BORRAR'!F636="","",IF('FUENTE NO BORRAR'!$A636&lt;&gt;"Resultado total",('FUENTE NO BORRAR'!F636),""))</f>
        <v>122341.2</v>
      </c>
      <c r="G618" s="6">
        <f>IF('FUENTE NO BORRAR'!G636="","",IF('FUENTE NO BORRAR'!$A636&lt;&gt;"Resultado total",('FUENTE NO BORRAR'!G636),""))</f>
        <v>122341.2</v>
      </c>
      <c r="H618" s="6">
        <f>IF('FUENTE NO BORRAR'!H636="","",IF('FUENTE NO BORRAR'!$A636&lt;&gt;"Resultado total",('FUENTE NO BORRAR'!H636),""))</f>
        <v>46276</v>
      </c>
      <c r="I618" s="6">
        <f>IF('FUENTE NO BORRAR'!I636="","",IF('FUENTE NO BORRAR'!$A636&lt;&gt;"Resultado total",('FUENTE NO BORRAR'!I636),""))</f>
        <v>0</v>
      </c>
    </row>
    <row r="619" spans="1:9" x14ac:dyDescent="0.2">
      <c r="A619" s="5" t="str">
        <f>IF('FUENTE NO BORRAR'!A637="","",(IF('FUENTE NO BORRAR'!A637&lt;&gt;"Resultado total",'FUENTE NO BORRAR'!A637,"")))</f>
        <v/>
      </c>
      <c r="B619" s="5" t="str">
        <f>IF('FUENTE NO BORRAR'!B637="","",'FUENTE NO BORRAR'!B637)</f>
        <v/>
      </c>
      <c r="C619" s="5" t="str">
        <f>IF('FUENTE NO BORRAR'!C637="","",'FUENTE NO BORRAR'!C637)</f>
        <v/>
      </c>
      <c r="D619" s="5" t="str">
        <f>IF('FUENTE NO BORRAR'!D637="","",'FUENTE NO BORRAR'!D637)</f>
        <v/>
      </c>
      <c r="E619" s="5" t="str">
        <f>IF('FUENTE NO BORRAR'!E637="","",'FUENTE NO BORRAR'!E637)</f>
        <v/>
      </c>
      <c r="F619" s="6">
        <f>IF('FUENTE NO BORRAR'!F637="","",IF('FUENTE NO BORRAR'!$A637&lt;&gt;"Resultado total",('FUENTE NO BORRAR'!F637),""))</f>
        <v>43420</v>
      </c>
      <c r="G619" s="6">
        <f>IF('FUENTE NO BORRAR'!G637="","",IF('FUENTE NO BORRAR'!$A637&lt;&gt;"Resultado total",('FUENTE NO BORRAR'!G637),""))</f>
        <v>43420</v>
      </c>
      <c r="H619" s="6">
        <f>IF('FUENTE NO BORRAR'!H637="","",IF('FUENTE NO BORRAR'!$A637&lt;&gt;"Resultado total",('FUENTE NO BORRAR'!H637),""))</f>
        <v>43420</v>
      </c>
      <c r="I619" s="6">
        <f>IF('FUENTE NO BORRAR'!I637="","",IF('FUENTE NO BORRAR'!$A637&lt;&gt;"Resultado total",('FUENTE NO BORRAR'!I637),""))</f>
        <v>0</v>
      </c>
    </row>
    <row r="620" spans="1:9" x14ac:dyDescent="0.2">
      <c r="A620" s="5" t="str">
        <f>IF('FUENTE NO BORRAR'!A638="","",(IF('FUENTE NO BORRAR'!A638&lt;&gt;"Resultado total",'FUENTE NO BORRAR'!A638,"")))</f>
        <v/>
      </c>
      <c r="B620" s="5" t="str">
        <f>IF('FUENTE NO BORRAR'!B638="","",'FUENTE NO BORRAR'!B638)</f>
        <v/>
      </c>
      <c r="C620" s="5" t="str">
        <f>IF('FUENTE NO BORRAR'!C638="","",'FUENTE NO BORRAR'!C638)</f>
        <v/>
      </c>
      <c r="D620" s="5" t="str">
        <f>IF('FUENTE NO BORRAR'!D638="","",'FUENTE NO BORRAR'!D638)</f>
        <v/>
      </c>
      <c r="E620" s="5" t="str">
        <f>IF('FUENTE NO BORRAR'!E638="","",'FUENTE NO BORRAR'!E638)</f>
        <v/>
      </c>
      <c r="F620" s="6">
        <f>IF('FUENTE NO BORRAR'!F638="","",IF('FUENTE NO BORRAR'!$A638&lt;&gt;"Resultado total",('FUENTE NO BORRAR'!F638),""))</f>
        <v>747120</v>
      </c>
      <c r="G620" s="6">
        <f>IF('FUENTE NO BORRAR'!G638="","",IF('FUENTE NO BORRAR'!$A638&lt;&gt;"Resultado total",('FUENTE NO BORRAR'!G638),""))</f>
        <v>747120</v>
      </c>
      <c r="H620" s="6">
        <f>IF('FUENTE NO BORRAR'!H638="","",IF('FUENTE NO BORRAR'!$A638&lt;&gt;"Resultado total",('FUENTE NO BORRAR'!H638),""))</f>
        <v>677500</v>
      </c>
      <c r="I620" s="6">
        <f>IF('FUENTE NO BORRAR'!I638="","",IF('FUENTE NO BORRAR'!$A638&lt;&gt;"Resultado total",('FUENTE NO BORRAR'!I638),""))</f>
        <v>0</v>
      </c>
    </row>
    <row r="621" spans="1:9" x14ac:dyDescent="0.2">
      <c r="A621" s="5" t="str">
        <f>IF('FUENTE NO BORRAR'!A639="","",(IF('FUENTE NO BORRAR'!A639&lt;&gt;"Resultado total",'FUENTE NO BORRAR'!A639,"")))</f>
        <v/>
      </c>
      <c r="B621" s="5" t="str">
        <f>IF('FUENTE NO BORRAR'!B639="","",'FUENTE NO BORRAR'!B639)</f>
        <v/>
      </c>
      <c r="C621" s="5" t="str">
        <f>IF('FUENTE NO BORRAR'!C639="","",'FUENTE NO BORRAR'!C639)</f>
        <v>13042121E206</v>
      </c>
      <c r="D621" s="5" t="str">
        <f>IF('FUENTE NO BORRAR'!D639="","",'FUENTE NO BORRAR'!D639)</f>
        <v>13042121E206</v>
      </c>
      <c r="E621" s="5" t="str">
        <f>IF('FUENTE NO BORRAR'!E639="","",'FUENTE NO BORRAR'!E639)</f>
        <v/>
      </c>
      <c r="F621" s="6">
        <f>IF('FUENTE NO BORRAR'!F639="","",IF('FUENTE NO BORRAR'!$A639&lt;&gt;"Resultado total",('FUENTE NO BORRAR'!F639),""))</f>
        <v>176886.76</v>
      </c>
      <c r="G621" s="6">
        <f>IF('FUENTE NO BORRAR'!G639="","",IF('FUENTE NO BORRAR'!$A639&lt;&gt;"Resultado total",('FUENTE NO BORRAR'!G639),""))</f>
        <v>176886.76</v>
      </c>
      <c r="H621" s="6">
        <f>IF('FUENTE NO BORRAR'!H639="","",IF('FUENTE NO BORRAR'!$A639&lt;&gt;"Resultado total",('FUENTE NO BORRAR'!H639),""))</f>
        <v>176886.76</v>
      </c>
      <c r="I621" s="6">
        <f>IF('FUENTE NO BORRAR'!I639="","",IF('FUENTE NO BORRAR'!$A639&lt;&gt;"Resultado total",('FUENTE NO BORRAR'!I639),""))</f>
        <v>0</v>
      </c>
    </row>
    <row r="622" spans="1:9" x14ac:dyDescent="0.2">
      <c r="A622" s="5" t="str">
        <f>IF('FUENTE NO BORRAR'!A640="","",(IF('FUENTE NO BORRAR'!A640&lt;&gt;"Resultado total",'FUENTE NO BORRAR'!A640,"")))</f>
        <v/>
      </c>
      <c r="B622" s="5" t="str">
        <f>IF('FUENTE NO BORRAR'!B640="","",'FUENTE NO BORRAR'!B640)</f>
        <v/>
      </c>
      <c r="C622" s="5" t="str">
        <f>IF('FUENTE NO BORRAR'!C640="","",'FUENTE NO BORRAR'!C640)</f>
        <v/>
      </c>
      <c r="D622" s="5" t="str">
        <f>IF('FUENTE NO BORRAR'!D640="","",'FUENTE NO BORRAR'!D640)</f>
        <v/>
      </c>
      <c r="E622" s="5" t="str">
        <f>IF('FUENTE NO BORRAR'!E640="","",'FUENTE NO BORRAR'!E640)</f>
        <v/>
      </c>
      <c r="F622" s="6">
        <f>IF('FUENTE NO BORRAR'!F640="","",IF('FUENTE NO BORRAR'!$A640&lt;&gt;"Resultado total",('FUENTE NO BORRAR'!F640),""))</f>
        <v>892368.48</v>
      </c>
      <c r="G622" s="6">
        <f>IF('FUENTE NO BORRAR'!G640="","",IF('FUENTE NO BORRAR'!$A640&lt;&gt;"Resultado total",('FUENTE NO BORRAR'!G640),""))</f>
        <v>892368.48</v>
      </c>
      <c r="H622" s="6">
        <f>IF('FUENTE NO BORRAR'!H640="","",IF('FUENTE NO BORRAR'!$A640&lt;&gt;"Resultado total",('FUENTE NO BORRAR'!H640),""))</f>
        <v>827220.5</v>
      </c>
      <c r="I622" s="6">
        <f>IF('FUENTE NO BORRAR'!I640="","",IF('FUENTE NO BORRAR'!$A640&lt;&gt;"Resultado total",('FUENTE NO BORRAR'!I640),""))</f>
        <v>0</v>
      </c>
    </row>
    <row r="623" spans="1:9" x14ac:dyDescent="0.2">
      <c r="A623" s="5" t="str">
        <f>IF('FUENTE NO BORRAR'!A641="","",(IF('FUENTE NO BORRAR'!A641&lt;&gt;"Resultado total",'FUENTE NO BORRAR'!A641,"")))</f>
        <v/>
      </c>
      <c r="B623" s="5" t="str">
        <f>IF('FUENTE NO BORRAR'!B641="","",'FUENTE NO BORRAR'!B641)</f>
        <v/>
      </c>
      <c r="C623" s="5" t="str">
        <f>IF('FUENTE NO BORRAR'!C641="","",'FUENTE NO BORRAR'!C641)</f>
        <v/>
      </c>
      <c r="D623" s="5" t="str">
        <f>IF('FUENTE NO BORRAR'!D641="","",'FUENTE NO BORRAR'!D641)</f>
        <v/>
      </c>
      <c r="E623" s="5" t="str">
        <f>IF('FUENTE NO BORRAR'!E641="","",'FUENTE NO BORRAR'!E641)</f>
        <v/>
      </c>
      <c r="F623" s="6">
        <f>IF('FUENTE NO BORRAR'!F641="","",IF('FUENTE NO BORRAR'!$A641&lt;&gt;"Resultado total",('FUENTE NO BORRAR'!F641),""))</f>
        <v>248300.1</v>
      </c>
      <c r="G623" s="6">
        <f>IF('FUENTE NO BORRAR'!G641="","",IF('FUENTE NO BORRAR'!$A641&lt;&gt;"Resultado total",('FUENTE NO BORRAR'!G641),""))</f>
        <v>248300.1</v>
      </c>
      <c r="H623" s="6">
        <f>IF('FUENTE NO BORRAR'!H641="","",IF('FUENTE NO BORRAR'!$A641&lt;&gt;"Resultado total",('FUENTE NO BORRAR'!H641),""))</f>
        <v>248300.1</v>
      </c>
      <c r="I623" s="6">
        <f>IF('FUENTE NO BORRAR'!I641="","",IF('FUENTE NO BORRAR'!$A641&lt;&gt;"Resultado total",('FUENTE NO BORRAR'!I641),""))</f>
        <v>0</v>
      </c>
    </row>
    <row r="624" spans="1:9" x14ac:dyDescent="0.2">
      <c r="A624" s="5" t="str">
        <f>IF('FUENTE NO BORRAR'!A642="","",(IF('FUENTE NO BORRAR'!A642&lt;&gt;"Resultado total",'FUENTE NO BORRAR'!A642,"")))</f>
        <v/>
      </c>
      <c r="B624" s="5" t="str">
        <f>IF('FUENTE NO BORRAR'!B642="","",'FUENTE NO BORRAR'!B642)</f>
        <v/>
      </c>
      <c r="C624" s="5" t="str">
        <f>IF('FUENTE NO BORRAR'!C642="","",'FUENTE NO BORRAR'!C642)</f>
        <v/>
      </c>
      <c r="D624" s="5" t="str">
        <f>IF('FUENTE NO BORRAR'!D642="","",'FUENTE NO BORRAR'!D642)</f>
        <v/>
      </c>
      <c r="E624" s="5" t="str">
        <f>IF('FUENTE NO BORRAR'!E642="","",'FUENTE NO BORRAR'!E642)</f>
        <v/>
      </c>
      <c r="F624" s="6">
        <f>IF('FUENTE NO BORRAR'!F642="","",IF('FUENTE NO BORRAR'!$A642&lt;&gt;"Resultado total",('FUENTE NO BORRAR'!F642),""))</f>
        <v>8391.6</v>
      </c>
      <c r="G624" s="6">
        <f>IF('FUENTE NO BORRAR'!G642="","",IF('FUENTE NO BORRAR'!$A642&lt;&gt;"Resultado total",('FUENTE NO BORRAR'!G642),""))</f>
        <v>8391.6</v>
      </c>
      <c r="H624" s="6">
        <f>IF('FUENTE NO BORRAR'!H642="","",IF('FUENTE NO BORRAR'!$A642&lt;&gt;"Resultado total",('FUENTE NO BORRAR'!H642),""))</f>
        <v>8391.6</v>
      </c>
      <c r="I624" s="6">
        <f>IF('FUENTE NO BORRAR'!I642="","",IF('FUENTE NO BORRAR'!$A642&lt;&gt;"Resultado total",('FUENTE NO BORRAR'!I642),""))</f>
        <v>0</v>
      </c>
    </row>
    <row r="625" spans="1:9" x14ac:dyDescent="0.2">
      <c r="A625" s="5" t="str">
        <f>IF('FUENTE NO BORRAR'!A643="","",(IF('FUENTE NO BORRAR'!A643&lt;&gt;"Resultado total",'FUENTE NO BORRAR'!A643,"")))</f>
        <v/>
      </c>
      <c r="B625" s="5" t="str">
        <f>IF('FUENTE NO BORRAR'!B643="","",'FUENTE NO BORRAR'!B643)</f>
        <v/>
      </c>
      <c r="C625" s="5" t="str">
        <f>IF('FUENTE NO BORRAR'!C643="","",'FUENTE NO BORRAR'!C643)</f>
        <v/>
      </c>
      <c r="D625" s="5" t="str">
        <f>IF('FUENTE NO BORRAR'!D643="","",'FUENTE NO BORRAR'!D643)</f>
        <v/>
      </c>
      <c r="E625" s="5" t="str">
        <f>IF('FUENTE NO BORRAR'!E643="","",'FUENTE NO BORRAR'!E643)</f>
        <v/>
      </c>
      <c r="F625" s="6">
        <f>IF('FUENTE NO BORRAR'!F643="","",IF('FUENTE NO BORRAR'!$A643&lt;&gt;"Resultado total",('FUENTE NO BORRAR'!F643),""))</f>
        <v>69330.73</v>
      </c>
      <c r="G625" s="6">
        <f>IF('FUENTE NO BORRAR'!G643="","",IF('FUENTE NO BORRAR'!$A643&lt;&gt;"Resultado total",('FUENTE NO BORRAR'!G643),""))</f>
        <v>69330.73</v>
      </c>
      <c r="H625" s="6">
        <f>IF('FUENTE NO BORRAR'!H643="","",IF('FUENTE NO BORRAR'!$A643&lt;&gt;"Resultado total",('FUENTE NO BORRAR'!H643),""))</f>
        <v>69330.73</v>
      </c>
      <c r="I625" s="6">
        <f>IF('FUENTE NO BORRAR'!I643="","",IF('FUENTE NO BORRAR'!$A643&lt;&gt;"Resultado total",('FUENTE NO BORRAR'!I643),""))</f>
        <v>0</v>
      </c>
    </row>
    <row r="626" spans="1:9" x14ac:dyDescent="0.2">
      <c r="A626" s="5" t="str">
        <f>IF('FUENTE NO BORRAR'!A644="","",(IF('FUENTE NO BORRAR'!A644&lt;&gt;"Resultado total",'FUENTE NO BORRAR'!A644,"")))</f>
        <v/>
      </c>
      <c r="B626" s="5" t="str">
        <f>IF('FUENTE NO BORRAR'!B644="","",'FUENTE NO BORRAR'!B644)</f>
        <v/>
      </c>
      <c r="C626" s="5" t="str">
        <f>IF('FUENTE NO BORRAR'!C644="","",'FUENTE NO BORRAR'!C644)</f>
        <v/>
      </c>
      <c r="D626" s="5" t="str">
        <f>IF('FUENTE NO BORRAR'!D644="","",'FUENTE NO BORRAR'!D644)</f>
        <v/>
      </c>
      <c r="E626" s="5" t="str">
        <f>IF('FUENTE NO BORRAR'!E644="","",'FUENTE NO BORRAR'!E644)</f>
        <v/>
      </c>
      <c r="F626" s="6">
        <f>IF('FUENTE NO BORRAR'!F644="","",IF('FUENTE NO BORRAR'!$A644&lt;&gt;"Resultado total",('FUENTE NO BORRAR'!F644),""))</f>
        <v>180940.17</v>
      </c>
      <c r="G626" s="6">
        <f>IF('FUENTE NO BORRAR'!G644="","",IF('FUENTE NO BORRAR'!$A644&lt;&gt;"Resultado total",('FUENTE NO BORRAR'!G644),""))</f>
        <v>180940.17</v>
      </c>
      <c r="H626" s="6">
        <f>IF('FUENTE NO BORRAR'!H644="","",IF('FUENTE NO BORRAR'!$A644&lt;&gt;"Resultado total",('FUENTE NO BORRAR'!H644),""))</f>
        <v>180545.52</v>
      </c>
      <c r="I626" s="6">
        <f>IF('FUENTE NO BORRAR'!I644="","",IF('FUENTE NO BORRAR'!$A644&lt;&gt;"Resultado total",('FUENTE NO BORRAR'!I644),""))</f>
        <v>0</v>
      </c>
    </row>
    <row r="627" spans="1:9" x14ac:dyDescent="0.2">
      <c r="A627" s="5" t="str">
        <f>IF('FUENTE NO BORRAR'!A645="","",(IF('FUENTE NO BORRAR'!A645&lt;&gt;"Resultado total",'FUENTE NO BORRAR'!A645,"")))</f>
        <v/>
      </c>
      <c r="B627" s="5" t="str">
        <f>IF('FUENTE NO BORRAR'!B645="","",'FUENTE NO BORRAR'!B645)</f>
        <v/>
      </c>
      <c r="C627" s="5" t="str">
        <f>IF('FUENTE NO BORRAR'!C645="","",'FUENTE NO BORRAR'!C645)</f>
        <v/>
      </c>
      <c r="D627" s="5" t="str">
        <f>IF('FUENTE NO BORRAR'!D645="","",'FUENTE NO BORRAR'!D645)</f>
        <v/>
      </c>
      <c r="E627" s="5" t="str">
        <f>IF('FUENTE NO BORRAR'!E645="","",'FUENTE NO BORRAR'!E645)</f>
        <v/>
      </c>
      <c r="F627" s="6">
        <f>IF('FUENTE NO BORRAR'!F645="","",IF('FUENTE NO BORRAR'!$A645&lt;&gt;"Resultado total",('FUENTE NO BORRAR'!F645),""))</f>
        <v>332115.59999999998</v>
      </c>
      <c r="G627" s="6">
        <f>IF('FUENTE NO BORRAR'!G645="","",IF('FUENTE NO BORRAR'!$A645&lt;&gt;"Resultado total",('FUENTE NO BORRAR'!G645),""))</f>
        <v>332115.59999999998</v>
      </c>
      <c r="H627" s="6">
        <f>IF('FUENTE NO BORRAR'!H645="","",IF('FUENTE NO BORRAR'!$A645&lt;&gt;"Resultado total",('FUENTE NO BORRAR'!H645),""))</f>
        <v>332115.59999999998</v>
      </c>
      <c r="I627" s="6">
        <f>IF('FUENTE NO BORRAR'!I645="","",IF('FUENTE NO BORRAR'!$A645&lt;&gt;"Resultado total",('FUENTE NO BORRAR'!I645),""))</f>
        <v>0</v>
      </c>
    </row>
    <row r="628" spans="1:9" x14ac:dyDescent="0.2">
      <c r="A628" s="5" t="str">
        <f>IF('FUENTE NO BORRAR'!A646="","",(IF('FUENTE NO BORRAR'!A646&lt;&gt;"Resultado total",'FUENTE NO BORRAR'!A646,"")))</f>
        <v/>
      </c>
      <c r="B628" s="5" t="str">
        <f>IF('FUENTE NO BORRAR'!B646="","",'FUENTE NO BORRAR'!B646)</f>
        <v/>
      </c>
      <c r="C628" s="5" t="str">
        <f>IF('FUENTE NO BORRAR'!C646="","",'FUENTE NO BORRAR'!C646)</f>
        <v/>
      </c>
      <c r="D628" s="5" t="str">
        <f>IF('FUENTE NO BORRAR'!D646="","",'FUENTE NO BORRAR'!D646)</f>
        <v/>
      </c>
      <c r="E628" s="5" t="str">
        <f>IF('FUENTE NO BORRAR'!E646="","",'FUENTE NO BORRAR'!E646)</f>
        <v/>
      </c>
      <c r="F628" s="6">
        <f>IF('FUENTE NO BORRAR'!F646="","",IF('FUENTE NO BORRAR'!$A646&lt;&gt;"Resultado total",('FUENTE NO BORRAR'!F646),""))</f>
        <v>62901.17</v>
      </c>
      <c r="G628" s="6">
        <f>IF('FUENTE NO BORRAR'!G646="","",IF('FUENTE NO BORRAR'!$A646&lt;&gt;"Resultado total",('FUENTE NO BORRAR'!G646),""))</f>
        <v>62901.17</v>
      </c>
      <c r="H628" s="6">
        <f>IF('FUENTE NO BORRAR'!H646="","",IF('FUENTE NO BORRAR'!$A646&lt;&gt;"Resultado total",('FUENTE NO BORRAR'!H646),""))</f>
        <v>62901.17</v>
      </c>
      <c r="I628" s="6">
        <f>IF('FUENTE NO BORRAR'!I646="","",IF('FUENTE NO BORRAR'!$A646&lt;&gt;"Resultado total",('FUENTE NO BORRAR'!I646),""))</f>
        <v>0</v>
      </c>
    </row>
    <row r="629" spans="1:9" x14ac:dyDescent="0.2">
      <c r="A629" s="5" t="str">
        <f>IF('FUENTE NO BORRAR'!A647="","",(IF('FUENTE NO BORRAR'!A647&lt;&gt;"Resultado total",'FUENTE NO BORRAR'!A647,"")))</f>
        <v/>
      </c>
      <c r="B629" s="5" t="str">
        <f>IF('FUENTE NO BORRAR'!B647="","",'FUENTE NO BORRAR'!B647)</f>
        <v/>
      </c>
      <c r="C629" s="5" t="str">
        <f>IF('FUENTE NO BORRAR'!C647="","",'FUENTE NO BORRAR'!C647)</f>
        <v/>
      </c>
      <c r="D629" s="5" t="str">
        <f>IF('FUENTE NO BORRAR'!D647="","",'FUENTE NO BORRAR'!D647)</f>
        <v/>
      </c>
      <c r="E629" s="5" t="str">
        <f>IF('FUENTE NO BORRAR'!E647="","",'FUENTE NO BORRAR'!E647)</f>
        <v/>
      </c>
      <c r="F629" s="6">
        <f>IF('FUENTE NO BORRAR'!F647="","",IF('FUENTE NO BORRAR'!$A647&lt;&gt;"Resultado total",('FUENTE NO BORRAR'!F647),""))</f>
        <v>18423.11</v>
      </c>
      <c r="G629" s="6">
        <f>IF('FUENTE NO BORRAR'!G647="","",IF('FUENTE NO BORRAR'!$A647&lt;&gt;"Resultado total",('FUENTE NO BORRAR'!G647),""))</f>
        <v>18423.11</v>
      </c>
      <c r="H629" s="6">
        <f>IF('FUENTE NO BORRAR'!H647="","",IF('FUENTE NO BORRAR'!$A647&lt;&gt;"Resultado total",('FUENTE NO BORRAR'!H647),""))</f>
        <v>18423.11</v>
      </c>
      <c r="I629" s="6">
        <f>IF('FUENTE NO BORRAR'!I647="","",IF('FUENTE NO BORRAR'!$A647&lt;&gt;"Resultado total",('FUENTE NO BORRAR'!I647),""))</f>
        <v>0</v>
      </c>
    </row>
    <row r="630" spans="1:9" x14ac:dyDescent="0.2">
      <c r="A630" s="5" t="str">
        <f>IF('FUENTE NO BORRAR'!A648="","",(IF('FUENTE NO BORRAR'!A648&lt;&gt;"Resultado total",'FUENTE NO BORRAR'!A648,"")))</f>
        <v/>
      </c>
      <c r="B630" s="5" t="str">
        <f>IF('FUENTE NO BORRAR'!B648="","",'FUENTE NO BORRAR'!B648)</f>
        <v/>
      </c>
      <c r="C630" s="5" t="str">
        <f>IF('FUENTE NO BORRAR'!C648="","",'FUENTE NO BORRAR'!C648)</f>
        <v/>
      </c>
      <c r="D630" s="5" t="str">
        <f>IF('FUENTE NO BORRAR'!D648="","",'FUENTE NO BORRAR'!D648)</f>
        <v/>
      </c>
      <c r="E630" s="5" t="str">
        <f>IF('FUENTE NO BORRAR'!E648="","",'FUENTE NO BORRAR'!E648)</f>
        <v/>
      </c>
      <c r="F630" s="6">
        <f>IF('FUENTE NO BORRAR'!F648="","",IF('FUENTE NO BORRAR'!$A648&lt;&gt;"Resultado total",('FUENTE NO BORRAR'!F648),""))</f>
        <v>8624.35</v>
      </c>
      <c r="G630" s="6">
        <f>IF('FUENTE NO BORRAR'!G648="","",IF('FUENTE NO BORRAR'!$A648&lt;&gt;"Resultado total",('FUENTE NO BORRAR'!G648),""))</f>
        <v>8624.35</v>
      </c>
      <c r="H630" s="6">
        <f>IF('FUENTE NO BORRAR'!H648="","",IF('FUENTE NO BORRAR'!$A648&lt;&gt;"Resultado total",('FUENTE NO BORRAR'!H648),""))</f>
        <v>8624.35</v>
      </c>
      <c r="I630" s="6">
        <f>IF('FUENTE NO BORRAR'!I648="","",IF('FUENTE NO BORRAR'!$A648&lt;&gt;"Resultado total",('FUENTE NO BORRAR'!I648),""))</f>
        <v>0</v>
      </c>
    </row>
    <row r="631" spans="1:9" x14ac:dyDescent="0.2">
      <c r="A631" s="5" t="str">
        <f>IF('FUENTE NO BORRAR'!A649="","",(IF('FUENTE NO BORRAR'!A649&lt;&gt;"Resultado total",'FUENTE NO BORRAR'!A649,"")))</f>
        <v/>
      </c>
      <c r="B631" s="5" t="str">
        <f>IF('FUENTE NO BORRAR'!B649="","",'FUENTE NO BORRAR'!B649)</f>
        <v/>
      </c>
      <c r="C631" s="5" t="str">
        <f>IF('FUENTE NO BORRAR'!C649="","",'FUENTE NO BORRAR'!C649)</f>
        <v/>
      </c>
      <c r="D631" s="5" t="str">
        <f>IF('FUENTE NO BORRAR'!D649="","",'FUENTE NO BORRAR'!D649)</f>
        <v/>
      </c>
      <c r="E631" s="5" t="str">
        <f>IF('FUENTE NO BORRAR'!E649="","",'FUENTE NO BORRAR'!E649)</f>
        <v/>
      </c>
      <c r="F631" s="6">
        <f>IF('FUENTE NO BORRAR'!F649="","",IF('FUENTE NO BORRAR'!$A649&lt;&gt;"Resultado total",('FUENTE NO BORRAR'!F649),""))</f>
        <v>21228.84</v>
      </c>
      <c r="G631" s="6">
        <f>IF('FUENTE NO BORRAR'!G649="","",IF('FUENTE NO BORRAR'!$A649&lt;&gt;"Resultado total",('FUENTE NO BORRAR'!G649),""))</f>
        <v>21228.84</v>
      </c>
      <c r="H631" s="6">
        <f>IF('FUENTE NO BORRAR'!H649="","",IF('FUENTE NO BORRAR'!$A649&lt;&gt;"Resultado total",('FUENTE NO BORRAR'!H649),""))</f>
        <v>21228.84</v>
      </c>
      <c r="I631" s="6">
        <f>IF('FUENTE NO BORRAR'!I649="","",IF('FUENTE NO BORRAR'!$A649&lt;&gt;"Resultado total",('FUENTE NO BORRAR'!I649),""))</f>
        <v>0</v>
      </c>
    </row>
    <row r="632" spans="1:9" x14ac:dyDescent="0.2">
      <c r="A632" s="5" t="str">
        <f>IF('FUENTE NO BORRAR'!A650="","",(IF('FUENTE NO BORRAR'!A650&lt;&gt;"Resultado total",'FUENTE NO BORRAR'!A650,"")))</f>
        <v/>
      </c>
      <c r="B632" s="5" t="str">
        <f>IF('FUENTE NO BORRAR'!B650="","",'FUENTE NO BORRAR'!B650)</f>
        <v/>
      </c>
      <c r="C632" s="5" t="str">
        <f>IF('FUENTE NO BORRAR'!C650="","",'FUENTE NO BORRAR'!C650)</f>
        <v/>
      </c>
      <c r="D632" s="5" t="str">
        <f>IF('FUENTE NO BORRAR'!D650="","",'FUENTE NO BORRAR'!D650)</f>
        <v/>
      </c>
      <c r="E632" s="5" t="str">
        <f>IF('FUENTE NO BORRAR'!E650="","",'FUENTE NO BORRAR'!E650)</f>
        <v/>
      </c>
      <c r="F632" s="6">
        <f>IF('FUENTE NO BORRAR'!F650="","",IF('FUENTE NO BORRAR'!$A650&lt;&gt;"Resultado total",('FUENTE NO BORRAR'!F650),""))</f>
        <v>40610.080000000002</v>
      </c>
      <c r="G632" s="6">
        <f>IF('FUENTE NO BORRAR'!G650="","",IF('FUENTE NO BORRAR'!$A650&lt;&gt;"Resultado total",('FUENTE NO BORRAR'!G650),""))</f>
        <v>40610.080000000002</v>
      </c>
      <c r="H632" s="6">
        <f>IF('FUENTE NO BORRAR'!H650="","",IF('FUENTE NO BORRAR'!$A650&lt;&gt;"Resultado total",('FUENTE NO BORRAR'!H650),""))</f>
        <v>40610.080000000002</v>
      </c>
      <c r="I632" s="6">
        <f>IF('FUENTE NO BORRAR'!I650="","",IF('FUENTE NO BORRAR'!$A650&lt;&gt;"Resultado total",('FUENTE NO BORRAR'!I650),""))</f>
        <v>0</v>
      </c>
    </row>
    <row r="633" spans="1:9" x14ac:dyDescent="0.2">
      <c r="A633" s="5" t="str">
        <f>IF('FUENTE NO BORRAR'!A651="","",(IF('FUENTE NO BORRAR'!A651&lt;&gt;"Resultado total",'FUENTE NO BORRAR'!A651,"")))</f>
        <v/>
      </c>
      <c r="B633" s="5" t="str">
        <f>IF('FUENTE NO BORRAR'!B651="","",'FUENTE NO BORRAR'!B651)</f>
        <v/>
      </c>
      <c r="C633" s="5" t="str">
        <f>IF('FUENTE NO BORRAR'!C651="","",'FUENTE NO BORRAR'!C651)</f>
        <v/>
      </c>
      <c r="D633" s="5" t="str">
        <f>IF('FUENTE NO BORRAR'!D651="","",'FUENTE NO BORRAR'!D651)</f>
        <v/>
      </c>
      <c r="E633" s="5" t="str">
        <f>IF('FUENTE NO BORRAR'!E651="","",'FUENTE NO BORRAR'!E651)</f>
        <v/>
      </c>
      <c r="F633" s="6">
        <f>IF('FUENTE NO BORRAR'!F651="","",IF('FUENTE NO BORRAR'!$A651&lt;&gt;"Resultado total",('FUENTE NO BORRAR'!F651),""))</f>
        <v>64347.8</v>
      </c>
      <c r="G633" s="6">
        <f>IF('FUENTE NO BORRAR'!G651="","",IF('FUENTE NO BORRAR'!$A651&lt;&gt;"Resultado total",('FUENTE NO BORRAR'!G651),""))</f>
        <v>64347.8</v>
      </c>
      <c r="H633" s="6">
        <f>IF('FUENTE NO BORRAR'!H651="","",IF('FUENTE NO BORRAR'!$A651&lt;&gt;"Resultado total",('FUENTE NO BORRAR'!H651),""))</f>
        <v>62613.599999999999</v>
      </c>
      <c r="I633" s="6">
        <f>IF('FUENTE NO BORRAR'!I651="","",IF('FUENTE NO BORRAR'!$A651&lt;&gt;"Resultado total",('FUENTE NO BORRAR'!I651),""))</f>
        <v>0</v>
      </c>
    </row>
    <row r="634" spans="1:9" x14ac:dyDescent="0.2">
      <c r="A634" s="5" t="str">
        <f>IF('FUENTE NO BORRAR'!A652="","",(IF('FUENTE NO BORRAR'!A652&lt;&gt;"Resultado total",'FUENTE NO BORRAR'!A652,"")))</f>
        <v/>
      </c>
      <c r="B634" s="5" t="str">
        <f>IF('FUENTE NO BORRAR'!B652="","",'FUENTE NO BORRAR'!B652)</f>
        <v/>
      </c>
      <c r="C634" s="5" t="str">
        <f>IF('FUENTE NO BORRAR'!C652="","",'FUENTE NO BORRAR'!C652)</f>
        <v/>
      </c>
      <c r="D634" s="5" t="str">
        <f>IF('FUENTE NO BORRAR'!D652="","",'FUENTE NO BORRAR'!D652)</f>
        <v/>
      </c>
      <c r="E634" s="5" t="str">
        <f>IF('FUENTE NO BORRAR'!E652="","",'FUENTE NO BORRAR'!E652)</f>
        <v/>
      </c>
      <c r="F634" s="6">
        <f>IF('FUENTE NO BORRAR'!F652="","",IF('FUENTE NO BORRAR'!$A652&lt;&gt;"Resultado total",('FUENTE NO BORRAR'!F652),""))</f>
        <v>96128.04</v>
      </c>
      <c r="G634" s="6">
        <f>IF('FUENTE NO BORRAR'!G652="","",IF('FUENTE NO BORRAR'!$A652&lt;&gt;"Resultado total",('FUENTE NO BORRAR'!G652),""))</f>
        <v>96128.04</v>
      </c>
      <c r="H634" s="6">
        <f>IF('FUENTE NO BORRAR'!H652="","",IF('FUENTE NO BORRAR'!$A652&lt;&gt;"Resultado total",('FUENTE NO BORRAR'!H652),""))</f>
        <v>96128.04</v>
      </c>
      <c r="I634" s="6">
        <f>IF('FUENTE NO BORRAR'!I652="","",IF('FUENTE NO BORRAR'!$A652&lt;&gt;"Resultado total",('FUENTE NO BORRAR'!I652),""))</f>
        <v>0</v>
      </c>
    </row>
    <row r="635" spans="1:9" x14ac:dyDescent="0.2">
      <c r="A635" s="5" t="str">
        <f>IF('FUENTE NO BORRAR'!A653="","",(IF('FUENTE NO BORRAR'!A653&lt;&gt;"Resultado total",'FUENTE NO BORRAR'!A653,"")))</f>
        <v/>
      </c>
      <c r="B635" s="5" t="str">
        <f>IF('FUENTE NO BORRAR'!B653="","",'FUENTE NO BORRAR'!B653)</f>
        <v/>
      </c>
      <c r="C635" s="5" t="str">
        <f>IF('FUENTE NO BORRAR'!C653="","",'FUENTE NO BORRAR'!C653)</f>
        <v/>
      </c>
      <c r="D635" s="5" t="str">
        <f>IF('FUENTE NO BORRAR'!D653="","",'FUENTE NO BORRAR'!D653)</f>
        <v/>
      </c>
      <c r="E635" s="5" t="str">
        <f>IF('FUENTE NO BORRAR'!E653="","",'FUENTE NO BORRAR'!E653)</f>
        <v/>
      </c>
      <c r="F635" s="6">
        <f>IF('FUENTE NO BORRAR'!F653="","",IF('FUENTE NO BORRAR'!$A653&lt;&gt;"Resultado total",('FUENTE NO BORRAR'!F653),""))</f>
        <v>0</v>
      </c>
      <c r="G635" s="6">
        <f>IF('FUENTE NO BORRAR'!G653="","",IF('FUENTE NO BORRAR'!$A653&lt;&gt;"Resultado total",('FUENTE NO BORRAR'!G653),""))</f>
        <v>0</v>
      </c>
      <c r="H635" s="6">
        <f>IF('FUENTE NO BORRAR'!H653="","",IF('FUENTE NO BORRAR'!$A653&lt;&gt;"Resultado total",('FUENTE NO BORRAR'!H653),""))</f>
        <v>0</v>
      </c>
      <c r="I635" s="6">
        <f>IF('FUENTE NO BORRAR'!I653="","",IF('FUENTE NO BORRAR'!$A653&lt;&gt;"Resultado total",('FUENTE NO BORRAR'!I653),""))</f>
        <v>0</v>
      </c>
    </row>
    <row r="636" spans="1:9" x14ac:dyDescent="0.2">
      <c r="A636" s="5" t="str">
        <f>IF('FUENTE NO BORRAR'!A654="","",(IF('FUENTE NO BORRAR'!A654&lt;&gt;"Resultado total",'FUENTE NO BORRAR'!A654,"")))</f>
        <v/>
      </c>
      <c r="B636" s="5" t="str">
        <f>IF('FUENTE NO BORRAR'!B654="","",'FUENTE NO BORRAR'!B654)</f>
        <v/>
      </c>
      <c r="C636" s="5" t="str">
        <f>IF('FUENTE NO BORRAR'!C654="","",'FUENTE NO BORRAR'!C654)</f>
        <v/>
      </c>
      <c r="D636" s="5" t="str">
        <f>IF('FUENTE NO BORRAR'!D654="","",'FUENTE NO BORRAR'!D654)</f>
        <v/>
      </c>
      <c r="E636" s="5" t="str">
        <f>IF('FUENTE NO BORRAR'!E654="","",'FUENTE NO BORRAR'!E654)</f>
        <v/>
      </c>
      <c r="F636" s="6">
        <f>IF('FUENTE NO BORRAR'!F654="","",IF('FUENTE NO BORRAR'!$A654&lt;&gt;"Resultado total",('FUENTE NO BORRAR'!F654),""))</f>
        <v>0</v>
      </c>
      <c r="G636" s="6">
        <f>IF('FUENTE NO BORRAR'!G654="","",IF('FUENTE NO BORRAR'!$A654&lt;&gt;"Resultado total",('FUENTE NO BORRAR'!G654),""))</f>
        <v>0</v>
      </c>
      <c r="H636" s="6">
        <f>IF('FUENTE NO BORRAR'!H654="","",IF('FUENTE NO BORRAR'!$A654&lt;&gt;"Resultado total",('FUENTE NO BORRAR'!H654),""))</f>
        <v>0</v>
      </c>
      <c r="I636" s="6">
        <f>IF('FUENTE NO BORRAR'!I654="","",IF('FUENTE NO BORRAR'!$A654&lt;&gt;"Resultado total",('FUENTE NO BORRAR'!I654),""))</f>
        <v>0</v>
      </c>
    </row>
    <row r="637" spans="1:9" x14ac:dyDescent="0.2">
      <c r="A637" s="5" t="str">
        <f>IF('FUENTE NO BORRAR'!A655="","",(IF('FUENTE NO BORRAR'!A655&lt;&gt;"Resultado total",'FUENTE NO BORRAR'!A655,"")))</f>
        <v/>
      </c>
      <c r="B637" s="5" t="str">
        <f>IF('FUENTE NO BORRAR'!B655="","",'FUENTE NO BORRAR'!B655)</f>
        <v/>
      </c>
      <c r="C637" s="5" t="str">
        <f>IF('FUENTE NO BORRAR'!C655="","",'FUENTE NO BORRAR'!C655)</f>
        <v/>
      </c>
      <c r="D637" s="5" t="str">
        <f>IF('FUENTE NO BORRAR'!D655="","",'FUENTE NO BORRAR'!D655)</f>
        <v/>
      </c>
      <c r="E637" s="5" t="str">
        <f>IF('FUENTE NO BORRAR'!E655="","",'FUENTE NO BORRAR'!E655)</f>
        <v/>
      </c>
      <c r="F637" s="6">
        <f>IF('FUENTE NO BORRAR'!F655="","",IF('FUENTE NO BORRAR'!$A655&lt;&gt;"Resultado total",('FUENTE NO BORRAR'!F655),""))</f>
        <v>52943.66</v>
      </c>
      <c r="G637" s="6">
        <f>IF('FUENTE NO BORRAR'!G655="","",IF('FUENTE NO BORRAR'!$A655&lt;&gt;"Resultado total",('FUENTE NO BORRAR'!G655),""))</f>
        <v>52943.66</v>
      </c>
      <c r="H637" s="6">
        <f>IF('FUENTE NO BORRAR'!H655="","",IF('FUENTE NO BORRAR'!$A655&lt;&gt;"Resultado total",('FUENTE NO BORRAR'!H655),""))</f>
        <v>52943.66</v>
      </c>
      <c r="I637" s="6">
        <f>IF('FUENTE NO BORRAR'!I655="","",IF('FUENTE NO BORRAR'!$A655&lt;&gt;"Resultado total",('FUENTE NO BORRAR'!I655),""))</f>
        <v>0</v>
      </c>
    </row>
    <row r="638" spans="1:9" x14ac:dyDescent="0.2">
      <c r="A638" s="5" t="str">
        <f>IF('FUENTE NO BORRAR'!A656="","",(IF('FUENTE NO BORRAR'!A656&lt;&gt;"Resultado total",'FUENTE NO BORRAR'!A656,"")))</f>
        <v/>
      </c>
      <c r="B638" s="5" t="str">
        <f>IF('FUENTE NO BORRAR'!B656="","",'FUENTE NO BORRAR'!B656)</f>
        <v/>
      </c>
      <c r="C638" s="5" t="str">
        <f>IF('FUENTE NO BORRAR'!C656="","",'FUENTE NO BORRAR'!C656)</f>
        <v/>
      </c>
      <c r="D638" s="5" t="str">
        <f>IF('FUENTE NO BORRAR'!D656="","",'FUENTE NO BORRAR'!D656)</f>
        <v/>
      </c>
      <c r="E638" s="5" t="str">
        <f>IF('FUENTE NO BORRAR'!E656="","",'FUENTE NO BORRAR'!E656)</f>
        <v/>
      </c>
      <c r="F638" s="6">
        <f>IF('FUENTE NO BORRAR'!F656="","",IF('FUENTE NO BORRAR'!$A656&lt;&gt;"Resultado total",('FUENTE NO BORRAR'!F656),""))</f>
        <v>303.61</v>
      </c>
      <c r="G638" s="6">
        <f>IF('FUENTE NO BORRAR'!G656="","",IF('FUENTE NO BORRAR'!$A656&lt;&gt;"Resultado total",('FUENTE NO BORRAR'!G656),""))</f>
        <v>303.61</v>
      </c>
      <c r="H638" s="6">
        <f>IF('FUENTE NO BORRAR'!H656="","",IF('FUENTE NO BORRAR'!$A656&lt;&gt;"Resultado total",('FUENTE NO BORRAR'!H656),""))</f>
        <v>303.61</v>
      </c>
      <c r="I638" s="6">
        <f>IF('FUENTE NO BORRAR'!I656="","",IF('FUENTE NO BORRAR'!$A656&lt;&gt;"Resultado total",('FUENTE NO BORRAR'!I656),""))</f>
        <v>0</v>
      </c>
    </row>
    <row r="639" spans="1:9" x14ac:dyDescent="0.2">
      <c r="A639" s="5" t="str">
        <f>IF('FUENTE NO BORRAR'!A657="","",(IF('FUENTE NO BORRAR'!A657&lt;&gt;"Resultado total",'FUENTE NO BORRAR'!A657,"")))</f>
        <v/>
      </c>
      <c r="B639" s="5" t="str">
        <f>IF('FUENTE NO BORRAR'!B657="","",'FUENTE NO BORRAR'!B657)</f>
        <v/>
      </c>
      <c r="C639" s="5" t="str">
        <f>IF('FUENTE NO BORRAR'!C657="","",'FUENTE NO BORRAR'!C657)</f>
        <v/>
      </c>
      <c r="D639" s="5" t="str">
        <f>IF('FUENTE NO BORRAR'!D657="","",'FUENTE NO BORRAR'!D657)</f>
        <v/>
      </c>
      <c r="E639" s="5" t="str">
        <f>IF('FUENTE NO BORRAR'!E657="","",'FUENTE NO BORRAR'!E657)</f>
        <v/>
      </c>
      <c r="F639" s="6">
        <f>IF('FUENTE NO BORRAR'!F657="","",IF('FUENTE NO BORRAR'!$A657&lt;&gt;"Resultado total",('FUENTE NO BORRAR'!F657),""))</f>
        <v>39003.660000000003</v>
      </c>
      <c r="G639" s="6">
        <f>IF('FUENTE NO BORRAR'!G657="","",IF('FUENTE NO BORRAR'!$A657&lt;&gt;"Resultado total",('FUENTE NO BORRAR'!G657),""))</f>
        <v>39003.660000000003</v>
      </c>
      <c r="H639" s="6">
        <f>IF('FUENTE NO BORRAR'!H657="","",IF('FUENTE NO BORRAR'!$A657&lt;&gt;"Resultado total",('FUENTE NO BORRAR'!H657),""))</f>
        <v>39003.660000000003</v>
      </c>
      <c r="I639" s="6">
        <f>IF('FUENTE NO BORRAR'!I657="","",IF('FUENTE NO BORRAR'!$A657&lt;&gt;"Resultado total",('FUENTE NO BORRAR'!I657),""))</f>
        <v>0</v>
      </c>
    </row>
    <row r="640" spans="1:9" x14ac:dyDescent="0.2">
      <c r="A640" s="5" t="str">
        <f>IF('FUENTE NO BORRAR'!A658="","",(IF('FUENTE NO BORRAR'!A658&lt;&gt;"Resultado total",'FUENTE NO BORRAR'!A658,"")))</f>
        <v/>
      </c>
      <c r="B640" s="5" t="str">
        <f>IF('FUENTE NO BORRAR'!B658="","",'FUENTE NO BORRAR'!B658)</f>
        <v/>
      </c>
      <c r="C640" s="5" t="str">
        <f>IF('FUENTE NO BORRAR'!C658="","",'FUENTE NO BORRAR'!C658)</f>
        <v/>
      </c>
      <c r="D640" s="5" t="str">
        <f>IF('FUENTE NO BORRAR'!D658="","",'FUENTE NO BORRAR'!D658)</f>
        <v/>
      </c>
      <c r="E640" s="5" t="str">
        <f>IF('FUENTE NO BORRAR'!E658="","",'FUENTE NO BORRAR'!E658)</f>
        <v/>
      </c>
      <c r="F640" s="6">
        <f>IF('FUENTE NO BORRAR'!F658="","",IF('FUENTE NO BORRAR'!$A658&lt;&gt;"Resultado total",('FUENTE NO BORRAR'!F658),""))</f>
        <v>78348.02</v>
      </c>
      <c r="G640" s="6">
        <f>IF('FUENTE NO BORRAR'!G658="","",IF('FUENTE NO BORRAR'!$A658&lt;&gt;"Resultado total",('FUENTE NO BORRAR'!G658),""))</f>
        <v>78348.02</v>
      </c>
      <c r="H640" s="6">
        <f>IF('FUENTE NO BORRAR'!H658="","",IF('FUENTE NO BORRAR'!$A658&lt;&gt;"Resultado total",('FUENTE NO BORRAR'!H658),""))</f>
        <v>78347.990000000005</v>
      </c>
      <c r="I640" s="6">
        <f>IF('FUENTE NO BORRAR'!I658="","",IF('FUENTE NO BORRAR'!$A658&lt;&gt;"Resultado total",('FUENTE NO BORRAR'!I658),""))</f>
        <v>0</v>
      </c>
    </row>
    <row r="641" spans="1:9" x14ac:dyDescent="0.2">
      <c r="A641" s="5" t="str">
        <f>IF('FUENTE NO BORRAR'!A659="","",(IF('FUENTE NO BORRAR'!A659&lt;&gt;"Resultado total",'FUENTE NO BORRAR'!A659,"")))</f>
        <v/>
      </c>
      <c r="B641" s="5" t="str">
        <f>IF('FUENTE NO BORRAR'!B659="","",'FUENTE NO BORRAR'!B659)</f>
        <v/>
      </c>
      <c r="C641" s="5" t="str">
        <f>IF('FUENTE NO BORRAR'!C659="","",'FUENTE NO BORRAR'!C659)</f>
        <v/>
      </c>
      <c r="D641" s="5" t="str">
        <f>IF('FUENTE NO BORRAR'!D659="","",'FUENTE NO BORRAR'!D659)</f>
        <v/>
      </c>
      <c r="E641" s="5" t="str">
        <f>IF('FUENTE NO BORRAR'!E659="","",'FUENTE NO BORRAR'!E659)</f>
        <v/>
      </c>
      <c r="F641" s="6">
        <f>IF('FUENTE NO BORRAR'!F659="","",IF('FUENTE NO BORRAR'!$A659&lt;&gt;"Resultado total",('FUENTE NO BORRAR'!F659),""))</f>
        <v>974</v>
      </c>
      <c r="G641" s="6">
        <f>IF('FUENTE NO BORRAR'!G659="","",IF('FUENTE NO BORRAR'!$A659&lt;&gt;"Resultado total",('FUENTE NO BORRAR'!G659),""))</f>
        <v>974</v>
      </c>
      <c r="H641" s="6">
        <f>IF('FUENTE NO BORRAR'!H659="","",IF('FUENTE NO BORRAR'!$A659&lt;&gt;"Resultado total",('FUENTE NO BORRAR'!H659),""))</f>
        <v>974</v>
      </c>
      <c r="I641" s="6">
        <f>IF('FUENTE NO BORRAR'!I659="","",IF('FUENTE NO BORRAR'!$A659&lt;&gt;"Resultado total",('FUENTE NO BORRAR'!I659),""))</f>
        <v>0</v>
      </c>
    </row>
    <row r="642" spans="1:9" x14ac:dyDescent="0.2">
      <c r="A642" s="5" t="str">
        <f>IF('FUENTE NO BORRAR'!A660="","",(IF('FUENTE NO BORRAR'!A660&lt;&gt;"Resultado total",'FUENTE NO BORRAR'!A660,"")))</f>
        <v/>
      </c>
      <c r="B642" s="5" t="str">
        <f>IF('FUENTE NO BORRAR'!B660="","",'FUENTE NO BORRAR'!B660)</f>
        <v/>
      </c>
      <c r="C642" s="5" t="str">
        <f>IF('FUENTE NO BORRAR'!C660="","",'FUENTE NO BORRAR'!C660)</f>
        <v/>
      </c>
      <c r="D642" s="5" t="str">
        <f>IF('FUENTE NO BORRAR'!D660="","",'FUENTE NO BORRAR'!D660)</f>
        <v/>
      </c>
      <c r="E642" s="5" t="str">
        <f>IF('FUENTE NO BORRAR'!E660="","",'FUENTE NO BORRAR'!E660)</f>
        <v/>
      </c>
      <c r="F642" s="6">
        <f>IF('FUENTE NO BORRAR'!F660="","",IF('FUENTE NO BORRAR'!$A660&lt;&gt;"Resultado total",('FUENTE NO BORRAR'!F660),""))</f>
        <v>105749.31</v>
      </c>
      <c r="G642" s="6">
        <f>IF('FUENTE NO BORRAR'!G660="","",IF('FUENTE NO BORRAR'!$A660&lt;&gt;"Resultado total",('FUENTE NO BORRAR'!G660),""))</f>
        <v>105749.31</v>
      </c>
      <c r="H642" s="6">
        <f>IF('FUENTE NO BORRAR'!H660="","",IF('FUENTE NO BORRAR'!$A660&lt;&gt;"Resultado total",('FUENTE NO BORRAR'!H660),""))</f>
        <v>105749.31</v>
      </c>
      <c r="I642" s="6">
        <f>IF('FUENTE NO BORRAR'!I660="","",IF('FUENTE NO BORRAR'!$A660&lt;&gt;"Resultado total",('FUENTE NO BORRAR'!I660),""))</f>
        <v>0</v>
      </c>
    </row>
    <row r="643" spans="1:9" x14ac:dyDescent="0.2">
      <c r="A643" s="5" t="str">
        <f>IF('FUENTE NO BORRAR'!A661="","",(IF('FUENTE NO BORRAR'!A661&lt;&gt;"Resultado total",'FUENTE NO BORRAR'!A661,"")))</f>
        <v/>
      </c>
      <c r="B643" s="5" t="str">
        <f>IF('FUENTE NO BORRAR'!B661="","",'FUENTE NO BORRAR'!B661)</f>
        <v/>
      </c>
      <c r="C643" s="5" t="str">
        <f>IF('FUENTE NO BORRAR'!C661="","",'FUENTE NO BORRAR'!C661)</f>
        <v/>
      </c>
      <c r="D643" s="5" t="str">
        <f>IF('FUENTE NO BORRAR'!D661="","",'FUENTE NO BORRAR'!D661)</f>
        <v/>
      </c>
      <c r="E643" s="5" t="str">
        <f>IF('FUENTE NO BORRAR'!E661="","",'FUENTE NO BORRAR'!E661)</f>
        <v/>
      </c>
      <c r="F643" s="6">
        <f>IF('FUENTE NO BORRAR'!F661="","",IF('FUENTE NO BORRAR'!$A661&lt;&gt;"Resultado total",('FUENTE NO BORRAR'!F661),""))</f>
        <v>99</v>
      </c>
      <c r="G643" s="6">
        <f>IF('FUENTE NO BORRAR'!G661="","",IF('FUENTE NO BORRAR'!$A661&lt;&gt;"Resultado total",('FUENTE NO BORRAR'!G661),""))</f>
        <v>99</v>
      </c>
      <c r="H643" s="6">
        <f>IF('FUENTE NO BORRAR'!H661="","",IF('FUENTE NO BORRAR'!$A661&lt;&gt;"Resultado total",('FUENTE NO BORRAR'!H661),""))</f>
        <v>99</v>
      </c>
      <c r="I643" s="6">
        <f>IF('FUENTE NO BORRAR'!I661="","",IF('FUENTE NO BORRAR'!$A661&lt;&gt;"Resultado total",('FUENTE NO BORRAR'!I661),""))</f>
        <v>0</v>
      </c>
    </row>
    <row r="644" spans="1:9" x14ac:dyDescent="0.2">
      <c r="A644" s="5" t="str">
        <f>IF('FUENTE NO BORRAR'!A662="","",(IF('FUENTE NO BORRAR'!A662&lt;&gt;"Resultado total",'FUENTE NO BORRAR'!A662,"")))</f>
        <v/>
      </c>
      <c r="B644" s="5" t="str">
        <f>IF('FUENTE NO BORRAR'!B662="","",'FUENTE NO BORRAR'!B662)</f>
        <v/>
      </c>
      <c r="C644" s="5" t="str">
        <f>IF('FUENTE NO BORRAR'!C662="","",'FUENTE NO BORRAR'!C662)</f>
        <v/>
      </c>
      <c r="D644" s="5" t="str">
        <f>IF('FUENTE NO BORRAR'!D662="","",'FUENTE NO BORRAR'!D662)</f>
        <v/>
      </c>
      <c r="E644" s="5" t="str">
        <f>IF('FUENTE NO BORRAR'!E662="","",'FUENTE NO BORRAR'!E662)</f>
        <v/>
      </c>
      <c r="F644" s="6">
        <f>IF('FUENTE NO BORRAR'!F662="","",IF('FUENTE NO BORRAR'!$A662&lt;&gt;"Resultado total",('FUENTE NO BORRAR'!F662),""))</f>
        <v>0</v>
      </c>
      <c r="G644" s="6">
        <f>IF('FUENTE NO BORRAR'!G662="","",IF('FUENTE NO BORRAR'!$A662&lt;&gt;"Resultado total",('FUENTE NO BORRAR'!G662),""))</f>
        <v>0</v>
      </c>
      <c r="H644" s="6">
        <f>IF('FUENTE NO BORRAR'!H662="","",IF('FUENTE NO BORRAR'!$A662&lt;&gt;"Resultado total",('FUENTE NO BORRAR'!H662),""))</f>
        <v>0</v>
      </c>
      <c r="I644" s="6">
        <f>IF('FUENTE NO BORRAR'!I662="","",IF('FUENTE NO BORRAR'!$A662&lt;&gt;"Resultado total",('FUENTE NO BORRAR'!I662),""))</f>
        <v>0</v>
      </c>
    </row>
    <row r="645" spans="1:9" x14ac:dyDescent="0.2">
      <c r="A645" s="5" t="str">
        <f>IF('FUENTE NO BORRAR'!A663="","",(IF('FUENTE NO BORRAR'!A663&lt;&gt;"Resultado total",'FUENTE NO BORRAR'!A663,"")))</f>
        <v/>
      </c>
      <c r="B645" s="5" t="str">
        <f>IF('FUENTE NO BORRAR'!B663="","",'FUENTE NO BORRAR'!B663)</f>
        <v/>
      </c>
      <c r="C645" s="5" t="str">
        <f>IF('FUENTE NO BORRAR'!C663="","",'FUENTE NO BORRAR'!C663)</f>
        <v/>
      </c>
      <c r="D645" s="5" t="str">
        <f>IF('FUENTE NO BORRAR'!D663="","",'FUENTE NO BORRAR'!D663)</f>
        <v/>
      </c>
      <c r="E645" s="5" t="str">
        <f>IF('FUENTE NO BORRAR'!E663="","",'FUENTE NO BORRAR'!E663)</f>
        <v/>
      </c>
      <c r="F645" s="6">
        <f>IF('FUENTE NO BORRAR'!F663="","",IF('FUENTE NO BORRAR'!$A663&lt;&gt;"Resultado total",('FUENTE NO BORRAR'!F663),""))</f>
        <v>9147.84</v>
      </c>
      <c r="G645" s="6">
        <f>IF('FUENTE NO BORRAR'!G663="","",IF('FUENTE NO BORRAR'!$A663&lt;&gt;"Resultado total",('FUENTE NO BORRAR'!G663),""))</f>
        <v>9147.84</v>
      </c>
      <c r="H645" s="6">
        <f>IF('FUENTE NO BORRAR'!H663="","",IF('FUENTE NO BORRAR'!$A663&lt;&gt;"Resultado total",('FUENTE NO BORRAR'!H663),""))</f>
        <v>0</v>
      </c>
      <c r="I645" s="6">
        <f>IF('FUENTE NO BORRAR'!I663="","",IF('FUENTE NO BORRAR'!$A663&lt;&gt;"Resultado total",('FUENTE NO BORRAR'!I663),""))</f>
        <v>0</v>
      </c>
    </row>
    <row r="646" spans="1:9" x14ac:dyDescent="0.2">
      <c r="A646" s="5" t="str">
        <f>IF('FUENTE NO BORRAR'!A664="","",(IF('FUENTE NO BORRAR'!A664&lt;&gt;"Resultado total",'FUENTE NO BORRAR'!A664,"")))</f>
        <v/>
      </c>
      <c r="B646" s="5" t="str">
        <f>IF('FUENTE NO BORRAR'!B664="","",'FUENTE NO BORRAR'!B664)</f>
        <v/>
      </c>
      <c r="C646" s="5" t="str">
        <f>IF('FUENTE NO BORRAR'!C664="","",'FUENTE NO BORRAR'!C664)</f>
        <v/>
      </c>
      <c r="D646" s="5" t="str">
        <f>IF('FUENTE NO BORRAR'!D664="","",'FUENTE NO BORRAR'!D664)</f>
        <v/>
      </c>
      <c r="E646" s="5" t="str">
        <f>IF('FUENTE NO BORRAR'!E664="","",'FUENTE NO BORRAR'!E664)</f>
        <v/>
      </c>
      <c r="F646" s="6">
        <f>IF('FUENTE NO BORRAR'!F664="","",IF('FUENTE NO BORRAR'!$A664&lt;&gt;"Resultado total",('FUENTE NO BORRAR'!F664),""))</f>
        <v>2075.98</v>
      </c>
      <c r="G646" s="6">
        <f>IF('FUENTE NO BORRAR'!G664="","",IF('FUENTE NO BORRAR'!$A664&lt;&gt;"Resultado total",('FUENTE NO BORRAR'!G664),""))</f>
        <v>2075.98</v>
      </c>
      <c r="H646" s="6">
        <f>IF('FUENTE NO BORRAR'!H664="","",IF('FUENTE NO BORRAR'!$A664&lt;&gt;"Resultado total",('FUENTE NO BORRAR'!H664),""))</f>
        <v>2075.98</v>
      </c>
      <c r="I646" s="6">
        <f>IF('FUENTE NO BORRAR'!I664="","",IF('FUENTE NO BORRAR'!$A664&lt;&gt;"Resultado total",('FUENTE NO BORRAR'!I664),""))</f>
        <v>0</v>
      </c>
    </row>
    <row r="647" spans="1:9" x14ac:dyDescent="0.2">
      <c r="A647" s="5" t="str">
        <f>IF('FUENTE NO BORRAR'!A665="","",(IF('FUENTE NO BORRAR'!A665&lt;&gt;"Resultado total",'FUENTE NO BORRAR'!A665,"")))</f>
        <v/>
      </c>
      <c r="B647" s="5" t="str">
        <f>IF('FUENTE NO BORRAR'!B665="","",'FUENTE NO BORRAR'!B665)</f>
        <v/>
      </c>
      <c r="C647" s="5" t="str">
        <f>IF('FUENTE NO BORRAR'!C665="","",'FUENTE NO BORRAR'!C665)</f>
        <v/>
      </c>
      <c r="D647" s="5" t="str">
        <f>IF('FUENTE NO BORRAR'!D665="","",'FUENTE NO BORRAR'!D665)</f>
        <v/>
      </c>
      <c r="E647" s="5" t="str">
        <f>IF('FUENTE NO BORRAR'!E665="","",'FUENTE NO BORRAR'!E665)</f>
        <v/>
      </c>
      <c r="F647" s="6">
        <f>IF('FUENTE NO BORRAR'!F665="","",IF('FUENTE NO BORRAR'!$A665&lt;&gt;"Resultado total",('FUENTE NO BORRAR'!F665),""))</f>
        <v>30242</v>
      </c>
      <c r="G647" s="6">
        <f>IF('FUENTE NO BORRAR'!G665="","",IF('FUENTE NO BORRAR'!$A665&lt;&gt;"Resultado total",('FUENTE NO BORRAR'!G665),""))</f>
        <v>30242</v>
      </c>
      <c r="H647" s="6">
        <f>IF('FUENTE NO BORRAR'!H665="","",IF('FUENTE NO BORRAR'!$A665&lt;&gt;"Resultado total",('FUENTE NO BORRAR'!H665),""))</f>
        <v>30242.01</v>
      </c>
      <c r="I647" s="6">
        <f>IF('FUENTE NO BORRAR'!I665="","",IF('FUENTE NO BORRAR'!$A665&lt;&gt;"Resultado total",('FUENTE NO BORRAR'!I665),""))</f>
        <v>0</v>
      </c>
    </row>
    <row r="648" spans="1:9" x14ac:dyDescent="0.2">
      <c r="A648" s="5" t="str">
        <f>IF('FUENTE NO BORRAR'!A666="","",(IF('FUENTE NO BORRAR'!A666&lt;&gt;"Resultado total",'FUENTE NO BORRAR'!A666,"")))</f>
        <v/>
      </c>
      <c r="B648" s="5" t="str">
        <f>IF('FUENTE NO BORRAR'!B666="","",'FUENTE NO BORRAR'!B666)</f>
        <v/>
      </c>
      <c r="C648" s="5" t="str">
        <f>IF('FUENTE NO BORRAR'!C666="","",'FUENTE NO BORRAR'!C666)</f>
        <v/>
      </c>
      <c r="D648" s="5" t="str">
        <f>IF('FUENTE NO BORRAR'!D666="","",'FUENTE NO BORRAR'!D666)</f>
        <v/>
      </c>
      <c r="E648" s="5" t="str">
        <f>IF('FUENTE NO BORRAR'!E666="","",'FUENTE NO BORRAR'!E666)</f>
        <v/>
      </c>
      <c r="F648" s="6">
        <f>IF('FUENTE NO BORRAR'!F666="","",IF('FUENTE NO BORRAR'!$A666&lt;&gt;"Resultado total",('FUENTE NO BORRAR'!F666),""))</f>
        <v>0</v>
      </c>
      <c r="G648" s="6">
        <f>IF('FUENTE NO BORRAR'!G666="","",IF('FUENTE NO BORRAR'!$A666&lt;&gt;"Resultado total",('FUENTE NO BORRAR'!G666),""))</f>
        <v>0</v>
      </c>
      <c r="H648" s="6">
        <f>IF('FUENTE NO BORRAR'!H666="","",IF('FUENTE NO BORRAR'!$A666&lt;&gt;"Resultado total",('FUENTE NO BORRAR'!H666),""))</f>
        <v>0</v>
      </c>
      <c r="I648" s="6">
        <f>IF('FUENTE NO BORRAR'!I666="","",IF('FUENTE NO BORRAR'!$A666&lt;&gt;"Resultado total",('FUENTE NO BORRAR'!I666),""))</f>
        <v>0</v>
      </c>
    </row>
    <row r="649" spans="1:9" x14ac:dyDescent="0.2">
      <c r="A649" s="5" t="str">
        <f>IF('FUENTE NO BORRAR'!A667="","",(IF('FUENTE NO BORRAR'!A667&lt;&gt;"Resultado total",'FUENTE NO BORRAR'!A667,"")))</f>
        <v/>
      </c>
      <c r="B649" s="5" t="str">
        <f>IF('FUENTE NO BORRAR'!B667="","",'FUENTE NO BORRAR'!B667)</f>
        <v/>
      </c>
      <c r="C649" s="5" t="str">
        <f>IF('FUENTE NO BORRAR'!C667="","",'FUENTE NO BORRAR'!C667)</f>
        <v/>
      </c>
      <c r="D649" s="5" t="str">
        <f>IF('FUENTE NO BORRAR'!D667="","",'FUENTE NO BORRAR'!D667)</f>
        <v/>
      </c>
      <c r="E649" s="5" t="str">
        <f>IF('FUENTE NO BORRAR'!E667="","",'FUENTE NO BORRAR'!E667)</f>
        <v/>
      </c>
      <c r="F649" s="6">
        <f>IF('FUENTE NO BORRAR'!F667="","",IF('FUENTE NO BORRAR'!$A667&lt;&gt;"Resultado total",('FUENTE NO BORRAR'!F667),""))</f>
        <v>29499.99</v>
      </c>
      <c r="G649" s="6">
        <f>IF('FUENTE NO BORRAR'!G667="","",IF('FUENTE NO BORRAR'!$A667&lt;&gt;"Resultado total",('FUENTE NO BORRAR'!G667),""))</f>
        <v>29499.99</v>
      </c>
      <c r="H649" s="6">
        <f>IF('FUENTE NO BORRAR'!H667="","",IF('FUENTE NO BORRAR'!$A667&lt;&gt;"Resultado total",('FUENTE NO BORRAR'!H667),""))</f>
        <v>29499.99</v>
      </c>
      <c r="I649" s="6">
        <f>IF('FUENTE NO BORRAR'!I667="","",IF('FUENTE NO BORRAR'!$A667&lt;&gt;"Resultado total",('FUENTE NO BORRAR'!I667),""))</f>
        <v>0</v>
      </c>
    </row>
    <row r="650" spans="1:9" x14ac:dyDescent="0.2">
      <c r="A650" s="5" t="str">
        <f>IF('FUENTE NO BORRAR'!A668="","",(IF('FUENTE NO BORRAR'!A668&lt;&gt;"Resultado total",'FUENTE NO BORRAR'!A668,"")))</f>
        <v/>
      </c>
      <c r="B650" s="5" t="str">
        <f>IF('FUENTE NO BORRAR'!B668="","",'FUENTE NO BORRAR'!B668)</f>
        <v/>
      </c>
      <c r="C650" s="5" t="str">
        <f>IF('FUENTE NO BORRAR'!C668="","",'FUENTE NO BORRAR'!C668)</f>
        <v/>
      </c>
      <c r="D650" s="5" t="str">
        <f>IF('FUENTE NO BORRAR'!D668="","",'FUENTE NO BORRAR'!D668)</f>
        <v/>
      </c>
      <c r="E650" s="5" t="str">
        <f>IF('FUENTE NO BORRAR'!E668="","",'FUENTE NO BORRAR'!E668)</f>
        <v/>
      </c>
      <c r="F650" s="6">
        <f>IF('FUENTE NO BORRAR'!F668="","",IF('FUENTE NO BORRAR'!$A668&lt;&gt;"Resultado total",('FUENTE NO BORRAR'!F668),""))</f>
        <v>940075.04</v>
      </c>
      <c r="G650" s="6">
        <f>IF('FUENTE NO BORRAR'!G668="","",IF('FUENTE NO BORRAR'!$A668&lt;&gt;"Resultado total",('FUENTE NO BORRAR'!G668),""))</f>
        <v>940075.04</v>
      </c>
      <c r="H650" s="6">
        <f>IF('FUENTE NO BORRAR'!H668="","",IF('FUENTE NO BORRAR'!$A668&lt;&gt;"Resultado total",('FUENTE NO BORRAR'!H668),""))</f>
        <v>615521.4</v>
      </c>
      <c r="I650" s="6">
        <f>IF('FUENTE NO BORRAR'!I668="","",IF('FUENTE NO BORRAR'!$A668&lt;&gt;"Resultado total",('FUENTE NO BORRAR'!I668),""))</f>
        <v>0</v>
      </c>
    </row>
    <row r="651" spans="1:9" x14ac:dyDescent="0.2">
      <c r="A651" s="5" t="str">
        <f>IF('FUENTE NO BORRAR'!A669="","",(IF('FUENTE NO BORRAR'!A669&lt;&gt;"Resultado total",'FUENTE NO BORRAR'!A669,"")))</f>
        <v/>
      </c>
      <c r="B651" s="5" t="str">
        <f>IF('FUENTE NO BORRAR'!B669="","",'FUENTE NO BORRAR'!B669)</f>
        <v/>
      </c>
      <c r="C651" s="5" t="str">
        <f>IF('FUENTE NO BORRAR'!C669="","",'FUENTE NO BORRAR'!C669)</f>
        <v/>
      </c>
      <c r="D651" s="5" t="str">
        <f>IF('FUENTE NO BORRAR'!D669="","",'FUENTE NO BORRAR'!D669)</f>
        <v/>
      </c>
      <c r="E651" s="5" t="str">
        <f>IF('FUENTE NO BORRAR'!E669="","",'FUENTE NO BORRAR'!E669)</f>
        <v/>
      </c>
      <c r="F651" s="6">
        <f>IF('FUENTE NO BORRAR'!F669="","",IF('FUENTE NO BORRAR'!$A669&lt;&gt;"Resultado total",('FUENTE NO BORRAR'!F669),""))</f>
        <v>98095.98</v>
      </c>
      <c r="G651" s="6">
        <f>IF('FUENTE NO BORRAR'!G669="","",IF('FUENTE NO BORRAR'!$A669&lt;&gt;"Resultado total",('FUENTE NO BORRAR'!G669),""))</f>
        <v>98095.98</v>
      </c>
      <c r="H651" s="6">
        <f>IF('FUENTE NO BORRAR'!H669="","",IF('FUENTE NO BORRAR'!$A669&lt;&gt;"Resultado total",('FUENTE NO BORRAR'!H669),""))</f>
        <v>98095.98</v>
      </c>
      <c r="I651" s="6">
        <f>IF('FUENTE NO BORRAR'!I669="","",IF('FUENTE NO BORRAR'!$A669&lt;&gt;"Resultado total",('FUENTE NO BORRAR'!I669),""))</f>
        <v>0</v>
      </c>
    </row>
    <row r="652" spans="1:9" x14ac:dyDescent="0.2">
      <c r="A652" s="5" t="str">
        <f>IF('FUENTE NO BORRAR'!A670="","",(IF('FUENTE NO BORRAR'!A670&lt;&gt;"Resultado total",'FUENTE NO BORRAR'!A670,"")))</f>
        <v/>
      </c>
      <c r="B652" s="5" t="str">
        <f>IF('FUENTE NO BORRAR'!B670="","",'FUENTE NO BORRAR'!B670)</f>
        <v/>
      </c>
      <c r="C652" s="5" t="str">
        <f>IF('FUENTE NO BORRAR'!C670="","",'FUENTE NO BORRAR'!C670)</f>
        <v/>
      </c>
      <c r="D652" s="5" t="str">
        <f>IF('FUENTE NO BORRAR'!D670="","",'FUENTE NO BORRAR'!D670)</f>
        <v/>
      </c>
      <c r="E652" s="5" t="str">
        <f>IF('FUENTE NO BORRAR'!E670="","",'FUENTE NO BORRAR'!E670)</f>
        <v/>
      </c>
      <c r="F652" s="6">
        <f>IF('FUENTE NO BORRAR'!F670="","",IF('FUENTE NO BORRAR'!$A670&lt;&gt;"Resultado total",('FUENTE NO BORRAR'!F670),""))</f>
        <v>63511.62</v>
      </c>
      <c r="G652" s="6">
        <f>IF('FUENTE NO BORRAR'!G670="","",IF('FUENTE NO BORRAR'!$A670&lt;&gt;"Resultado total",('FUENTE NO BORRAR'!G670),""))</f>
        <v>63511.62</v>
      </c>
      <c r="H652" s="6">
        <f>IF('FUENTE NO BORRAR'!H670="","",IF('FUENTE NO BORRAR'!$A670&lt;&gt;"Resultado total",('FUENTE NO BORRAR'!H670),""))</f>
        <v>58100.22</v>
      </c>
      <c r="I652" s="6">
        <f>IF('FUENTE NO BORRAR'!I670="","",IF('FUENTE NO BORRAR'!$A670&lt;&gt;"Resultado total",('FUENTE NO BORRAR'!I670),""))</f>
        <v>0</v>
      </c>
    </row>
    <row r="653" spans="1:9" x14ac:dyDescent="0.2">
      <c r="A653" s="5" t="str">
        <f>IF('FUENTE NO BORRAR'!A671="","",(IF('FUENTE NO BORRAR'!A671&lt;&gt;"Resultado total",'FUENTE NO BORRAR'!A671,"")))</f>
        <v/>
      </c>
      <c r="B653" s="5" t="str">
        <f>IF('FUENTE NO BORRAR'!B671="","",'FUENTE NO BORRAR'!B671)</f>
        <v/>
      </c>
      <c r="C653" s="5" t="str">
        <f>IF('FUENTE NO BORRAR'!C671="","",'FUENTE NO BORRAR'!C671)</f>
        <v/>
      </c>
      <c r="D653" s="5" t="str">
        <f>IF('FUENTE NO BORRAR'!D671="","",'FUENTE NO BORRAR'!D671)</f>
        <v/>
      </c>
      <c r="E653" s="5" t="str">
        <f>IF('FUENTE NO BORRAR'!E671="","",'FUENTE NO BORRAR'!E671)</f>
        <v/>
      </c>
      <c r="F653" s="6">
        <f>IF('FUENTE NO BORRAR'!F671="","",IF('FUENTE NO BORRAR'!$A671&lt;&gt;"Resultado total",('FUENTE NO BORRAR'!F671),""))</f>
        <v>58000</v>
      </c>
      <c r="G653" s="6">
        <f>IF('FUENTE NO BORRAR'!G671="","",IF('FUENTE NO BORRAR'!$A671&lt;&gt;"Resultado total",('FUENTE NO BORRAR'!G671),""))</f>
        <v>58000</v>
      </c>
      <c r="H653" s="6">
        <f>IF('FUENTE NO BORRAR'!H671="","",IF('FUENTE NO BORRAR'!$A671&lt;&gt;"Resultado total",('FUENTE NO BORRAR'!H671),""))</f>
        <v>44080</v>
      </c>
      <c r="I653" s="6">
        <f>IF('FUENTE NO BORRAR'!I671="","",IF('FUENTE NO BORRAR'!$A671&lt;&gt;"Resultado total",('FUENTE NO BORRAR'!I671),""))</f>
        <v>0</v>
      </c>
    </row>
    <row r="654" spans="1:9" x14ac:dyDescent="0.2">
      <c r="A654" s="5" t="str">
        <f>IF('FUENTE NO BORRAR'!A672="","",(IF('FUENTE NO BORRAR'!A672&lt;&gt;"Resultado total",'FUENTE NO BORRAR'!A672,"")))</f>
        <v/>
      </c>
      <c r="B654" s="5" t="str">
        <f>IF('FUENTE NO BORRAR'!B672="","",'FUENTE NO BORRAR'!B672)</f>
        <v/>
      </c>
      <c r="C654" s="5" t="str">
        <f>IF('FUENTE NO BORRAR'!C672="","",'FUENTE NO BORRAR'!C672)</f>
        <v/>
      </c>
      <c r="D654" s="5" t="str">
        <f>IF('FUENTE NO BORRAR'!D672="","",'FUENTE NO BORRAR'!D672)</f>
        <v/>
      </c>
      <c r="E654" s="5" t="str">
        <f>IF('FUENTE NO BORRAR'!E672="","",'FUENTE NO BORRAR'!E672)</f>
        <v/>
      </c>
      <c r="F654" s="6">
        <f>IF('FUENTE NO BORRAR'!F672="","",IF('FUENTE NO BORRAR'!$A672&lt;&gt;"Resultado total",('FUENTE NO BORRAR'!F672),""))</f>
        <v>0</v>
      </c>
      <c r="G654" s="6">
        <f>IF('FUENTE NO BORRAR'!G672="","",IF('FUENTE NO BORRAR'!$A672&lt;&gt;"Resultado total",('FUENTE NO BORRAR'!G672),""))</f>
        <v>0</v>
      </c>
      <c r="H654" s="6">
        <f>IF('FUENTE NO BORRAR'!H672="","",IF('FUENTE NO BORRAR'!$A672&lt;&gt;"Resultado total",('FUENTE NO BORRAR'!H672),""))</f>
        <v>0</v>
      </c>
      <c r="I654" s="6">
        <f>IF('FUENTE NO BORRAR'!I672="","",IF('FUENTE NO BORRAR'!$A672&lt;&gt;"Resultado total",('FUENTE NO BORRAR'!I672),""))</f>
        <v>0</v>
      </c>
    </row>
    <row r="655" spans="1:9" x14ac:dyDescent="0.2">
      <c r="A655" s="5" t="str">
        <f>IF('FUENTE NO BORRAR'!A673="","",(IF('FUENTE NO BORRAR'!A673&lt;&gt;"Resultado total",'FUENTE NO BORRAR'!A673,"")))</f>
        <v/>
      </c>
      <c r="B655" s="5" t="str">
        <f>IF('FUENTE NO BORRAR'!B673="","",'FUENTE NO BORRAR'!B673)</f>
        <v/>
      </c>
      <c r="C655" s="5" t="str">
        <f>IF('FUENTE NO BORRAR'!C673="","",'FUENTE NO BORRAR'!C673)</f>
        <v/>
      </c>
      <c r="D655" s="5" t="str">
        <f>IF('FUENTE NO BORRAR'!D673="","",'FUENTE NO BORRAR'!D673)</f>
        <v/>
      </c>
      <c r="E655" s="5" t="str">
        <f>IF('FUENTE NO BORRAR'!E673="","",'FUENTE NO BORRAR'!E673)</f>
        <v/>
      </c>
      <c r="F655" s="6">
        <f>IF('FUENTE NO BORRAR'!F673="","",IF('FUENTE NO BORRAR'!$A673&lt;&gt;"Resultado total",('FUENTE NO BORRAR'!F673),""))</f>
        <v>1302.7</v>
      </c>
      <c r="G655" s="6">
        <f>IF('FUENTE NO BORRAR'!G673="","",IF('FUENTE NO BORRAR'!$A673&lt;&gt;"Resultado total",('FUENTE NO BORRAR'!G673),""))</f>
        <v>1302.7</v>
      </c>
      <c r="H655" s="6">
        <f>IF('FUENTE NO BORRAR'!H673="","",IF('FUENTE NO BORRAR'!$A673&lt;&gt;"Resultado total",('FUENTE NO BORRAR'!H673),""))</f>
        <v>1302.7</v>
      </c>
      <c r="I655" s="6">
        <f>IF('FUENTE NO BORRAR'!I673="","",IF('FUENTE NO BORRAR'!$A673&lt;&gt;"Resultado total",('FUENTE NO BORRAR'!I673),""))</f>
        <v>0</v>
      </c>
    </row>
    <row r="656" spans="1:9" x14ac:dyDescent="0.2">
      <c r="A656" s="5" t="str">
        <f>IF('FUENTE NO BORRAR'!A674="","",(IF('FUENTE NO BORRAR'!A674&lt;&gt;"Resultado total",'FUENTE NO BORRAR'!A674,"")))</f>
        <v/>
      </c>
      <c r="B656" s="5" t="str">
        <f>IF('FUENTE NO BORRAR'!B674="","",'FUENTE NO BORRAR'!B674)</f>
        <v/>
      </c>
      <c r="C656" s="5" t="str">
        <f>IF('FUENTE NO BORRAR'!C674="","",'FUENTE NO BORRAR'!C674)</f>
        <v/>
      </c>
      <c r="D656" s="5" t="str">
        <f>IF('FUENTE NO BORRAR'!D674="","",'FUENTE NO BORRAR'!D674)</f>
        <v/>
      </c>
      <c r="E656" s="5" t="str">
        <f>IF('FUENTE NO BORRAR'!E674="","",'FUENTE NO BORRAR'!E674)</f>
        <v/>
      </c>
      <c r="F656" s="6">
        <f>IF('FUENTE NO BORRAR'!F674="","",IF('FUENTE NO BORRAR'!$A674&lt;&gt;"Resultado total",('FUENTE NO BORRAR'!F674),""))</f>
        <v>0</v>
      </c>
      <c r="G656" s="6">
        <f>IF('FUENTE NO BORRAR'!G674="","",IF('FUENTE NO BORRAR'!$A674&lt;&gt;"Resultado total",('FUENTE NO BORRAR'!G674),""))</f>
        <v>0</v>
      </c>
      <c r="H656" s="6">
        <f>IF('FUENTE NO BORRAR'!H674="","",IF('FUENTE NO BORRAR'!$A674&lt;&gt;"Resultado total",('FUENTE NO BORRAR'!H674),""))</f>
        <v>0</v>
      </c>
      <c r="I656" s="6">
        <f>IF('FUENTE NO BORRAR'!I674="","",IF('FUENTE NO BORRAR'!$A674&lt;&gt;"Resultado total",('FUENTE NO BORRAR'!I674),""))</f>
        <v>0</v>
      </c>
    </row>
    <row r="657" spans="1:9" x14ac:dyDescent="0.2">
      <c r="A657" s="5" t="str">
        <f>IF('FUENTE NO BORRAR'!A675="","",(IF('FUENTE NO BORRAR'!A675&lt;&gt;"Resultado total",'FUENTE NO BORRAR'!A675,"")))</f>
        <v/>
      </c>
      <c r="B657" s="5" t="str">
        <f>IF('FUENTE NO BORRAR'!B675="","",'FUENTE NO BORRAR'!B675)</f>
        <v/>
      </c>
      <c r="C657" s="5" t="str">
        <f>IF('FUENTE NO BORRAR'!C675="","",'FUENTE NO BORRAR'!C675)</f>
        <v/>
      </c>
      <c r="D657" s="5" t="str">
        <f>IF('FUENTE NO BORRAR'!D675="","",'FUENTE NO BORRAR'!D675)</f>
        <v/>
      </c>
      <c r="E657" s="5" t="str">
        <f>IF('FUENTE NO BORRAR'!E675="","",'FUENTE NO BORRAR'!E675)</f>
        <v/>
      </c>
      <c r="F657" s="6">
        <f>IF('FUENTE NO BORRAR'!F675="","",IF('FUENTE NO BORRAR'!$A675&lt;&gt;"Resultado total",('FUENTE NO BORRAR'!F675),""))</f>
        <v>244.2</v>
      </c>
      <c r="G657" s="6">
        <f>IF('FUENTE NO BORRAR'!G675="","",IF('FUENTE NO BORRAR'!$A675&lt;&gt;"Resultado total",('FUENTE NO BORRAR'!G675),""))</f>
        <v>244.2</v>
      </c>
      <c r="H657" s="6">
        <f>IF('FUENTE NO BORRAR'!H675="","",IF('FUENTE NO BORRAR'!$A675&lt;&gt;"Resultado total",('FUENTE NO BORRAR'!H675),""))</f>
        <v>244.2</v>
      </c>
      <c r="I657" s="6">
        <f>IF('FUENTE NO BORRAR'!I675="","",IF('FUENTE NO BORRAR'!$A675&lt;&gt;"Resultado total",('FUENTE NO BORRAR'!I675),""))</f>
        <v>0</v>
      </c>
    </row>
    <row r="658" spans="1:9" x14ac:dyDescent="0.2">
      <c r="A658" s="5" t="str">
        <f>IF('FUENTE NO BORRAR'!A676="","",(IF('FUENTE NO BORRAR'!A676&lt;&gt;"Resultado total",'FUENTE NO BORRAR'!A676,"")))</f>
        <v/>
      </c>
      <c r="B658" s="5" t="str">
        <f>IF('FUENTE NO BORRAR'!B676="","",'FUENTE NO BORRAR'!B676)</f>
        <v/>
      </c>
      <c r="C658" s="5" t="str">
        <f>IF('FUENTE NO BORRAR'!C676="","",'FUENTE NO BORRAR'!C676)</f>
        <v/>
      </c>
      <c r="D658" s="5" t="str">
        <f>IF('FUENTE NO BORRAR'!D676="","",'FUENTE NO BORRAR'!D676)</f>
        <v/>
      </c>
      <c r="E658" s="5" t="str">
        <f>IF('FUENTE NO BORRAR'!E676="","",'FUENTE NO BORRAR'!E676)</f>
        <v/>
      </c>
      <c r="F658" s="6">
        <f>IF('FUENTE NO BORRAR'!F676="","",IF('FUENTE NO BORRAR'!$A676&lt;&gt;"Resultado total",('FUENTE NO BORRAR'!F676),""))</f>
        <v>5564.13</v>
      </c>
      <c r="G658" s="6">
        <f>IF('FUENTE NO BORRAR'!G676="","",IF('FUENTE NO BORRAR'!$A676&lt;&gt;"Resultado total",('FUENTE NO BORRAR'!G676),""))</f>
        <v>5564.13</v>
      </c>
      <c r="H658" s="6">
        <f>IF('FUENTE NO BORRAR'!H676="","",IF('FUENTE NO BORRAR'!$A676&lt;&gt;"Resultado total",('FUENTE NO BORRAR'!H676),""))</f>
        <v>5564.13</v>
      </c>
      <c r="I658" s="6">
        <f>IF('FUENTE NO BORRAR'!I676="","",IF('FUENTE NO BORRAR'!$A676&lt;&gt;"Resultado total",('FUENTE NO BORRAR'!I676),""))</f>
        <v>0</v>
      </c>
    </row>
    <row r="659" spans="1:9" x14ac:dyDescent="0.2">
      <c r="A659" s="5" t="str">
        <f>IF('FUENTE NO BORRAR'!A677="","",(IF('FUENTE NO BORRAR'!A677&lt;&gt;"Resultado total",'FUENTE NO BORRAR'!A677,"")))</f>
        <v/>
      </c>
      <c r="B659" s="5" t="str">
        <f>IF('FUENTE NO BORRAR'!B677="","",'FUENTE NO BORRAR'!B677)</f>
        <v/>
      </c>
      <c r="C659" s="5" t="str">
        <f>IF('FUENTE NO BORRAR'!C677="","",'FUENTE NO BORRAR'!C677)</f>
        <v/>
      </c>
      <c r="D659" s="5" t="str">
        <f>IF('FUENTE NO BORRAR'!D677="","",'FUENTE NO BORRAR'!D677)</f>
        <v/>
      </c>
      <c r="E659" s="5" t="str">
        <f>IF('FUENTE NO BORRAR'!E677="","",'FUENTE NO BORRAR'!E677)</f>
        <v/>
      </c>
      <c r="F659" s="6">
        <f>IF('FUENTE NO BORRAR'!F677="","",IF('FUENTE NO BORRAR'!$A677&lt;&gt;"Resultado total",('FUENTE NO BORRAR'!F677),""))</f>
        <v>9981</v>
      </c>
      <c r="G659" s="6">
        <f>IF('FUENTE NO BORRAR'!G677="","",IF('FUENTE NO BORRAR'!$A677&lt;&gt;"Resultado total",('FUENTE NO BORRAR'!G677),""))</f>
        <v>9981</v>
      </c>
      <c r="H659" s="6">
        <f>IF('FUENTE NO BORRAR'!H677="","",IF('FUENTE NO BORRAR'!$A677&lt;&gt;"Resultado total",('FUENTE NO BORRAR'!H677),""))</f>
        <v>0</v>
      </c>
      <c r="I659" s="6">
        <f>IF('FUENTE NO BORRAR'!I677="","",IF('FUENTE NO BORRAR'!$A677&lt;&gt;"Resultado total",('FUENTE NO BORRAR'!I677),""))</f>
        <v>0</v>
      </c>
    </row>
    <row r="660" spans="1:9" x14ac:dyDescent="0.2">
      <c r="A660" s="5" t="str">
        <f>IF('FUENTE NO BORRAR'!A678="","",(IF('FUENTE NO BORRAR'!A678&lt;&gt;"Resultado total",'FUENTE NO BORRAR'!A678,"")))</f>
        <v/>
      </c>
      <c r="B660" s="5" t="str">
        <f>IF('FUENTE NO BORRAR'!B678="","",'FUENTE NO BORRAR'!B678)</f>
        <v/>
      </c>
      <c r="C660" s="5" t="str">
        <f>IF('FUENTE NO BORRAR'!C678="","",'FUENTE NO BORRAR'!C678)</f>
        <v/>
      </c>
      <c r="D660" s="5" t="str">
        <f>IF('FUENTE NO BORRAR'!D678="","",'FUENTE NO BORRAR'!D678)</f>
        <v/>
      </c>
      <c r="E660" s="5" t="str">
        <f>IF('FUENTE NO BORRAR'!E678="","",'FUENTE NO BORRAR'!E678)</f>
        <v/>
      </c>
      <c r="F660" s="6">
        <f>IF('FUENTE NO BORRAR'!F678="","",IF('FUENTE NO BORRAR'!$A678&lt;&gt;"Resultado total",('FUENTE NO BORRAR'!F678),""))</f>
        <v>2490</v>
      </c>
      <c r="G660" s="6">
        <f>IF('FUENTE NO BORRAR'!G678="","",IF('FUENTE NO BORRAR'!$A678&lt;&gt;"Resultado total",('FUENTE NO BORRAR'!G678),""))</f>
        <v>2490</v>
      </c>
      <c r="H660" s="6">
        <f>IF('FUENTE NO BORRAR'!H678="","",IF('FUENTE NO BORRAR'!$A678&lt;&gt;"Resultado total",('FUENTE NO BORRAR'!H678),""))</f>
        <v>2490</v>
      </c>
      <c r="I660" s="6">
        <f>IF('FUENTE NO BORRAR'!I678="","",IF('FUENTE NO BORRAR'!$A678&lt;&gt;"Resultado total",('FUENTE NO BORRAR'!I678),""))</f>
        <v>0</v>
      </c>
    </row>
    <row r="661" spans="1:9" x14ac:dyDescent="0.2">
      <c r="A661" s="5" t="str">
        <f>IF('FUENTE NO BORRAR'!A679="","",(IF('FUENTE NO BORRAR'!A679&lt;&gt;"Resultado total",'FUENTE NO BORRAR'!A679,"")))</f>
        <v/>
      </c>
      <c r="B661" s="5" t="str">
        <f>IF('FUENTE NO BORRAR'!B679="","",'FUENTE NO BORRAR'!B679)</f>
        <v/>
      </c>
      <c r="C661" s="5" t="str">
        <f>IF('FUENTE NO BORRAR'!C679="","",'FUENTE NO BORRAR'!C679)</f>
        <v/>
      </c>
      <c r="D661" s="5" t="str">
        <f>IF('FUENTE NO BORRAR'!D679="","",'FUENTE NO BORRAR'!D679)</f>
        <v/>
      </c>
      <c r="E661" s="5" t="str">
        <f>IF('FUENTE NO BORRAR'!E679="","",'FUENTE NO BORRAR'!E679)</f>
        <v/>
      </c>
      <c r="F661" s="6">
        <f>IF('FUENTE NO BORRAR'!F679="","",IF('FUENTE NO BORRAR'!$A679&lt;&gt;"Resultado total",('FUENTE NO BORRAR'!F679),""))</f>
        <v>3000</v>
      </c>
      <c r="G661" s="6">
        <f>IF('FUENTE NO BORRAR'!G679="","",IF('FUENTE NO BORRAR'!$A679&lt;&gt;"Resultado total",('FUENTE NO BORRAR'!G679),""))</f>
        <v>3000</v>
      </c>
      <c r="H661" s="6">
        <f>IF('FUENTE NO BORRAR'!H679="","",IF('FUENTE NO BORRAR'!$A679&lt;&gt;"Resultado total",('FUENTE NO BORRAR'!H679),""))</f>
        <v>3000</v>
      </c>
      <c r="I661" s="6">
        <f>IF('FUENTE NO BORRAR'!I679="","",IF('FUENTE NO BORRAR'!$A679&lt;&gt;"Resultado total",('FUENTE NO BORRAR'!I679),""))</f>
        <v>0</v>
      </c>
    </row>
    <row r="662" spans="1:9" x14ac:dyDescent="0.2">
      <c r="A662" s="5" t="str">
        <f>IF('FUENTE NO BORRAR'!A680="","",(IF('FUENTE NO BORRAR'!A680&lt;&gt;"Resultado total",'FUENTE NO BORRAR'!A680,"")))</f>
        <v/>
      </c>
      <c r="B662" s="5" t="str">
        <f>IF('FUENTE NO BORRAR'!B680="","",'FUENTE NO BORRAR'!B680)</f>
        <v/>
      </c>
      <c r="C662" s="5" t="str">
        <f>IF('FUENTE NO BORRAR'!C680="","",'FUENTE NO BORRAR'!C680)</f>
        <v/>
      </c>
      <c r="D662" s="5" t="str">
        <f>IF('FUENTE NO BORRAR'!D680="","",'FUENTE NO BORRAR'!D680)</f>
        <v/>
      </c>
      <c r="E662" s="5" t="str">
        <f>IF('FUENTE NO BORRAR'!E680="","",'FUENTE NO BORRAR'!E680)</f>
        <v/>
      </c>
      <c r="F662" s="6">
        <f>IF('FUENTE NO BORRAR'!F680="","",IF('FUENTE NO BORRAR'!$A680&lt;&gt;"Resultado total",('FUENTE NO BORRAR'!F680),""))</f>
        <v>87000</v>
      </c>
      <c r="G662" s="6">
        <f>IF('FUENTE NO BORRAR'!G680="","",IF('FUENTE NO BORRAR'!$A680&lt;&gt;"Resultado total",('FUENTE NO BORRAR'!G680),""))</f>
        <v>87000</v>
      </c>
      <c r="H662" s="6">
        <f>IF('FUENTE NO BORRAR'!H680="","",IF('FUENTE NO BORRAR'!$A680&lt;&gt;"Resultado total",('FUENTE NO BORRAR'!H680),""))</f>
        <v>87000</v>
      </c>
      <c r="I662" s="6">
        <f>IF('FUENTE NO BORRAR'!I680="","",IF('FUENTE NO BORRAR'!$A680&lt;&gt;"Resultado total",('FUENTE NO BORRAR'!I680),""))</f>
        <v>0</v>
      </c>
    </row>
    <row r="663" spans="1:9" x14ac:dyDescent="0.2">
      <c r="A663" s="5" t="str">
        <f>IF('FUENTE NO BORRAR'!A681="","",(IF('FUENTE NO BORRAR'!A681&lt;&gt;"Resultado total",'FUENTE NO BORRAR'!A681,"")))</f>
        <v/>
      </c>
      <c r="B663" s="5" t="str">
        <f>IF('FUENTE NO BORRAR'!B681="","",'FUENTE NO BORRAR'!B681)</f>
        <v/>
      </c>
      <c r="C663" s="5" t="str">
        <f>IF('FUENTE NO BORRAR'!C681="","",'FUENTE NO BORRAR'!C681)</f>
        <v/>
      </c>
      <c r="D663" s="5" t="str">
        <f>IF('FUENTE NO BORRAR'!D681="","",'FUENTE NO BORRAR'!D681)</f>
        <v/>
      </c>
      <c r="E663" s="5" t="str">
        <f>IF('FUENTE NO BORRAR'!E681="","",'FUENTE NO BORRAR'!E681)</f>
        <v/>
      </c>
      <c r="F663" s="6">
        <f>IF('FUENTE NO BORRAR'!F681="","",IF('FUENTE NO BORRAR'!$A681&lt;&gt;"Resultado total",('FUENTE NO BORRAR'!F681),""))</f>
        <v>2669077.71</v>
      </c>
      <c r="G663" s="6">
        <f>IF('FUENTE NO BORRAR'!G681="","",IF('FUENTE NO BORRAR'!$A681&lt;&gt;"Resultado total",('FUENTE NO BORRAR'!G681),""))</f>
        <v>2669077.71</v>
      </c>
      <c r="H663" s="6">
        <f>IF('FUENTE NO BORRAR'!H681="","",IF('FUENTE NO BORRAR'!$A681&lt;&gt;"Resultado total",('FUENTE NO BORRAR'!H681),""))</f>
        <v>2232769.9300000002</v>
      </c>
      <c r="I663" s="6">
        <f>IF('FUENTE NO BORRAR'!I681="","",IF('FUENTE NO BORRAR'!$A681&lt;&gt;"Resultado total",('FUENTE NO BORRAR'!I681),""))</f>
        <v>0</v>
      </c>
    </row>
    <row r="664" spans="1:9" x14ac:dyDescent="0.2">
      <c r="A664" s="5" t="str">
        <f>IF('FUENTE NO BORRAR'!A682="","",(IF('FUENTE NO BORRAR'!A682&lt;&gt;"Resultado total",'FUENTE NO BORRAR'!A682,"")))</f>
        <v/>
      </c>
      <c r="B664" s="5" t="str">
        <f>IF('FUENTE NO BORRAR'!B682="","",'FUENTE NO BORRAR'!B682)</f>
        <v/>
      </c>
      <c r="C664" s="5" t="str">
        <f>IF('FUENTE NO BORRAR'!C682="","",'FUENTE NO BORRAR'!C682)</f>
        <v/>
      </c>
      <c r="D664" s="5" t="str">
        <f>IF('FUENTE NO BORRAR'!D682="","",'FUENTE NO BORRAR'!D682)</f>
        <v/>
      </c>
      <c r="E664" s="5" t="str">
        <f>IF('FUENTE NO BORRAR'!E682="","",'FUENTE NO BORRAR'!E682)</f>
        <v/>
      </c>
      <c r="F664" s="6">
        <f>IF('FUENTE NO BORRAR'!F682="","",IF('FUENTE NO BORRAR'!$A682&lt;&gt;"Resultado total",('FUENTE NO BORRAR'!F682),""))</f>
        <v>0</v>
      </c>
      <c r="G664" s="6">
        <f>IF('FUENTE NO BORRAR'!G682="","",IF('FUENTE NO BORRAR'!$A682&lt;&gt;"Resultado total",('FUENTE NO BORRAR'!G682),""))</f>
        <v>0</v>
      </c>
      <c r="H664" s="6">
        <f>IF('FUENTE NO BORRAR'!H682="","",IF('FUENTE NO BORRAR'!$A682&lt;&gt;"Resultado total",('FUENTE NO BORRAR'!H682),""))</f>
        <v>0</v>
      </c>
      <c r="I664" s="6">
        <f>IF('FUENTE NO BORRAR'!I682="","",IF('FUENTE NO BORRAR'!$A682&lt;&gt;"Resultado total",('FUENTE NO BORRAR'!I682),""))</f>
        <v>0</v>
      </c>
    </row>
    <row r="665" spans="1:9" x14ac:dyDescent="0.2">
      <c r="A665" s="5" t="str">
        <f>IF('FUENTE NO BORRAR'!A683="","",(IF('FUENTE NO BORRAR'!A683&lt;&gt;"Resultado total",'FUENTE NO BORRAR'!A683,"")))</f>
        <v/>
      </c>
      <c r="B665" s="5" t="str">
        <f>IF('FUENTE NO BORRAR'!B683="","",'FUENTE NO BORRAR'!B683)</f>
        <v/>
      </c>
      <c r="C665" s="5" t="str">
        <f>IF('FUENTE NO BORRAR'!C683="","",'FUENTE NO BORRAR'!C683)</f>
        <v/>
      </c>
      <c r="D665" s="5" t="str">
        <f>IF('FUENTE NO BORRAR'!D683="","",'FUENTE NO BORRAR'!D683)</f>
        <v/>
      </c>
      <c r="E665" s="5" t="str">
        <f>IF('FUENTE NO BORRAR'!E683="","",'FUENTE NO BORRAR'!E683)</f>
        <v/>
      </c>
      <c r="F665" s="6">
        <f>IF('FUENTE NO BORRAR'!F683="","",IF('FUENTE NO BORRAR'!$A683&lt;&gt;"Resultado total",('FUENTE NO BORRAR'!F683),""))</f>
        <v>0</v>
      </c>
      <c r="G665" s="6">
        <f>IF('FUENTE NO BORRAR'!G683="","",IF('FUENTE NO BORRAR'!$A683&lt;&gt;"Resultado total",('FUENTE NO BORRAR'!G683),""))</f>
        <v>0</v>
      </c>
      <c r="H665" s="6">
        <f>IF('FUENTE NO BORRAR'!H683="","",IF('FUENTE NO BORRAR'!$A683&lt;&gt;"Resultado total",('FUENTE NO BORRAR'!H683),""))</f>
        <v>0</v>
      </c>
      <c r="I665" s="6">
        <f>IF('FUENTE NO BORRAR'!I683="","",IF('FUENTE NO BORRAR'!$A683&lt;&gt;"Resultado total",('FUENTE NO BORRAR'!I683),""))</f>
        <v>0</v>
      </c>
    </row>
    <row r="666" spans="1:9" x14ac:dyDescent="0.2">
      <c r="A666" s="5" t="str">
        <f>IF('FUENTE NO BORRAR'!A684="","",(IF('FUENTE NO BORRAR'!A684&lt;&gt;"Resultado total",'FUENTE NO BORRAR'!A684,"")))</f>
        <v/>
      </c>
      <c r="B666" s="5" t="str">
        <f>IF('FUENTE NO BORRAR'!B684="","",'FUENTE NO BORRAR'!B684)</f>
        <v/>
      </c>
      <c r="C666" s="5" t="str">
        <f>IF('FUENTE NO BORRAR'!C684="","",'FUENTE NO BORRAR'!C684)</f>
        <v/>
      </c>
      <c r="D666" s="5" t="str">
        <f>IF('FUENTE NO BORRAR'!D684="","",'FUENTE NO BORRAR'!D684)</f>
        <v/>
      </c>
      <c r="E666" s="5" t="str">
        <f>IF('FUENTE NO BORRAR'!E684="","",'FUENTE NO BORRAR'!E684)</f>
        <v/>
      </c>
      <c r="F666" s="6">
        <f>IF('FUENTE NO BORRAR'!F684="","",IF('FUENTE NO BORRAR'!$A684&lt;&gt;"Resultado total",('FUENTE NO BORRAR'!F684),""))</f>
        <v>5000</v>
      </c>
      <c r="G666" s="6">
        <f>IF('FUENTE NO BORRAR'!G684="","",IF('FUENTE NO BORRAR'!$A684&lt;&gt;"Resultado total",('FUENTE NO BORRAR'!G684),""))</f>
        <v>5000</v>
      </c>
      <c r="H666" s="6">
        <f>IF('FUENTE NO BORRAR'!H684="","",IF('FUENTE NO BORRAR'!$A684&lt;&gt;"Resultado total",('FUENTE NO BORRAR'!H684),""))</f>
        <v>5000</v>
      </c>
      <c r="I666" s="6">
        <f>IF('FUENTE NO BORRAR'!I684="","",IF('FUENTE NO BORRAR'!$A684&lt;&gt;"Resultado total",('FUENTE NO BORRAR'!I684),""))</f>
        <v>0</v>
      </c>
    </row>
    <row r="667" spans="1:9" x14ac:dyDescent="0.2">
      <c r="A667" s="5" t="str">
        <f>IF('FUENTE NO BORRAR'!A685="","",(IF('FUENTE NO BORRAR'!A685&lt;&gt;"Resultado total",'FUENTE NO BORRAR'!A685,"")))</f>
        <v/>
      </c>
      <c r="B667" s="5" t="str">
        <f>IF('FUENTE NO BORRAR'!B685="","",'FUENTE NO BORRAR'!B685)</f>
        <v/>
      </c>
      <c r="C667" s="5" t="str">
        <f>IF('FUENTE NO BORRAR'!C685="","",'FUENTE NO BORRAR'!C685)</f>
        <v>13051061E101</v>
      </c>
      <c r="D667" s="5" t="str">
        <f>IF('FUENTE NO BORRAR'!D685="","",'FUENTE NO BORRAR'!D685)</f>
        <v>13051061E101</v>
      </c>
      <c r="E667" s="5" t="str">
        <f>IF('FUENTE NO BORRAR'!E685="","",'FUENTE NO BORRAR'!E685)</f>
        <v/>
      </c>
      <c r="F667" s="6">
        <f>IF('FUENTE NO BORRAR'!F685="","",IF('FUENTE NO BORRAR'!$A685&lt;&gt;"Resultado total",('FUENTE NO BORRAR'!F685),""))</f>
        <v>0</v>
      </c>
      <c r="G667" s="6">
        <f>IF('FUENTE NO BORRAR'!G685="","",IF('FUENTE NO BORRAR'!$A685&lt;&gt;"Resultado total",('FUENTE NO BORRAR'!G685),""))</f>
        <v>0</v>
      </c>
      <c r="H667" s="6">
        <f>IF('FUENTE NO BORRAR'!H685="","",IF('FUENTE NO BORRAR'!$A685&lt;&gt;"Resultado total",('FUENTE NO BORRAR'!H685),""))</f>
        <v>0</v>
      </c>
      <c r="I667" s="6">
        <f>IF('FUENTE NO BORRAR'!I685="","",IF('FUENTE NO BORRAR'!$A685&lt;&gt;"Resultado total",('FUENTE NO BORRAR'!I685),""))</f>
        <v>0</v>
      </c>
    </row>
    <row r="668" spans="1:9" x14ac:dyDescent="0.2">
      <c r="A668" s="5" t="str">
        <f>IF('FUENTE NO BORRAR'!A686="","",(IF('FUENTE NO BORRAR'!A686&lt;&gt;"Resultado total",'FUENTE NO BORRAR'!A686,"")))</f>
        <v/>
      </c>
      <c r="B668" s="5" t="str">
        <f>IF('FUENTE NO BORRAR'!B686="","",'FUENTE NO BORRAR'!B686)</f>
        <v/>
      </c>
      <c r="C668" s="5" t="str">
        <f>IF('FUENTE NO BORRAR'!C686="","",'FUENTE NO BORRAR'!C686)</f>
        <v/>
      </c>
      <c r="D668" s="5" t="str">
        <f>IF('FUENTE NO BORRAR'!D686="","",'FUENTE NO BORRAR'!D686)</f>
        <v/>
      </c>
      <c r="E668" s="5" t="str">
        <f>IF('FUENTE NO BORRAR'!E686="","",'FUENTE NO BORRAR'!E686)</f>
        <v/>
      </c>
      <c r="F668" s="6">
        <f>IF('FUENTE NO BORRAR'!F686="","",IF('FUENTE NO BORRAR'!$A686&lt;&gt;"Resultado total",('FUENTE NO BORRAR'!F686),""))</f>
        <v>0</v>
      </c>
      <c r="G668" s="6">
        <f>IF('FUENTE NO BORRAR'!G686="","",IF('FUENTE NO BORRAR'!$A686&lt;&gt;"Resultado total",('FUENTE NO BORRAR'!G686),""))</f>
        <v>0</v>
      </c>
      <c r="H668" s="6">
        <f>IF('FUENTE NO BORRAR'!H686="","",IF('FUENTE NO BORRAR'!$A686&lt;&gt;"Resultado total",('FUENTE NO BORRAR'!H686),""))</f>
        <v>0</v>
      </c>
      <c r="I668" s="6">
        <f>IF('FUENTE NO BORRAR'!I686="","",IF('FUENTE NO BORRAR'!$A686&lt;&gt;"Resultado total",('FUENTE NO BORRAR'!I686),""))</f>
        <v>0</v>
      </c>
    </row>
    <row r="669" spans="1:9" x14ac:dyDescent="0.2">
      <c r="A669" s="5" t="str">
        <f>IF('FUENTE NO BORRAR'!A687="","",(IF('FUENTE NO BORRAR'!A687&lt;&gt;"Resultado total",'FUENTE NO BORRAR'!A687,"")))</f>
        <v/>
      </c>
      <c r="B669" s="5" t="str">
        <f>IF('FUENTE NO BORRAR'!B687="","",'FUENTE NO BORRAR'!B687)</f>
        <v/>
      </c>
      <c r="C669" s="5" t="str">
        <f>IF('FUENTE NO BORRAR'!C687="","",'FUENTE NO BORRAR'!C687)</f>
        <v/>
      </c>
      <c r="D669" s="5" t="str">
        <f>IF('FUENTE NO BORRAR'!D687="","",'FUENTE NO BORRAR'!D687)</f>
        <v/>
      </c>
      <c r="E669" s="5" t="str">
        <f>IF('FUENTE NO BORRAR'!E687="","",'FUENTE NO BORRAR'!E687)</f>
        <v/>
      </c>
      <c r="F669" s="6">
        <f>IF('FUENTE NO BORRAR'!F687="","",IF('FUENTE NO BORRAR'!$A687&lt;&gt;"Resultado total",('FUENTE NO BORRAR'!F687),""))</f>
        <v>0</v>
      </c>
      <c r="G669" s="6">
        <f>IF('FUENTE NO BORRAR'!G687="","",IF('FUENTE NO BORRAR'!$A687&lt;&gt;"Resultado total",('FUENTE NO BORRAR'!G687),""))</f>
        <v>0</v>
      </c>
      <c r="H669" s="6">
        <f>IF('FUENTE NO BORRAR'!H687="","",IF('FUENTE NO BORRAR'!$A687&lt;&gt;"Resultado total",('FUENTE NO BORRAR'!H687),""))</f>
        <v>0</v>
      </c>
      <c r="I669" s="6">
        <f>IF('FUENTE NO BORRAR'!I687="","",IF('FUENTE NO BORRAR'!$A687&lt;&gt;"Resultado total",('FUENTE NO BORRAR'!I687),""))</f>
        <v>0</v>
      </c>
    </row>
    <row r="670" spans="1:9" x14ac:dyDescent="0.2">
      <c r="A670" s="5" t="str">
        <f>IF('FUENTE NO BORRAR'!A688="","",(IF('FUENTE NO BORRAR'!A688&lt;&gt;"Resultado total",'FUENTE NO BORRAR'!A688,"")))</f>
        <v/>
      </c>
      <c r="B670" s="5" t="str">
        <f>IF('FUENTE NO BORRAR'!B688="","",'FUENTE NO BORRAR'!B688)</f>
        <v/>
      </c>
      <c r="C670" s="5" t="str">
        <f>IF('FUENTE NO BORRAR'!C688="","",'FUENTE NO BORRAR'!C688)</f>
        <v/>
      </c>
      <c r="D670" s="5" t="str">
        <f>IF('FUENTE NO BORRAR'!D688="","",'FUENTE NO BORRAR'!D688)</f>
        <v/>
      </c>
      <c r="E670" s="5" t="str">
        <f>IF('FUENTE NO BORRAR'!E688="","",'FUENTE NO BORRAR'!E688)</f>
        <v/>
      </c>
      <c r="F670" s="6">
        <f>IF('FUENTE NO BORRAR'!F688="","",IF('FUENTE NO BORRAR'!$A688&lt;&gt;"Resultado total",('FUENTE NO BORRAR'!F688),""))</f>
        <v>0</v>
      </c>
      <c r="G670" s="6">
        <f>IF('FUENTE NO BORRAR'!G688="","",IF('FUENTE NO BORRAR'!$A688&lt;&gt;"Resultado total",('FUENTE NO BORRAR'!G688),""))</f>
        <v>0</v>
      </c>
      <c r="H670" s="6">
        <f>IF('FUENTE NO BORRAR'!H688="","",IF('FUENTE NO BORRAR'!$A688&lt;&gt;"Resultado total",('FUENTE NO BORRAR'!H688),""))</f>
        <v>0</v>
      </c>
      <c r="I670" s="6">
        <f>IF('FUENTE NO BORRAR'!I688="","",IF('FUENTE NO BORRAR'!$A688&lt;&gt;"Resultado total",('FUENTE NO BORRAR'!I688),""))</f>
        <v>0</v>
      </c>
    </row>
    <row r="671" spans="1:9" x14ac:dyDescent="0.2">
      <c r="A671" s="5" t="str">
        <f>IF('FUENTE NO BORRAR'!A689="","",(IF('FUENTE NO BORRAR'!A689&lt;&gt;"Resultado total",'FUENTE NO BORRAR'!A689,"")))</f>
        <v/>
      </c>
      <c r="B671" s="5" t="str">
        <f>IF('FUENTE NO BORRAR'!B689="","",'FUENTE NO BORRAR'!B689)</f>
        <v/>
      </c>
      <c r="C671" s="5" t="str">
        <f>IF('FUENTE NO BORRAR'!C689="","",'FUENTE NO BORRAR'!C689)</f>
        <v/>
      </c>
      <c r="D671" s="5" t="str">
        <f>IF('FUENTE NO BORRAR'!D689="","",'FUENTE NO BORRAR'!D689)</f>
        <v/>
      </c>
      <c r="E671" s="5" t="str">
        <f>IF('FUENTE NO BORRAR'!E689="","",'FUENTE NO BORRAR'!E689)</f>
        <v/>
      </c>
      <c r="F671" s="6">
        <f>IF('FUENTE NO BORRAR'!F689="","",IF('FUENTE NO BORRAR'!$A689&lt;&gt;"Resultado total",('FUENTE NO BORRAR'!F689),""))</f>
        <v>0</v>
      </c>
      <c r="G671" s="6">
        <f>IF('FUENTE NO BORRAR'!G689="","",IF('FUENTE NO BORRAR'!$A689&lt;&gt;"Resultado total",('FUENTE NO BORRAR'!G689),""))</f>
        <v>0</v>
      </c>
      <c r="H671" s="6">
        <f>IF('FUENTE NO BORRAR'!H689="","",IF('FUENTE NO BORRAR'!$A689&lt;&gt;"Resultado total",('FUENTE NO BORRAR'!H689),""))</f>
        <v>0</v>
      </c>
      <c r="I671" s="6">
        <f>IF('FUENTE NO BORRAR'!I689="","",IF('FUENTE NO BORRAR'!$A689&lt;&gt;"Resultado total",('FUENTE NO BORRAR'!I689),""))</f>
        <v>0</v>
      </c>
    </row>
    <row r="672" spans="1:9" x14ac:dyDescent="0.2">
      <c r="A672" s="5" t="str">
        <f>IF('FUENTE NO BORRAR'!A690="","",(IF('FUENTE NO BORRAR'!A690&lt;&gt;"Resultado total",'FUENTE NO BORRAR'!A690,"")))</f>
        <v/>
      </c>
      <c r="B672" s="5" t="str">
        <f>IF('FUENTE NO BORRAR'!B690="","",'FUENTE NO BORRAR'!B690)</f>
        <v/>
      </c>
      <c r="C672" s="5" t="str">
        <f>IF('FUENTE NO BORRAR'!C690="","",'FUENTE NO BORRAR'!C690)</f>
        <v/>
      </c>
      <c r="D672" s="5" t="str">
        <f>IF('FUENTE NO BORRAR'!D690="","",'FUENTE NO BORRAR'!D690)</f>
        <v/>
      </c>
      <c r="E672" s="5" t="str">
        <f>IF('FUENTE NO BORRAR'!E690="","",'FUENTE NO BORRAR'!E690)</f>
        <v/>
      </c>
      <c r="F672" s="6">
        <f>IF('FUENTE NO BORRAR'!F690="","",IF('FUENTE NO BORRAR'!$A690&lt;&gt;"Resultado total",('FUENTE NO BORRAR'!F690),""))</f>
        <v>0</v>
      </c>
      <c r="G672" s="6">
        <f>IF('FUENTE NO BORRAR'!G690="","",IF('FUENTE NO BORRAR'!$A690&lt;&gt;"Resultado total",('FUENTE NO BORRAR'!G690),""))</f>
        <v>0</v>
      </c>
      <c r="H672" s="6">
        <f>IF('FUENTE NO BORRAR'!H690="","",IF('FUENTE NO BORRAR'!$A690&lt;&gt;"Resultado total",('FUENTE NO BORRAR'!H690),""))</f>
        <v>0</v>
      </c>
      <c r="I672" s="6">
        <f>IF('FUENTE NO BORRAR'!I690="","",IF('FUENTE NO BORRAR'!$A690&lt;&gt;"Resultado total",('FUENTE NO BORRAR'!I690),""))</f>
        <v>0</v>
      </c>
    </row>
    <row r="673" spans="1:9" x14ac:dyDescent="0.2">
      <c r="A673" s="5" t="str">
        <f>IF('FUENTE NO BORRAR'!A691="","",(IF('FUENTE NO BORRAR'!A691&lt;&gt;"Resultado total",'FUENTE NO BORRAR'!A691,"")))</f>
        <v/>
      </c>
      <c r="B673" s="5" t="str">
        <f>IF('FUENTE NO BORRAR'!B691="","",'FUENTE NO BORRAR'!B691)</f>
        <v/>
      </c>
      <c r="C673" s="5" t="str">
        <f>IF('FUENTE NO BORRAR'!C691="","",'FUENTE NO BORRAR'!C691)</f>
        <v/>
      </c>
      <c r="D673" s="5" t="str">
        <f>IF('FUENTE NO BORRAR'!D691="","",'FUENTE NO BORRAR'!D691)</f>
        <v/>
      </c>
      <c r="E673" s="5" t="str">
        <f>IF('FUENTE NO BORRAR'!E691="","",'FUENTE NO BORRAR'!E691)</f>
        <v/>
      </c>
      <c r="F673" s="6">
        <f>IF('FUENTE NO BORRAR'!F691="","",IF('FUENTE NO BORRAR'!$A691&lt;&gt;"Resultado total",('FUENTE NO BORRAR'!F691),""))</f>
        <v>0</v>
      </c>
      <c r="G673" s="6">
        <f>IF('FUENTE NO BORRAR'!G691="","",IF('FUENTE NO BORRAR'!$A691&lt;&gt;"Resultado total",('FUENTE NO BORRAR'!G691),""))</f>
        <v>0</v>
      </c>
      <c r="H673" s="6">
        <f>IF('FUENTE NO BORRAR'!H691="","",IF('FUENTE NO BORRAR'!$A691&lt;&gt;"Resultado total",('FUENTE NO BORRAR'!H691),""))</f>
        <v>0</v>
      </c>
      <c r="I673" s="6">
        <f>IF('FUENTE NO BORRAR'!I691="","",IF('FUENTE NO BORRAR'!$A691&lt;&gt;"Resultado total",('FUENTE NO BORRAR'!I691),""))</f>
        <v>0</v>
      </c>
    </row>
    <row r="674" spans="1:9" x14ac:dyDescent="0.2">
      <c r="A674" s="5" t="str">
        <f>IF('FUENTE NO BORRAR'!A692="","",(IF('FUENTE NO BORRAR'!A692&lt;&gt;"Resultado total",'FUENTE NO BORRAR'!A692,"")))</f>
        <v/>
      </c>
      <c r="B674" s="5" t="str">
        <f>IF('FUENTE NO BORRAR'!B692="","",'FUENTE NO BORRAR'!B692)</f>
        <v/>
      </c>
      <c r="C674" s="5" t="str">
        <f>IF('FUENTE NO BORRAR'!C692="","",'FUENTE NO BORRAR'!C692)</f>
        <v/>
      </c>
      <c r="D674" s="5" t="str">
        <f>IF('FUENTE NO BORRAR'!D692="","",'FUENTE NO BORRAR'!D692)</f>
        <v/>
      </c>
      <c r="E674" s="5" t="str">
        <f>IF('FUENTE NO BORRAR'!E692="","",'FUENTE NO BORRAR'!E692)</f>
        <v/>
      </c>
      <c r="F674" s="6">
        <f>IF('FUENTE NO BORRAR'!F692="","",IF('FUENTE NO BORRAR'!$A692&lt;&gt;"Resultado total",('FUENTE NO BORRAR'!F692),""))</f>
        <v>0</v>
      </c>
      <c r="G674" s="6">
        <f>IF('FUENTE NO BORRAR'!G692="","",IF('FUENTE NO BORRAR'!$A692&lt;&gt;"Resultado total",('FUENTE NO BORRAR'!G692),""))</f>
        <v>0</v>
      </c>
      <c r="H674" s="6">
        <f>IF('FUENTE NO BORRAR'!H692="","",IF('FUENTE NO BORRAR'!$A692&lt;&gt;"Resultado total",('FUENTE NO BORRAR'!H692),""))</f>
        <v>0</v>
      </c>
      <c r="I674" s="6">
        <f>IF('FUENTE NO BORRAR'!I692="","",IF('FUENTE NO BORRAR'!$A692&lt;&gt;"Resultado total",('FUENTE NO BORRAR'!I692),""))</f>
        <v>0</v>
      </c>
    </row>
    <row r="675" spans="1:9" x14ac:dyDescent="0.2">
      <c r="A675" s="5" t="str">
        <f>IF('FUENTE NO BORRAR'!A693="","",(IF('FUENTE NO BORRAR'!A693&lt;&gt;"Resultado total",'FUENTE NO BORRAR'!A693,"")))</f>
        <v/>
      </c>
      <c r="B675" s="5" t="str">
        <f>IF('FUENTE NO BORRAR'!B693="","",'FUENTE NO BORRAR'!B693)</f>
        <v/>
      </c>
      <c r="C675" s="5" t="str">
        <f>IF('FUENTE NO BORRAR'!C693="","",'FUENTE NO BORRAR'!C693)</f>
        <v/>
      </c>
      <c r="D675" s="5" t="str">
        <f>IF('FUENTE NO BORRAR'!D693="","",'FUENTE NO BORRAR'!D693)</f>
        <v/>
      </c>
      <c r="E675" s="5" t="str">
        <f>IF('FUENTE NO BORRAR'!E693="","",'FUENTE NO BORRAR'!E693)</f>
        <v/>
      </c>
      <c r="F675" s="6">
        <f>IF('FUENTE NO BORRAR'!F693="","",IF('FUENTE NO BORRAR'!$A693&lt;&gt;"Resultado total",('FUENTE NO BORRAR'!F693),""))</f>
        <v>0</v>
      </c>
      <c r="G675" s="6">
        <f>IF('FUENTE NO BORRAR'!G693="","",IF('FUENTE NO BORRAR'!$A693&lt;&gt;"Resultado total",('FUENTE NO BORRAR'!G693),""))</f>
        <v>0</v>
      </c>
      <c r="H675" s="6">
        <f>IF('FUENTE NO BORRAR'!H693="","",IF('FUENTE NO BORRAR'!$A693&lt;&gt;"Resultado total",('FUENTE NO BORRAR'!H693),""))</f>
        <v>0</v>
      </c>
      <c r="I675" s="6">
        <f>IF('FUENTE NO BORRAR'!I693="","",IF('FUENTE NO BORRAR'!$A693&lt;&gt;"Resultado total",('FUENTE NO BORRAR'!I693),""))</f>
        <v>0</v>
      </c>
    </row>
    <row r="676" spans="1:9" x14ac:dyDescent="0.2">
      <c r="A676" s="5" t="str">
        <f>IF('FUENTE NO BORRAR'!A694="","",(IF('FUENTE NO BORRAR'!A694&lt;&gt;"Resultado total",'FUENTE NO BORRAR'!A694,"")))</f>
        <v/>
      </c>
      <c r="B676" s="5" t="str">
        <f>IF('FUENTE NO BORRAR'!B694="","",'FUENTE NO BORRAR'!B694)</f>
        <v/>
      </c>
      <c r="C676" s="5" t="str">
        <f>IF('FUENTE NO BORRAR'!C694="","",'FUENTE NO BORRAR'!C694)</f>
        <v/>
      </c>
      <c r="D676" s="5" t="str">
        <f>IF('FUENTE NO BORRAR'!D694="","",'FUENTE NO BORRAR'!D694)</f>
        <v/>
      </c>
      <c r="E676" s="5" t="str">
        <f>IF('FUENTE NO BORRAR'!E694="","",'FUENTE NO BORRAR'!E694)</f>
        <v/>
      </c>
      <c r="F676" s="6">
        <f>IF('FUENTE NO BORRAR'!F694="","",IF('FUENTE NO BORRAR'!$A694&lt;&gt;"Resultado total",('FUENTE NO BORRAR'!F694),""))</f>
        <v>0</v>
      </c>
      <c r="G676" s="6">
        <f>IF('FUENTE NO BORRAR'!G694="","",IF('FUENTE NO BORRAR'!$A694&lt;&gt;"Resultado total",('FUENTE NO BORRAR'!G694),""))</f>
        <v>0</v>
      </c>
      <c r="H676" s="6">
        <f>IF('FUENTE NO BORRAR'!H694="","",IF('FUENTE NO BORRAR'!$A694&lt;&gt;"Resultado total",('FUENTE NO BORRAR'!H694),""))</f>
        <v>0</v>
      </c>
      <c r="I676" s="6">
        <f>IF('FUENTE NO BORRAR'!I694="","",IF('FUENTE NO BORRAR'!$A694&lt;&gt;"Resultado total",('FUENTE NO BORRAR'!I694),""))</f>
        <v>0</v>
      </c>
    </row>
    <row r="677" spans="1:9" x14ac:dyDescent="0.2">
      <c r="A677" s="5" t="str">
        <f>IF('FUENTE NO BORRAR'!A695="","",(IF('FUENTE NO BORRAR'!A695&lt;&gt;"Resultado total",'FUENTE NO BORRAR'!A695,"")))</f>
        <v/>
      </c>
      <c r="B677" s="5" t="str">
        <f>IF('FUENTE NO BORRAR'!B695="","",'FUENTE NO BORRAR'!B695)</f>
        <v/>
      </c>
      <c r="C677" s="5" t="str">
        <f>IF('FUENTE NO BORRAR'!C695="","",'FUENTE NO BORRAR'!C695)</f>
        <v/>
      </c>
      <c r="D677" s="5" t="str">
        <f>IF('FUENTE NO BORRAR'!D695="","",'FUENTE NO BORRAR'!D695)</f>
        <v/>
      </c>
      <c r="E677" s="5" t="str">
        <f>IF('FUENTE NO BORRAR'!E695="","",'FUENTE NO BORRAR'!E695)</f>
        <v/>
      </c>
      <c r="F677" s="6">
        <f>IF('FUENTE NO BORRAR'!F695="","",IF('FUENTE NO BORRAR'!$A695&lt;&gt;"Resultado total",('FUENTE NO BORRAR'!F695),""))</f>
        <v>0</v>
      </c>
      <c r="G677" s="6">
        <f>IF('FUENTE NO BORRAR'!G695="","",IF('FUENTE NO BORRAR'!$A695&lt;&gt;"Resultado total",('FUENTE NO BORRAR'!G695),""))</f>
        <v>0</v>
      </c>
      <c r="H677" s="6">
        <f>IF('FUENTE NO BORRAR'!H695="","",IF('FUENTE NO BORRAR'!$A695&lt;&gt;"Resultado total",('FUENTE NO BORRAR'!H695),""))</f>
        <v>0</v>
      </c>
      <c r="I677" s="6">
        <f>IF('FUENTE NO BORRAR'!I695="","",IF('FUENTE NO BORRAR'!$A695&lt;&gt;"Resultado total",('FUENTE NO BORRAR'!I695),""))</f>
        <v>0</v>
      </c>
    </row>
    <row r="678" spans="1:9" x14ac:dyDescent="0.2">
      <c r="A678" s="5" t="str">
        <f>IF('FUENTE NO BORRAR'!A696="","",(IF('FUENTE NO BORRAR'!A696&lt;&gt;"Resultado total",'FUENTE NO BORRAR'!A696,"")))</f>
        <v/>
      </c>
      <c r="B678" s="5" t="str">
        <f>IF('FUENTE NO BORRAR'!B696="","",'FUENTE NO BORRAR'!B696)</f>
        <v/>
      </c>
      <c r="C678" s="5" t="str">
        <f>IF('FUENTE NO BORRAR'!C696="","",'FUENTE NO BORRAR'!C696)</f>
        <v/>
      </c>
      <c r="D678" s="5" t="str">
        <f>IF('FUENTE NO BORRAR'!D696="","",'FUENTE NO BORRAR'!D696)</f>
        <v/>
      </c>
      <c r="E678" s="5" t="str">
        <f>IF('FUENTE NO BORRAR'!E696="","",'FUENTE NO BORRAR'!E696)</f>
        <v/>
      </c>
      <c r="F678" s="6">
        <f>IF('FUENTE NO BORRAR'!F696="","",IF('FUENTE NO BORRAR'!$A696&lt;&gt;"Resultado total",('FUENTE NO BORRAR'!F696),""))</f>
        <v>0</v>
      </c>
      <c r="G678" s="6">
        <f>IF('FUENTE NO BORRAR'!G696="","",IF('FUENTE NO BORRAR'!$A696&lt;&gt;"Resultado total",('FUENTE NO BORRAR'!G696),""))</f>
        <v>0</v>
      </c>
      <c r="H678" s="6">
        <f>IF('FUENTE NO BORRAR'!H696="","",IF('FUENTE NO BORRAR'!$A696&lt;&gt;"Resultado total",('FUENTE NO BORRAR'!H696),""))</f>
        <v>0</v>
      </c>
      <c r="I678" s="6">
        <f>IF('FUENTE NO BORRAR'!I696="","",IF('FUENTE NO BORRAR'!$A696&lt;&gt;"Resultado total",('FUENTE NO BORRAR'!I696),""))</f>
        <v>0</v>
      </c>
    </row>
    <row r="679" spans="1:9" x14ac:dyDescent="0.2">
      <c r="A679" s="5" t="str">
        <f>IF('FUENTE NO BORRAR'!A697="","",(IF('FUENTE NO BORRAR'!A697&lt;&gt;"Resultado total",'FUENTE NO BORRAR'!A697,"")))</f>
        <v/>
      </c>
      <c r="B679" s="5" t="str">
        <f>IF('FUENTE NO BORRAR'!B697="","",'FUENTE NO BORRAR'!B697)</f>
        <v/>
      </c>
      <c r="C679" s="5" t="str">
        <f>IF('FUENTE NO BORRAR'!C697="","",'FUENTE NO BORRAR'!C697)</f>
        <v/>
      </c>
      <c r="D679" s="5" t="str">
        <f>IF('FUENTE NO BORRAR'!D697="","",'FUENTE NO BORRAR'!D697)</f>
        <v/>
      </c>
      <c r="E679" s="5" t="str">
        <f>IF('FUENTE NO BORRAR'!E697="","",'FUENTE NO BORRAR'!E697)</f>
        <v/>
      </c>
      <c r="F679" s="6">
        <f>IF('FUENTE NO BORRAR'!F697="","",IF('FUENTE NO BORRAR'!$A697&lt;&gt;"Resultado total",('FUENTE NO BORRAR'!F697),""))</f>
        <v>0</v>
      </c>
      <c r="G679" s="6">
        <f>IF('FUENTE NO BORRAR'!G697="","",IF('FUENTE NO BORRAR'!$A697&lt;&gt;"Resultado total",('FUENTE NO BORRAR'!G697),""))</f>
        <v>0</v>
      </c>
      <c r="H679" s="6">
        <f>IF('FUENTE NO BORRAR'!H697="","",IF('FUENTE NO BORRAR'!$A697&lt;&gt;"Resultado total",('FUENTE NO BORRAR'!H697),""))</f>
        <v>0</v>
      </c>
      <c r="I679" s="6">
        <f>IF('FUENTE NO BORRAR'!I697="","",IF('FUENTE NO BORRAR'!$A697&lt;&gt;"Resultado total",('FUENTE NO BORRAR'!I697),""))</f>
        <v>0</v>
      </c>
    </row>
    <row r="680" spans="1:9" x14ac:dyDescent="0.2">
      <c r="A680" s="5" t="str">
        <f>IF('FUENTE NO BORRAR'!A698="","",(IF('FUENTE NO BORRAR'!A698&lt;&gt;"Resultado total",'FUENTE NO BORRAR'!A698,"")))</f>
        <v/>
      </c>
      <c r="B680" s="5" t="str">
        <f>IF('FUENTE NO BORRAR'!B698="","",'FUENTE NO BORRAR'!B698)</f>
        <v/>
      </c>
      <c r="C680" s="5" t="str">
        <f>IF('FUENTE NO BORRAR'!C698="","",'FUENTE NO BORRAR'!C698)</f>
        <v/>
      </c>
      <c r="D680" s="5" t="str">
        <f>IF('FUENTE NO BORRAR'!D698="","",'FUENTE NO BORRAR'!D698)</f>
        <v/>
      </c>
      <c r="E680" s="5" t="str">
        <f>IF('FUENTE NO BORRAR'!E698="","",'FUENTE NO BORRAR'!E698)</f>
        <v/>
      </c>
      <c r="F680" s="6">
        <f>IF('FUENTE NO BORRAR'!F698="","",IF('FUENTE NO BORRAR'!$A698&lt;&gt;"Resultado total",('FUENTE NO BORRAR'!F698),""))</f>
        <v>0</v>
      </c>
      <c r="G680" s="6">
        <f>IF('FUENTE NO BORRAR'!G698="","",IF('FUENTE NO BORRAR'!$A698&lt;&gt;"Resultado total",('FUENTE NO BORRAR'!G698),""))</f>
        <v>0</v>
      </c>
      <c r="H680" s="6">
        <f>IF('FUENTE NO BORRAR'!H698="","",IF('FUENTE NO BORRAR'!$A698&lt;&gt;"Resultado total",('FUENTE NO BORRAR'!H698),""))</f>
        <v>0</v>
      </c>
      <c r="I680" s="6">
        <f>IF('FUENTE NO BORRAR'!I698="","",IF('FUENTE NO BORRAR'!$A698&lt;&gt;"Resultado total",('FUENTE NO BORRAR'!I698),""))</f>
        <v>0</v>
      </c>
    </row>
    <row r="681" spans="1:9" x14ac:dyDescent="0.2">
      <c r="A681" s="5" t="str">
        <f>IF('FUENTE NO BORRAR'!A699="","",(IF('FUENTE NO BORRAR'!A699&lt;&gt;"Resultado total",'FUENTE NO BORRAR'!A699,"")))</f>
        <v/>
      </c>
      <c r="B681" s="5" t="str">
        <f>IF('FUENTE NO BORRAR'!B699="","",'FUENTE NO BORRAR'!B699)</f>
        <v/>
      </c>
      <c r="C681" s="5" t="str">
        <f>IF('FUENTE NO BORRAR'!C699="","",'FUENTE NO BORRAR'!C699)</f>
        <v/>
      </c>
      <c r="D681" s="5" t="str">
        <f>IF('FUENTE NO BORRAR'!D699="","",'FUENTE NO BORRAR'!D699)</f>
        <v/>
      </c>
      <c r="E681" s="5" t="str">
        <f>IF('FUENTE NO BORRAR'!E699="","",'FUENTE NO BORRAR'!E699)</f>
        <v/>
      </c>
      <c r="F681" s="6">
        <f>IF('FUENTE NO BORRAR'!F699="","",IF('FUENTE NO BORRAR'!$A699&lt;&gt;"Resultado total",('FUENTE NO BORRAR'!F699),""))</f>
        <v>0</v>
      </c>
      <c r="G681" s="6">
        <f>IF('FUENTE NO BORRAR'!G699="","",IF('FUENTE NO BORRAR'!$A699&lt;&gt;"Resultado total",('FUENTE NO BORRAR'!G699),""))</f>
        <v>0</v>
      </c>
      <c r="H681" s="6">
        <f>IF('FUENTE NO BORRAR'!H699="","",IF('FUENTE NO BORRAR'!$A699&lt;&gt;"Resultado total",('FUENTE NO BORRAR'!H699),""))</f>
        <v>0</v>
      </c>
      <c r="I681" s="6">
        <f>IF('FUENTE NO BORRAR'!I699="","",IF('FUENTE NO BORRAR'!$A699&lt;&gt;"Resultado total",('FUENTE NO BORRAR'!I699),""))</f>
        <v>0</v>
      </c>
    </row>
    <row r="682" spans="1:9" x14ac:dyDescent="0.2">
      <c r="A682" s="5" t="str">
        <f>IF('FUENTE NO BORRAR'!A700="","",(IF('FUENTE NO BORRAR'!A700&lt;&gt;"Resultado total",'FUENTE NO BORRAR'!A700,"")))</f>
        <v/>
      </c>
      <c r="B682" s="5" t="str">
        <f>IF('FUENTE NO BORRAR'!B700="","",'FUENTE NO BORRAR'!B700)</f>
        <v/>
      </c>
      <c r="C682" s="5" t="str">
        <f>IF('FUENTE NO BORRAR'!C700="","",'FUENTE NO BORRAR'!C700)</f>
        <v/>
      </c>
      <c r="D682" s="5" t="str">
        <f>IF('FUENTE NO BORRAR'!D700="","",'FUENTE NO BORRAR'!D700)</f>
        <v/>
      </c>
      <c r="E682" s="5" t="str">
        <f>IF('FUENTE NO BORRAR'!E700="","",'FUENTE NO BORRAR'!E700)</f>
        <v/>
      </c>
      <c r="F682" s="6">
        <f>IF('FUENTE NO BORRAR'!F700="","",IF('FUENTE NO BORRAR'!$A700&lt;&gt;"Resultado total",('FUENTE NO BORRAR'!F700),""))</f>
        <v>0</v>
      </c>
      <c r="G682" s="6">
        <f>IF('FUENTE NO BORRAR'!G700="","",IF('FUENTE NO BORRAR'!$A700&lt;&gt;"Resultado total",('FUENTE NO BORRAR'!G700),""))</f>
        <v>0</v>
      </c>
      <c r="H682" s="6">
        <f>IF('FUENTE NO BORRAR'!H700="","",IF('FUENTE NO BORRAR'!$A700&lt;&gt;"Resultado total",('FUENTE NO BORRAR'!H700),""))</f>
        <v>0</v>
      </c>
      <c r="I682" s="6">
        <f>IF('FUENTE NO BORRAR'!I700="","",IF('FUENTE NO BORRAR'!$A700&lt;&gt;"Resultado total",('FUENTE NO BORRAR'!I700),""))</f>
        <v>0</v>
      </c>
    </row>
    <row r="683" spans="1:9" x14ac:dyDescent="0.2">
      <c r="A683" s="5" t="str">
        <f>IF('FUENTE NO BORRAR'!A701="","",(IF('FUENTE NO BORRAR'!A701&lt;&gt;"Resultado total",'FUENTE NO BORRAR'!A701,"")))</f>
        <v/>
      </c>
      <c r="B683" s="5" t="str">
        <f>IF('FUENTE NO BORRAR'!B701="","",'FUENTE NO BORRAR'!B701)</f>
        <v/>
      </c>
      <c r="C683" s="5" t="str">
        <f>IF('FUENTE NO BORRAR'!C701="","",'FUENTE NO BORRAR'!C701)</f>
        <v/>
      </c>
      <c r="D683" s="5" t="str">
        <f>IF('FUENTE NO BORRAR'!D701="","",'FUENTE NO BORRAR'!D701)</f>
        <v/>
      </c>
      <c r="E683" s="5" t="str">
        <f>IF('FUENTE NO BORRAR'!E701="","",'FUENTE NO BORRAR'!E701)</f>
        <v/>
      </c>
      <c r="F683" s="6">
        <f>IF('FUENTE NO BORRAR'!F701="","",IF('FUENTE NO BORRAR'!$A701&lt;&gt;"Resultado total",('FUENTE NO BORRAR'!F701),""))</f>
        <v>0</v>
      </c>
      <c r="G683" s="6">
        <f>IF('FUENTE NO BORRAR'!G701="","",IF('FUENTE NO BORRAR'!$A701&lt;&gt;"Resultado total",('FUENTE NO BORRAR'!G701),""))</f>
        <v>0</v>
      </c>
      <c r="H683" s="6">
        <f>IF('FUENTE NO BORRAR'!H701="","",IF('FUENTE NO BORRAR'!$A701&lt;&gt;"Resultado total",('FUENTE NO BORRAR'!H701),""))</f>
        <v>0</v>
      </c>
      <c r="I683" s="6">
        <f>IF('FUENTE NO BORRAR'!I701="","",IF('FUENTE NO BORRAR'!$A701&lt;&gt;"Resultado total",('FUENTE NO BORRAR'!I701),""))</f>
        <v>0</v>
      </c>
    </row>
    <row r="684" spans="1:9" x14ac:dyDescent="0.2">
      <c r="A684" s="5" t="str">
        <f>IF('FUENTE NO BORRAR'!A702="","",(IF('FUENTE NO BORRAR'!A702&lt;&gt;"Resultado total",'FUENTE NO BORRAR'!A702,"")))</f>
        <v/>
      </c>
      <c r="B684" s="5" t="str">
        <f>IF('FUENTE NO BORRAR'!B702="","",'FUENTE NO BORRAR'!B702)</f>
        <v/>
      </c>
      <c r="C684" s="5" t="str">
        <f>IF('FUENTE NO BORRAR'!C702="","",'FUENTE NO BORRAR'!C702)</f>
        <v>13071081E205</v>
      </c>
      <c r="D684" s="5" t="str">
        <f>IF('FUENTE NO BORRAR'!D702="","",'FUENTE NO BORRAR'!D702)</f>
        <v>13071081E205</v>
      </c>
      <c r="E684" s="5" t="str">
        <f>IF('FUENTE NO BORRAR'!E702="","",'FUENTE NO BORRAR'!E702)</f>
        <v/>
      </c>
      <c r="F684" s="6">
        <f>IF('FUENTE NO BORRAR'!F702="","",IF('FUENTE NO BORRAR'!$A702&lt;&gt;"Resultado total",('FUENTE NO BORRAR'!F702),""))</f>
        <v>122985.36</v>
      </c>
      <c r="G684" s="6">
        <f>IF('FUENTE NO BORRAR'!G702="","",IF('FUENTE NO BORRAR'!$A702&lt;&gt;"Resultado total",('FUENTE NO BORRAR'!G702),""))</f>
        <v>122985.36</v>
      </c>
      <c r="H684" s="6">
        <f>IF('FUENTE NO BORRAR'!H702="","",IF('FUENTE NO BORRAR'!$A702&lt;&gt;"Resultado total",('FUENTE NO BORRAR'!H702),""))</f>
        <v>122985.36</v>
      </c>
      <c r="I684" s="6">
        <f>IF('FUENTE NO BORRAR'!I702="","",IF('FUENTE NO BORRAR'!$A702&lt;&gt;"Resultado total",('FUENTE NO BORRAR'!I702),""))</f>
        <v>0</v>
      </c>
    </row>
    <row r="685" spans="1:9" x14ac:dyDescent="0.2">
      <c r="A685" s="5" t="str">
        <f>IF('FUENTE NO BORRAR'!A703="","",(IF('FUENTE NO BORRAR'!A703&lt;&gt;"Resultado total",'FUENTE NO BORRAR'!A703,"")))</f>
        <v/>
      </c>
      <c r="B685" s="5" t="str">
        <f>IF('FUENTE NO BORRAR'!B703="","",'FUENTE NO BORRAR'!B703)</f>
        <v/>
      </c>
      <c r="C685" s="5" t="str">
        <f>IF('FUENTE NO BORRAR'!C703="","",'FUENTE NO BORRAR'!C703)</f>
        <v/>
      </c>
      <c r="D685" s="5" t="str">
        <f>IF('FUENTE NO BORRAR'!D703="","",'FUENTE NO BORRAR'!D703)</f>
        <v/>
      </c>
      <c r="E685" s="5" t="str">
        <f>IF('FUENTE NO BORRAR'!E703="","",'FUENTE NO BORRAR'!E703)</f>
        <v/>
      </c>
      <c r="F685" s="6">
        <f>IF('FUENTE NO BORRAR'!F703="","",IF('FUENTE NO BORRAR'!$A703&lt;&gt;"Resultado total",('FUENTE NO BORRAR'!F703),""))</f>
        <v>217424.16</v>
      </c>
      <c r="G685" s="6">
        <f>IF('FUENTE NO BORRAR'!G703="","",IF('FUENTE NO BORRAR'!$A703&lt;&gt;"Resultado total",('FUENTE NO BORRAR'!G703),""))</f>
        <v>217424.16</v>
      </c>
      <c r="H685" s="6">
        <f>IF('FUENTE NO BORRAR'!H703="","",IF('FUENTE NO BORRAR'!$A703&lt;&gt;"Resultado total",('FUENTE NO BORRAR'!H703),""))</f>
        <v>217424.16</v>
      </c>
      <c r="I685" s="6">
        <f>IF('FUENTE NO BORRAR'!I703="","",IF('FUENTE NO BORRAR'!$A703&lt;&gt;"Resultado total",('FUENTE NO BORRAR'!I703),""))</f>
        <v>0</v>
      </c>
    </row>
    <row r="686" spans="1:9" x14ac:dyDescent="0.2">
      <c r="A686" s="5" t="str">
        <f>IF('FUENTE NO BORRAR'!A704="","",(IF('FUENTE NO BORRAR'!A704&lt;&gt;"Resultado total",'FUENTE NO BORRAR'!A704,"")))</f>
        <v/>
      </c>
      <c r="B686" s="5" t="str">
        <f>IF('FUENTE NO BORRAR'!B704="","",'FUENTE NO BORRAR'!B704)</f>
        <v/>
      </c>
      <c r="C686" s="5" t="str">
        <f>IF('FUENTE NO BORRAR'!C704="","",'FUENTE NO BORRAR'!C704)</f>
        <v/>
      </c>
      <c r="D686" s="5" t="str">
        <f>IF('FUENTE NO BORRAR'!D704="","",'FUENTE NO BORRAR'!D704)</f>
        <v/>
      </c>
      <c r="E686" s="5" t="str">
        <f>IF('FUENTE NO BORRAR'!E704="","",'FUENTE NO BORRAR'!E704)</f>
        <v/>
      </c>
      <c r="F686" s="6">
        <f>IF('FUENTE NO BORRAR'!F704="","",IF('FUENTE NO BORRAR'!$A704&lt;&gt;"Resultado total",('FUENTE NO BORRAR'!F704),""))</f>
        <v>1039040.6</v>
      </c>
      <c r="G686" s="6">
        <f>IF('FUENTE NO BORRAR'!G704="","",IF('FUENTE NO BORRAR'!$A704&lt;&gt;"Resultado total",('FUENTE NO BORRAR'!G704),""))</f>
        <v>1039040.6</v>
      </c>
      <c r="H686" s="6">
        <f>IF('FUENTE NO BORRAR'!H704="","",IF('FUENTE NO BORRAR'!$A704&lt;&gt;"Resultado total",('FUENTE NO BORRAR'!H704),""))</f>
        <v>1039040.6</v>
      </c>
      <c r="I686" s="6">
        <f>IF('FUENTE NO BORRAR'!I704="","",IF('FUENTE NO BORRAR'!$A704&lt;&gt;"Resultado total",('FUENTE NO BORRAR'!I704),""))</f>
        <v>0</v>
      </c>
    </row>
    <row r="687" spans="1:9" x14ac:dyDescent="0.2">
      <c r="A687" s="5" t="str">
        <f>IF('FUENTE NO BORRAR'!A705="","",(IF('FUENTE NO BORRAR'!A705&lt;&gt;"Resultado total",'FUENTE NO BORRAR'!A705,"")))</f>
        <v/>
      </c>
      <c r="B687" s="5" t="str">
        <f>IF('FUENTE NO BORRAR'!B705="","",'FUENTE NO BORRAR'!B705)</f>
        <v/>
      </c>
      <c r="C687" s="5" t="str">
        <f>IF('FUENTE NO BORRAR'!C705="","",'FUENTE NO BORRAR'!C705)</f>
        <v/>
      </c>
      <c r="D687" s="5" t="str">
        <f>IF('FUENTE NO BORRAR'!D705="","",'FUENTE NO BORRAR'!D705)</f>
        <v/>
      </c>
      <c r="E687" s="5" t="str">
        <f>IF('FUENTE NO BORRAR'!E705="","",'FUENTE NO BORRAR'!E705)</f>
        <v/>
      </c>
      <c r="F687" s="6">
        <f>IF('FUENTE NO BORRAR'!F705="","",IF('FUENTE NO BORRAR'!$A705&lt;&gt;"Resultado total",('FUENTE NO BORRAR'!F705),""))</f>
        <v>18159.86</v>
      </c>
      <c r="G687" s="6">
        <f>IF('FUENTE NO BORRAR'!G705="","",IF('FUENTE NO BORRAR'!$A705&lt;&gt;"Resultado total",('FUENTE NO BORRAR'!G705),""))</f>
        <v>18159.86</v>
      </c>
      <c r="H687" s="6">
        <f>IF('FUENTE NO BORRAR'!H705="","",IF('FUENTE NO BORRAR'!$A705&lt;&gt;"Resultado total",('FUENTE NO BORRAR'!H705),""))</f>
        <v>18159.86</v>
      </c>
      <c r="I687" s="6">
        <f>IF('FUENTE NO BORRAR'!I705="","",IF('FUENTE NO BORRAR'!$A705&lt;&gt;"Resultado total",('FUENTE NO BORRAR'!I705),""))</f>
        <v>0</v>
      </c>
    </row>
    <row r="688" spans="1:9" x14ac:dyDescent="0.2">
      <c r="A688" s="5" t="str">
        <f>IF('FUENTE NO BORRAR'!A706="","",(IF('FUENTE NO BORRAR'!A706&lt;&gt;"Resultado total",'FUENTE NO BORRAR'!A706,"")))</f>
        <v/>
      </c>
      <c r="B688" s="5" t="str">
        <f>IF('FUENTE NO BORRAR'!B706="","",'FUENTE NO BORRAR'!B706)</f>
        <v/>
      </c>
      <c r="C688" s="5" t="str">
        <f>IF('FUENTE NO BORRAR'!C706="","",'FUENTE NO BORRAR'!C706)</f>
        <v/>
      </c>
      <c r="D688" s="5" t="str">
        <f>IF('FUENTE NO BORRAR'!D706="","",'FUENTE NO BORRAR'!D706)</f>
        <v/>
      </c>
      <c r="E688" s="5" t="str">
        <f>IF('FUENTE NO BORRAR'!E706="","",'FUENTE NO BORRAR'!E706)</f>
        <v/>
      </c>
      <c r="F688" s="6">
        <f>IF('FUENTE NO BORRAR'!F706="","",IF('FUENTE NO BORRAR'!$A706&lt;&gt;"Resultado total",('FUENTE NO BORRAR'!F706),""))</f>
        <v>13984.62</v>
      </c>
      <c r="G688" s="6">
        <f>IF('FUENTE NO BORRAR'!G706="","",IF('FUENTE NO BORRAR'!$A706&lt;&gt;"Resultado total",('FUENTE NO BORRAR'!G706),""))</f>
        <v>13984.62</v>
      </c>
      <c r="H688" s="6">
        <f>IF('FUENTE NO BORRAR'!H706="","",IF('FUENTE NO BORRAR'!$A706&lt;&gt;"Resultado total",('FUENTE NO BORRAR'!H706),""))</f>
        <v>13984.62</v>
      </c>
      <c r="I688" s="6">
        <f>IF('FUENTE NO BORRAR'!I706="","",IF('FUENTE NO BORRAR'!$A706&lt;&gt;"Resultado total",('FUENTE NO BORRAR'!I706),""))</f>
        <v>0</v>
      </c>
    </row>
    <row r="689" spans="1:9" x14ac:dyDescent="0.2">
      <c r="A689" s="5" t="str">
        <f>IF('FUENTE NO BORRAR'!A707="","",(IF('FUENTE NO BORRAR'!A707&lt;&gt;"Resultado total",'FUENTE NO BORRAR'!A707,"")))</f>
        <v/>
      </c>
      <c r="B689" s="5" t="str">
        <f>IF('FUENTE NO BORRAR'!B707="","",'FUENTE NO BORRAR'!B707)</f>
        <v/>
      </c>
      <c r="C689" s="5" t="str">
        <f>IF('FUENTE NO BORRAR'!C707="","",'FUENTE NO BORRAR'!C707)</f>
        <v/>
      </c>
      <c r="D689" s="5" t="str">
        <f>IF('FUENTE NO BORRAR'!D707="","",'FUENTE NO BORRAR'!D707)</f>
        <v/>
      </c>
      <c r="E689" s="5" t="str">
        <f>IF('FUENTE NO BORRAR'!E707="","",'FUENTE NO BORRAR'!E707)</f>
        <v/>
      </c>
      <c r="F689" s="6">
        <f>IF('FUENTE NO BORRAR'!F707="","",IF('FUENTE NO BORRAR'!$A707&lt;&gt;"Resultado total",('FUENTE NO BORRAR'!F707),""))</f>
        <v>113205.58</v>
      </c>
      <c r="G689" s="6">
        <f>IF('FUENTE NO BORRAR'!G707="","",IF('FUENTE NO BORRAR'!$A707&lt;&gt;"Resultado total",('FUENTE NO BORRAR'!G707),""))</f>
        <v>113205.58</v>
      </c>
      <c r="H689" s="6">
        <f>IF('FUENTE NO BORRAR'!H707="","",IF('FUENTE NO BORRAR'!$A707&lt;&gt;"Resultado total",('FUENTE NO BORRAR'!H707),""))</f>
        <v>113205.58</v>
      </c>
      <c r="I689" s="6">
        <f>IF('FUENTE NO BORRAR'!I707="","",IF('FUENTE NO BORRAR'!$A707&lt;&gt;"Resultado total",('FUENTE NO BORRAR'!I707),""))</f>
        <v>0</v>
      </c>
    </row>
    <row r="690" spans="1:9" x14ac:dyDescent="0.2">
      <c r="A690" s="5" t="str">
        <f>IF('FUENTE NO BORRAR'!A708="","",(IF('FUENTE NO BORRAR'!A708&lt;&gt;"Resultado total",'FUENTE NO BORRAR'!A708,"")))</f>
        <v/>
      </c>
      <c r="B690" s="5" t="str">
        <f>IF('FUENTE NO BORRAR'!B708="","",'FUENTE NO BORRAR'!B708)</f>
        <v/>
      </c>
      <c r="C690" s="5" t="str">
        <f>IF('FUENTE NO BORRAR'!C708="","",'FUENTE NO BORRAR'!C708)</f>
        <v/>
      </c>
      <c r="D690" s="5" t="str">
        <f>IF('FUENTE NO BORRAR'!D708="","",'FUENTE NO BORRAR'!D708)</f>
        <v/>
      </c>
      <c r="E690" s="5" t="str">
        <f>IF('FUENTE NO BORRAR'!E708="","",'FUENTE NO BORRAR'!E708)</f>
        <v/>
      </c>
      <c r="F690" s="6">
        <f>IF('FUENTE NO BORRAR'!F708="","",IF('FUENTE NO BORRAR'!$A708&lt;&gt;"Resultado total",('FUENTE NO BORRAR'!F708),""))</f>
        <v>405641.99</v>
      </c>
      <c r="G690" s="6">
        <f>IF('FUENTE NO BORRAR'!G708="","",IF('FUENTE NO BORRAR'!$A708&lt;&gt;"Resultado total",('FUENTE NO BORRAR'!G708),""))</f>
        <v>405641.99</v>
      </c>
      <c r="H690" s="6">
        <f>IF('FUENTE NO BORRAR'!H708="","",IF('FUENTE NO BORRAR'!$A708&lt;&gt;"Resultado total",('FUENTE NO BORRAR'!H708),""))</f>
        <v>412049.15</v>
      </c>
      <c r="I690" s="6">
        <f>IF('FUENTE NO BORRAR'!I708="","",IF('FUENTE NO BORRAR'!$A708&lt;&gt;"Resultado total",('FUENTE NO BORRAR'!I708),""))</f>
        <v>0</v>
      </c>
    </row>
    <row r="691" spans="1:9" x14ac:dyDescent="0.2">
      <c r="A691" s="5" t="str">
        <f>IF('FUENTE NO BORRAR'!A709="","",(IF('FUENTE NO BORRAR'!A709&lt;&gt;"Resultado total",'FUENTE NO BORRAR'!A709,"")))</f>
        <v/>
      </c>
      <c r="B691" s="5" t="str">
        <f>IF('FUENTE NO BORRAR'!B709="","",'FUENTE NO BORRAR'!B709)</f>
        <v/>
      </c>
      <c r="C691" s="5" t="str">
        <f>IF('FUENTE NO BORRAR'!C709="","",'FUENTE NO BORRAR'!C709)</f>
        <v/>
      </c>
      <c r="D691" s="5" t="str">
        <f>IF('FUENTE NO BORRAR'!D709="","",'FUENTE NO BORRAR'!D709)</f>
        <v/>
      </c>
      <c r="E691" s="5" t="str">
        <f>IF('FUENTE NO BORRAR'!E709="","",'FUENTE NO BORRAR'!E709)</f>
        <v/>
      </c>
      <c r="F691" s="6">
        <f>IF('FUENTE NO BORRAR'!F709="","",IF('FUENTE NO BORRAR'!$A709&lt;&gt;"Resultado total",('FUENTE NO BORRAR'!F709),""))</f>
        <v>475029.89</v>
      </c>
      <c r="G691" s="6">
        <f>IF('FUENTE NO BORRAR'!G709="","",IF('FUENTE NO BORRAR'!$A709&lt;&gt;"Resultado total",('FUENTE NO BORRAR'!G709),""))</f>
        <v>475029.89</v>
      </c>
      <c r="H691" s="6">
        <f>IF('FUENTE NO BORRAR'!H709="","",IF('FUENTE NO BORRAR'!$A709&lt;&gt;"Resultado total",('FUENTE NO BORRAR'!H709),""))</f>
        <v>475029.89</v>
      </c>
      <c r="I691" s="6">
        <f>IF('FUENTE NO BORRAR'!I709="","",IF('FUENTE NO BORRAR'!$A709&lt;&gt;"Resultado total",('FUENTE NO BORRAR'!I709),""))</f>
        <v>0</v>
      </c>
    </row>
    <row r="692" spans="1:9" x14ac:dyDescent="0.2">
      <c r="A692" s="5" t="str">
        <f>IF('FUENTE NO BORRAR'!A710="","",(IF('FUENTE NO BORRAR'!A710&lt;&gt;"Resultado total",'FUENTE NO BORRAR'!A710,"")))</f>
        <v/>
      </c>
      <c r="B692" s="5" t="str">
        <f>IF('FUENTE NO BORRAR'!B710="","",'FUENTE NO BORRAR'!B710)</f>
        <v/>
      </c>
      <c r="C692" s="5" t="str">
        <f>IF('FUENTE NO BORRAR'!C710="","",'FUENTE NO BORRAR'!C710)</f>
        <v/>
      </c>
      <c r="D692" s="5" t="str">
        <f>IF('FUENTE NO BORRAR'!D710="","",'FUENTE NO BORRAR'!D710)</f>
        <v/>
      </c>
      <c r="E692" s="5" t="str">
        <f>IF('FUENTE NO BORRAR'!E710="","",'FUENTE NO BORRAR'!E710)</f>
        <v/>
      </c>
      <c r="F692" s="6">
        <f>IF('FUENTE NO BORRAR'!F710="","",IF('FUENTE NO BORRAR'!$A710&lt;&gt;"Resultado total",('FUENTE NO BORRAR'!F710),""))</f>
        <v>190580.37</v>
      </c>
      <c r="G692" s="6">
        <f>IF('FUENTE NO BORRAR'!G710="","",IF('FUENTE NO BORRAR'!$A710&lt;&gt;"Resultado total",('FUENTE NO BORRAR'!G710),""))</f>
        <v>190580.37</v>
      </c>
      <c r="H692" s="6">
        <f>IF('FUENTE NO BORRAR'!H710="","",IF('FUENTE NO BORRAR'!$A710&lt;&gt;"Resultado total",('FUENTE NO BORRAR'!H710),""))</f>
        <v>190580.37</v>
      </c>
      <c r="I692" s="6">
        <f>IF('FUENTE NO BORRAR'!I710="","",IF('FUENTE NO BORRAR'!$A710&lt;&gt;"Resultado total",('FUENTE NO BORRAR'!I710),""))</f>
        <v>0</v>
      </c>
    </row>
    <row r="693" spans="1:9" x14ac:dyDescent="0.2">
      <c r="A693" s="5" t="str">
        <f>IF('FUENTE NO BORRAR'!A711="","",(IF('FUENTE NO BORRAR'!A711&lt;&gt;"Resultado total",'FUENTE NO BORRAR'!A711,"")))</f>
        <v/>
      </c>
      <c r="B693" s="5" t="str">
        <f>IF('FUENTE NO BORRAR'!B711="","",'FUENTE NO BORRAR'!B711)</f>
        <v/>
      </c>
      <c r="C693" s="5" t="str">
        <f>IF('FUENTE NO BORRAR'!C711="","",'FUENTE NO BORRAR'!C711)</f>
        <v/>
      </c>
      <c r="D693" s="5" t="str">
        <f>IF('FUENTE NO BORRAR'!D711="","",'FUENTE NO BORRAR'!D711)</f>
        <v/>
      </c>
      <c r="E693" s="5" t="str">
        <f>IF('FUENTE NO BORRAR'!E711="","",'FUENTE NO BORRAR'!E711)</f>
        <v/>
      </c>
      <c r="F693" s="6">
        <f>IF('FUENTE NO BORRAR'!F711="","",IF('FUENTE NO BORRAR'!$A711&lt;&gt;"Resultado total",('FUENTE NO BORRAR'!F711),""))</f>
        <v>56776.24</v>
      </c>
      <c r="G693" s="6">
        <f>IF('FUENTE NO BORRAR'!G711="","",IF('FUENTE NO BORRAR'!$A711&lt;&gt;"Resultado total",('FUENTE NO BORRAR'!G711),""))</f>
        <v>56776.24</v>
      </c>
      <c r="H693" s="6">
        <f>IF('FUENTE NO BORRAR'!H711="","",IF('FUENTE NO BORRAR'!$A711&lt;&gt;"Resultado total",('FUENTE NO BORRAR'!H711),""))</f>
        <v>56776.24</v>
      </c>
      <c r="I693" s="6">
        <f>IF('FUENTE NO BORRAR'!I711="","",IF('FUENTE NO BORRAR'!$A711&lt;&gt;"Resultado total",('FUENTE NO BORRAR'!I711),""))</f>
        <v>0</v>
      </c>
    </row>
    <row r="694" spans="1:9" x14ac:dyDescent="0.2">
      <c r="A694" s="5" t="str">
        <f>IF('FUENTE NO BORRAR'!A712="","",(IF('FUENTE NO BORRAR'!A712&lt;&gt;"Resultado total",'FUENTE NO BORRAR'!A712,"")))</f>
        <v/>
      </c>
      <c r="B694" s="5" t="str">
        <f>IF('FUENTE NO BORRAR'!B712="","",'FUENTE NO BORRAR'!B712)</f>
        <v/>
      </c>
      <c r="C694" s="5" t="str">
        <f>IF('FUENTE NO BORRAR'!C712="","",'FUENTE NO BORRAR'!C712)</f>
        <v/>
      </c>
      <c r="D694" s="5" t="str">
        <f>IF('FUENTE NO BORRAR'!D712="","",'FUENTE NO BORRAR'!D712)</f>
        <v/>
      </c>
      <c r="E694" s="5" t="str">
        <f>IF('FUENTE NO BORRAR'!E712="","",'FUENTE NO BORRAR'!E712)</f>
        <v/>
      </c>
      <c r="F694" s="6">
        <f>IF('FUENTE NO BORRAR'!F712="","",IF('FUENTE NO BORRAR'!$A712&lt;&gt;"Resultado total",('FUENTE NO BORRAR'!F712),""))</f>
        <v>27025.7</v>
      </c>
      <c r="G694" s="6">
        <f>IF('FUENTE NO BORRAR'!G712="","",IF('FUENTE NO BORRAR'!$A712&lt;&gt;"Resultado total",('FUENTE NO BORRAR'!G712),""))</f>
        <v>27025.7</v>
      </c>
      <c r="H694" s="6">
        <f>IF('FUENTE NO BORRAR'!H712="","",IF('FUENTE NO BORRAR'!$A712&lt;&gt;"Resultado total",('FUENTE NO BORRAR'!H712),""))</f>
        <v>27025.7</v>
      </c>
      <c r="I694" s="6">
        <f>IF('FUENTE NO BORRAR'!I712="","",IF('FUENTE NO BORRAR'!$A712&lt;&gt;"Resultado total",('FUENTE NO BORRAR'!I712),""))</f>
        <v>0</v>
      </c>
    </row>
    <row r="695" spans="1:9" x14ac:dyDescent="0.2">
      <c r="A695" s="5" t="str">
        <f>IF('FUENTE NO BORRAR'!A713="","",(IF('FUENTE NO BORRAR'!A713&lt;&gt;"Resultado total",'FUENTE NO BORRAR'!A713,"")))</f>
        <v/>
      </c>
      <c r="B695" s="5" t="str">
        <f>IF('FUENTE NO BORRAR'!B713="","",'FUENTE NO BORRAR'!B713)</f>
        <v/>
      </c>
      <c r="C695" s="5" t="str">
        <f>IF('FUENTE NO BORRAR'!C713="","",'FUENTE NO BORRAR'!C713)</f>
        <v/>
      </c>
      <c r="D695" s="5" t="str">
        <f>IF('FUENTE NO BORRAR'!D713="","",'FUENTE NO BORRAR'!D713)</f>
        <v/>
      </c>
      <c r="E695" s="5" t="str">
        <f>IF('FUENTE NO BORRAR'!E713="","",'FUENTE NO BORRAR'!E713)</f>
        <v/>
      </c>
      <c r="F695" s="6">
        <f>IF('FUENTE NO BORRAR'!F713="","",IF('FUENTE NO BORRAR'!$A713&lt;&gt;"Resultado total",('FUENTE NO BORRAR'!F713),""))</f>
        <v>40874.400000000001</v>
      </c>
      <c r="G695" s="6">
        <f>IF('FUENTE NO BORRAR'!G713="","",IF('FUENTE NO BORRAR'!$A713&lt;&gt;"Resultado total",('FUENTE NO BORRAR'!G713),""))</f>
        <v>40874.400000000001</v>
      </c>
      <c r="H695" s="6">
        <f>IF('FUENTE NO BORRAR'!H713="","",IF('FUENTE NO BORRAR'!$A713&lt;&gt;"Resultado total",('FUENTE NO BORRAR'!H713),""))</f>
        <v>40874.400000000001</v>
      </c>
      <c r="I695" s="6">
        <f>IF('FUENTE NO BORRAR'!I713="","",IF('FUENTE NO BORRAR'!$A713&lt;&gt;"Resultado total",('FUENTE NO BORRAR'!I713),""))</f>
        <v>0</v>
      </c>
    </row>
    <row r="696" spans="1:9" x14ac:dyDescent="0.2">
      <c r="A696" s="5" t="str">
        <f>IF('FUENTE NO BORRAR'!A714="","",(IF('FUENTE NO BORRAR'!A714&lt;&gt;"Resultado total",'FUENTE NO BORRAR'!A714,"")))</f>
        <v/>
      </c>
      <c r="B696" s="5" t="str">
        <f>IF('FUENTE NO BORRAR'!B714="","",'FUENTE NO BORRAR'!B714)</f>
        <v/>
      </c>
      <c r="C696" s="5" t="str">
        <f>IF('FUENTE NO BORRAR'!C714="","",'FUENTE NO BORRAR'!C714)</f>
        <v/>
      </c>
      <c r="D696" s="5" t="str">
        <f>IF('FUENTE NO BORRAR'!D714="","",'FUENTE NO BORRAR'!D714)</f>
        <v/>
      </c>
      <c r="E696" s="5" t="str">
        <f>IF('FUENTE NO BORRAR'!E714="","",'FUENTE NO BORRAR'!E714)</f>
        <v/>
      </c>
      <c r="F696" s="6">
        <f>IF('FUENTE NO BORRAR'!F714="","",IF('FUENTE NO BORRAR'!$A714&lt;&gt;"Resultado total",('FUENTE NO BORRAR'!F714),""))</f>
        <v>140511.85</v>
      </c>
      <c r="G696" s="6">
        <f>IF('FUENTE NO BORRAR'!G714="","",IF('FUENTE NO BORRAR'!$A714&lt;&gt;"Resultado total",('FUENTE NO BORRAR'!G714),""))</f>
        <v>140511.85</v>
      </c>
      <c r="H696" s="6">
        <f>IF('FUENTE NO BORRAR'!H714="","",IF('FUENTE NO BORRAR'!$A714&lt;&gt;"Resultado total",('FUENTE NO BORRAR'!H714),""))</f>
        <v>140511.85</v>
      </c>
      <c r="I696" s="6">
        <f>IF('FUENTE NO BORRAR'!I714="","",IF('FUENTE NO BORRAR'!$A714&lt;&gt;"Resultado total",('FUENTE NO BORRAR'!I714),""))</f>
        <v>0</v>
      </c>
    </row>
    <row r="697" spans="1:9" x14ac:dyDescent="0.2">
      <c r="A697" s="5" t="str">
        <f>IF('FUENTE NO BORRAR'!A715="","",(IF('FUENTE NO BORRAR'!A715&lt;&gt;"Resultado total",'FUENTE NO BORRAR'!A715,"")))</f>
        <v/>
      </c>
      <c r="B697" s="5" t="str">
        <f>IF('FUENTE NO BORRAR'!B715="","",'FUENTE NO BORRAR'!B715)</f>
        <v/>
      </c>
      <c r="C697" s="5" t="str">
        <f>IF('FUENTE NO BORRAR'!C715="","",'FUENTE NO BORRAR'!C715)</f>
        <v/>
      </c>
      <c r="D697" s="5" t="str">
        <f>IF('FUENTE NO BORRAR'!D715="","",'FUENTE NO BORRAR'!D715)</f>
        <v/>
      </c>
      <c r="E697" s="5" t="str">
        <f>IF('FUENTE NO BORRAR'!E715="","",'FUENTE NO BORRAR'!E715)</f>
        <v/>
      </c>
      <c r="F697" s="6">
        <f>IF('FUENTE NO BORRAR'!F715="","",IF('FUENTE NO BORRAR'!$A715&lt;&gt;"Resultado total",('FUENTE NO BORRAR'!F715),""))</f>
        <v>40092.07</v>
      </c>
      <c r="G697" s="6">
        <f>IF('FUENTE NO BORRAR'!G715="","",IF('FUENTE NO BORRAR'!$A715&lt;&gt;"Resultado total",('FUENTE NO BORRAR'!G715),""))</f>
        <v>40092.07</v>
      </c>
      <c r="H697" s="6">
        <f>IF('FUENTE NO BORRAR'!H715="","",IF('FUENTE NO BORRAR'!$A715&lt;&gt;"Resultado total",('FUENTE NO BORRAR'!H715),""))</f>
        <v>40092.07</v>
      </c>
      <c r="I697" s="6">
        <f>IF('FUENTE NO BORRAR'!I715="","",IF('FUENTE NO BORRAR'!$A715&lt;&gt;"Resultado total",('FUENTE NO BORRAR'!I715),""))</f>
        <v>0</v>
      </c>
    </row>
    <row r="698" spans="1:9" x14ac:dyDescent="0.2">
      <c r="A698" s="5" t="str">
        <f>IF('FUENTE NO BORRAR'!A716="","",(IF('FUENTE NO BORRAR'!A716&lt;&gt;"Resultado total",'FUENTE NO BORRAR'!A716,"")))</f>
        <v/>
      </c>
      <c r="B698" s="5" t="str">
        <f>IF('FUENTE NO BORRAR'!B716="","",'FUENTE NO BORRAR'!B716)</f>
        <v/>
      </c>
      <c r="C698" s="5" t="str">
        <f>IF('FUENTE NO BORRAR'!C716="","",'FUENTE NO BORRAR'!C716)</f>
        <v/>
      </c>
      <c r="D698" s="5" t="str">
        <f>IF('FUENTE NO BORRAR'!D716="","",'FUENTE NO BORRAR'!D716)</f>
        <v/>
      </c>
      <c r="E698" s="5" t="str">
        <f>IF('FUENTE NO BORRAR'!E716="","",'FUENTE NO BORRAR'!E716)</f>
        <v/>
      </c>
      <c r="F698" s="6">
        <f>IF('FUENTE NO BORRAR'!F716="","",IF('FUENTE NO BORRAR'!$A716&lt;&gt;"Resultado total",('FUENTE NO BORRAR'!F716),""))</f>
        <v>15756.58</v>
      </c>
      <c r="G698" s="6">
        <f>IF('FUENTE NO BORRAR'!G716="","",IF('FUENTE NO BORRAR'!$A716&lt;&gt;"Resultado total",('FUENTE NO BORRAR'!G716),""))</f>
        <v>15756.58</v>
      </c>
      <c r="H698" s="6">
        <f>IF('FUENTE NO BORRAR'!H716="","",IF('FUENTE NO BORRAR'!$A716&lt;&gt;"Resultado total",('FUENTE NO BORRAR'!H716),""))</f>
        <v>15756.58</v>
      </c>
      <c r="I698" s="6">
        <f>IF('FUENTE NO BORRAR'!I716="","",IF('FUENTE NO BORRAR'!$A716&lt;&gt;"Resultado total",('FUENTE NO BORRAR'!I716),""))</f>
        <v>0</v>
      </c>
    </row>
    <row r="699" spans="1:9" x14ac:dyDescent="0.2">
      <c r="A699" s="5" t="str">
        <f>IF('FUENTE NO BORRAR'!A717="","",(IF('FUENTE NO BORRAR'!A717&lt;&gt;"Resultado total",'FUENTE NO BORRAR'!A717,"")))</f>
        <v/>
      </c>
      <c r="B699" s="5" t="str">
        <f>IF('FUENTE NO BORRAR'!B717="","",'FUENTE NO BORRAR'!B717)</f>
        <v/>
      </c>
      <c r="C699" s="5" t="str">
        <f>IF('FUENTE NO BORRAR'!C717="","",'FUENTE NO BORRAR'!C717)</f>
        <v/>
      </c>
      <c r="D699" s="5" t="str">
        <f>IF('FUENTE NO BORRAR'!D717="","",'FUENTE NO BORRAR'!D717)</f>
        <v/>
      </c>
      <c r="E699" s="5" t="str">
        <f>IF('FUENTE NO BORRAR'!E717="","",'FUENTE NO BORRAR'!E717)</f>
        <v/>
      </c>
      <c r="F699" s="6">
        <f>IF('FUENTE NO BORRAR'!F717="","",IF('FUENTE NO BORRAR'!$A717&lt;&gt;"Resultado total",('FUENTE NO BORRAR'!F717),""))</f>
        <v>27065.4</v>
      </c>
      <c r="G699" s="6">
        <f>IF('FUENTE NO BORRAR'!G717="","",IF('FUENTE NO BORRAR'!$A717&lt;&gt;"Resultado total",('FUENTE NO BORRAR'!G717),""))</f>
        <v>27065.4</v>
      </c>
      <c r="H699" s="6">
        <f>IF('FUENTE NO BORRAR'!H717="","",IF('FUENTE NO BORRAR'!$A717&lt;&gt;"Resultado total",('FUENTE NO BORRAR'!H717),""))</f>
        <v>27065.4</v>
      </c>
      <c r="I699" s="6">
        <f>IF('FUENTE NO BORRAR'!I717="","",IF('FUENTE NO BORRAR'!$A717&lt;&gt;"Resultado total",('FUENTE NO BORRAR'!I717),""))</f>
        <v>0</v>
      </c>
    </row>
    <row r="700" spans="1:9" x14ac:dyDescent="0.2">
      <c r="A700" s="5" t="str">
        <f>IF('FUENTE NO BORRAR'!A718="","",(IF('FUENTE NO BORRAR'!A718&lt;&gt;"Resultado total",'FUENTE NO BORRAR'!A718,"")))</f>
        <v/>
      </c>
      <c r="B700" s="5" t="str">
        <f>IF('FUENTE NO BORRAR'!B718="","",'FUENTE NO BORRAR'!B718)</f>
        <v/>
      </c>
      <c r="C700" s="5" t="str">
        <f>IF('FUENTE NO BORRAR'!C718="","",'FUENTE NO BORRAR'!C718)</f>
        <v/>
      </c>
      <c r="D700" s="5" t="str">
        <f>IF('FUENTE NO BORRAR'!D718="","",'FUENTE NO BORRAR'!D718)</f>
        <v/>
      </c>
      <c r="E700" s="5" t="str">
        <f>IF('FUENTE NO BORRAR'!E718="","",'FUENTE NO BORRAR'!E718)</f>
        <v/>
      </c>
      <c r="F700" s="6">
        <f>IF('FUENTE NO BORRAR'!F718="","",IF('FUENTE NO BORRAR'!$A718&lt;&gt;"Resultado total",('FUENTE NO BORRAR'!F718),""))</f>
        <v>5997.2</v>
      </c>
      <c r="G700" s="6">
        <f>IF('FUENTE NO BORRAR'!G718="","",IF('FUENTE NO BORRAR'!$A718&lt;&gt;"Resultado total",('FUENTE NO BORRAR'!G718),""))</f>
        <v>5997.2</v>
      </c>
      <c r="H700" s="6">
        <f>IF('FUENTE NO BORRAR'!H718="","",IF('FUENTE NO BORRAR'!$A718&lt;&gt;"Resultado total",('FUENTE NO BORRAR'!H718),""))</f>
        <v>5997.2</v>
      </c>
      <c r="I700" s="6">
        <f>IF('FUENTE NO BORRAR'!I718="","",IF('FUENTE NO BORRAR'!$A718&lt;&gt;"Resultado total",('FUENTE NO BORRAR'!I718),""))</f>
        <v>0</v>
      </c>
    </row>
    <row r="701" spans="1:9" x14ac:dyDescent="0.2">
      <c r="A701" s="5" t="str">
        <f>IF('FUENTE NO BORRAR'!A719="","",(IF('FUENTE NO BORRAR'!A719&lt;&gt;"Resultado total",'FUENTE NO BORRAR'!A719,"")))</f>
        <v/>
      </c>
      <c r="B701" s="5" t="str">
        <f>IF('FUENTE NO BORRAR'!B719="","",'FUENTE NO BORRAR'!B719)</f>
        <v/>
      </c>
      <c r="C701" s="5" t="str">
        <f>IF('FUENTE NO BORRAR'!C719="","",'FUENTE NO BORRAR'!C719)</f>
        <v/>
      </c>
      <c r="D701" s="5" t="str">
        <f>IF('FUENTE NO BORRAR'!D719="","",'FUENTE NO BORRAR'!D719)</f>
        <v/>
      </c>
      <c r="E701" s="5" t="str">
        <f>IF('FUENTE NO BORRAR'!E719="","",'FUENTE NO BORRAR'!E719)</f>
        <v/>
      </c>
      <c r="F701" s="6">
        <f>IF('FUENTE NO BORRAR'!F719="","",IF('FUENTE NO BORRAR'!$A719&lt;&gt;"Resultado total",('FUENTE NO BORRAR'!F719),""))</f>
        <v>54974.95</v>
      </c>
      <c r="G701" s="6">
        <f>IF('FUENTE NO BORRAR'!G719="","",IF('FUENTE NO BORRAR'!$A719&lt;&gt;"Resultado total",('FUENTE NO BORRAR'!G719),""))</f>
        <v>54974.95</v>
      </c>
      <c r="H701" s="6">
        <f>IF('FUENTE NO BORRAR'!H719="","",IF('FUENTE NO BORRAR'!$A719&lt;&gt;"Resultado total",('FUENTE NO BORRAR'!H719),""))</f>
        <v>54974.95</v>
      </c>
      <c r="I701" s="6">
        <f>IF('FUENTE NO BORRAR'!I719="","",IF('FUENTE NO BORRAR'!$A719&lt;&gt;"Resultado total",('FUENTE NO BORRAR'!I719),""))</f>
        <v>0</v>
      </c>
    </row>
    <row r="702" spans="1:9" x14ac:dyDescent="0.2">
      <c r="A702" s="5" t="str">
        <f>IF('FUENTE NO BORRAR'!A720="","",(IF('FUENTE NO BORRAR'!A720&lt;&gt;"Resultado total",'FUENTE NO BORRAR'!A720,"")))</f>
        <v/>
      </c>
      <c r="B702" s="5" t="str">
        <f>IF('FUENTE NO BORRAR'!B720="","",'FUENTE NO BORRAR'!B720)</f>
        <v/>
      </c>
      <c r="C702" s="5" t="str">
        <f>IF('FUENTE NO BORRAR'!C720="","",'FUENTE NO BORRAR'!C720)</f>
        <v/>
      </c>
      <c r="D702" s="5" t="str">
        <f>IF('FUENTE NO BORRAR'!D720="","",'FUENTE NO BORRAR'!D720)</f>
        <v/>
      </c>
      <c r="E702" s="5" t="str">
        <f>IF('FUENTE NO BORRAR'!E720="","",'FUENTE NO BORRAR'!E720)</f>
        <v/>
      </c>
      <c r="F702" s="6">
        <f>IF('FUENTE NO BORRAR'!F720="","",IF('FUENTE NO BORRAR'!$A720&lt;&gt;"Resultado total",('FUENTE NO BORRAR'!F720),""))</f>
        <v>9077.4</v>
      </c>
      <c r="G702" s="6">
        <f>IF('FUENTE NO BORRAR'!G720="","",IF('FUENTE NO BORRAR'!$A720&lt;&gt;"Resultado total",('FUENTE NO BORRAR'!G720),""))</f>
        <v>9077.4</v>
      </c>
      <c r="H702" s="6">
        <f>IF('FUENTE NO BORRAR'!H720="","",IF('FUENTE NO BORRAR'!$A720&lt;&gt;"Resultado total",('FUENTE NO BORRAR'!H720),""))</f>
        <v>9077.4</v>
      </c>
      <c r="I702" s="6">
        <f>IF('FUENTE NO BORRAR'!I720="","",IF('FUENTE NO BORRAR'!$A720&lt;&gt;"Resultado total",('FUENTE NO BORRAR'!I720),""))</f>
        <v>0</v>
      </c>
    </row>
    <row r="703" spans="1:9" x14ac:dyDescent="0.2">
      <c r="A703" s="5" t="str">
        <f>IF('FUENTE NO BORRAR'!A721="","",(IF('FUENTE NO BORRAR'!A721&lt;&gt;"Resultado total",'FUENTE NO BORRAR'!A721,"")))</f>
        <v/>
      </c>
      <c r="B703" s="5" t="str">
        <f>IF('FUENTE NO BORRAR'!B721="","",'FUENTE NO BORRAR'!B721)</f>
        <v/>
      </c>
      <c r="C703" s="5" t="str">
        <f>IF('FUENTE NO BORRAR'!C721="","",'FUENTE NO BORRAR'!C721)</f>
        <v/>
      </c>
      <c r="D703" s="5" t="str">
        <f>IF('FUENTE NO BORRAR'!D721="","",'FUENTE NO BORRAR'!D721)</f>
        <v/>
      </c>
      <c r="E703" s="5" t="str">
        <f>IF('FUENTE NO BORRAR'!E721="","",'FUENTE NO BORRAR'!E721)</f>
        <v/>
      </c>
      <c r="F703" s="6">
        <f>IF('FUENTE NO BORRAR'!F721="","",IF('FUENTE NO BORRAR'!$A721&lt;&gt;"Resultado total",('FUENTE NO BORRAR'!F721),""))</f>
        <v>21743</v>
      </c>
      <c r="G703" s="6">
        <f>IF('FUENTE NO BORRAR'!G721="","",IF('FUENTE NO BORRAR'!$A721&lt;&gt;"Resultado total",('FUENTE NO BORRAR'!G721),""))</f>
        <v>21743</v>
      </c>
      <c r="H703" s="6">
        <f>IF('FUENTE NO BORRAR'!H721="","",IF('FUENTE NO BORRAR'!$A721&lt;&gt;"Resultado total",('FUENTE NO BORRAR'!H721),""))</f>
        <v>21743</v>
      </c>
      <c r="I703" s="6">
        <f>IF('FUENTE NO BORRAR'!I721="","",IF('FUENTE NO BORRAR'!$A721&lt;&gt;"Resultado total",('FUENTE NO BORRAR'!I721),""))</f>
        <v>0</v>
      </c>
    </row>
    <row r="704" spans="1:9" x14ac:dyDescent="0.2">
      <c r="A704" s="5" t="str">
        <f>IF('FUENTE NO BORRAR'!A722="","",(IF('FUENTE NO BORRAR'!A722&lt;&gt;"Resultado total",'FUENTE NO BORRAR'!A722,"")))</f>
        <v/>
      </c>
      <c r="B704" s="5" t="str">
        <f>IF('FUENTE NO BORRAR'!B722="","",'FUENTE NO BORRAR'!B722)</f>
        <v/>
      </c>
      <c r="C704" s="5" t="str">
        <f>IF('FUENTE NO BORRAR'!C722="","",'FUENTE NO BORRAR'!C722)</f>
        <v/>
      </c>
      <c r="D704" s="5" t="str">
        <f>IF('FUENTE NO BORRAR'!D722="","",'FUENTE NO BORRAR'!D722)</f>
        <v/>
      </c>
      <c r="E704" s="5" t="str">
        <f>IF('FUENTE NO BORRAR'!E722="","",'FUENTE NO BORRAR'!E722)</f>
        <v/>
      </c>
      <c r="F704" s="6">
        <f>IF('FUENTE NO BORRAR'!F722="","",IF('FUENTE NO BORRAR'!$A722&lt;&gt;"Resultado total",('FUENTE NO BORRAR'!F722),""))</f>
        <v>5073</v>
      </c>
      <c r="G704" s="6">
        <f>IF('FUENTE NO BORRAR'!G722="","",IF('FUENTE NO BORRAR'!$A722&lt;&gt;"Resultado total",('FUENTE NO BORRAR'!G722),""))</f>
        <v>5073</v>
      </c>
      <c r="H704" s="6">
        <f>IF('FUENTE NO BORRAR'!H722="","",IF('FUENTE NO BORRAR'!$A722&lt;&gt;"Resultado total",('FUENTE NO BORRAR'!H722),""))</f>
        <v>5073</v>
      </c>
      <c r="I704" s="6">
        <f>IF('FUENTE NO BORRAR'!I722="","",IF('FUENTE NO BORRAR'!$A722&lt;&gt;"Resultado total",('FUENTE NO BORRAR'!I722),""))</f>
        <v>0</v>
      </c>
    </row>
    <row r="705" spans="1:9" x14ac:dyDescent="0.2">
      <c r="A705" s="5" t="str">
        <f>IF('FUENTE NO BORRAR'!A723="","",(IF('FUENTE NO BORRAR'!A723&lt;&gt;"Resultado total",'FUENTE NO BORRAR'!A723,"")))</f>
        <v/>
      </c>
      <c r="B705" s="5" t="str">
        <f>IF('FUENTE NO BORRAR'!B723="","",'FUENTE NO BORRAR'!B723)</f>
        <v/>
      </c>
      <c r="C705" s="5" t="str">
        <f>IF('FUENTE NO BORRAR'!C723="","",'FUENTE NO BORRAR'!C723)</f>
        <v/>
      </c>
      <c r="D705" s="5" t="str">
        <f>IF('FUENTE NO BORRAR'!D723="","",'FUENTE NO BORRAR'!D723)</f>
        <v/>
      </c>
      <c r="E705" s="5" t="str">
        <f>IF('FUENTE NO BORRAR'!E723="","",'FUENTE NO BORRAR'!E723)</f>
        <v/>
      </c>
      <c r="F705" s="6">
        <f>IF('FUENTE NO BORRAR'!F723="","",IF('FUENTE NO BORRAR'!$A723&lt;&gt;"Resultado total",('FUENTE NO BORRAR'!F723),""))</f>
        <v>1808.73</v>
      </c>
      <c r="G705" s="6">
        <f>IF('FUENTE NO BORRAR'!G723="","",IF('FUENTE NO BORRAR'!$A723&lt;&gt;"Resultado total",('FUENTE NO BORRAR'!G723),""))</f>
        <v>1808.73</v>
      </c>
      <c r="H705" s="6">
        <f>IF('FUENTE NO BORRAR'!H723="","",IF('FUENTE NO BORRAR'!$A723&lt;&gt;"Resultado total",('FUENTE NO BORRAR'!H723),""))</f>
        <v>1808.73</v>
      </c>
      <c r="I705" s="6">
        <f>IF('FUENTE NO BORRAR'!I723="","",IF('FUENTE NO BORRAR'!$A723&lt;&gt;"Resultado total",('FUENTE NO BORRAR'!I723),""))</f>
        <v>0</v>
      </c>
    </row>
    <row r="706" spans="1:9" x14ac:dyDescent="0.2">
      <c r="A706" s="5" t="str">
        <f>IF('FUENTE NO BORRAR'!A724="","",(IF('FUENTE NO BORRAR'!A724&lt;&gt;"Resultado total",'FUENTE NO BORRAR'!A724,"")))</f>
        <v/>
      </c>
      <c r="B706" s="5" t="str">
        <f>IF('FUENTE NO BORRAR'!B724="","",'FUENTE NO BORRAR'!B724)</f>
        <v/>
      </c>
      <c r="C706" s="5" t="str">
        <f>IF('FUENTE NO BORRAR'!C724="","",'FUENTE NO BORRAR'!C724)</f>
        <v/>
      </c>
      <c r="D706" s="5" t="str">
        <f>IF('FUENTE NO BORRAR'!D724="","",'FUENTE NO BORRAR'!D724)</f>
        <v/>
      </c>
      <c r="E706" s="5" t="str">
        <f>IF('FUENTE NO BORRAR'!E724="","",'FUENTE NO BORRAR'!E724)</f>
        <v/>
      </c>
      <c r="F706" s="6">
        <f>IF('FUENTE NO BORRAR'!F724="","",IF('FUENTE NO BORRAR'!$A724&lt;&gt;"Resultado total",('FUENTE NO BORRAR'!F724),""))</f>
        <v>995.01</v>
      </c>
      <c r="G706" s="6">
        <f>IF('FUENTE NO BORRAR'!G724="","",IF('FUENTE NO BORRAR'!$A724&lt;&gt;"Resultado total",('FUENTE NO BORRAR'!G724),""))</f>
        <v>995.01</v>
      </c>
      <c r="H706" s="6">
        <f>IF('FUENTE NO BORRAR'!H724="","",IF('FUENTE NO BORRAR'!$A724&lt;&gt;"Resultado total",('FUENTE NO BORRAR'!H724),""))</f>
        <v>995.01</v>
      </c>
      <c r="I706" s="6">
        <f>IF('FUENTE NO BORRAR'!I724="","",IF('FUENTE NO BORRAR'!$A724&lt;&gt;"Resultado total",('FUENTE NO BORRAR'!I724),""))</f>
        <v>0</v>
      </c>
    </row>
    <row r="707" spans="1:9" x14ac:dyDescent="0.2">
      <c r="A707" s="5" t="str">
        <f>IF('FUENTE NO BORRAR'!A725="","",(IF('FUENTE NO BORRAR'!A725&lt;&gt;"Resultado total",'FUENTE NO BORRAR'!A725,"")))</f>
        <v/>
      </c>
      <c r="B707" s="5" t="str">
        <f>IF('FUENTE NO BORRAR'!B725="","",'FUENTE NO BORRAR'!B725)</f>
        <v/>
      </c>
      <c r="C707" s="5" t="str">
        <f>IF('FUENTE NO BORRAR'!C725="","",'FUENTE NO BORRAR'!C725)</f>
        <v/>
      </c>
      <c r="D707" s="5" t="str">
        <f>IF('FUENTE NO BORRAR'!D725="","",'FUENTE NO BORRAR'!D725)</f>
        <v/>
      </c>
      <c r="E707" s="5" t="str">
        <f>IF('FUENTE NO BORRAR'!E725="","",'FUENTE NO BORRAR'!E725)</f>
        <v/>
      </c>
      <c r="F707" s="6">
        <f>IF('FUENTE NO BORRAR'!F725="","",IF('FUENTE NO BORRAR'!$A725&lt;&gt;"Resultado total",('FUENTE NO BORRAR'!F725),""))</f>
        <v>8012.73</v>
      </c>
      <c r="G707" s="6">
        <f>IF('FUENTE NO BORRAR'!G725="","",IF('FUENTE NO BORRAR'!$A725&lt;&gt;"Resultado total",('FUENTE NO BORRAR'!G725),""))</f>
        <v>8012.73</v>
      </c>
      <c r="H707" s="6">
        <f>IF('FUENTE NO BORRAR'!H725="","",IF('FUENTE NO BORRAR'!$A725&lt;&gt;"Resultado total",('FUENTE NO BORRAR'!H725),""))</f>
        <v>8012.73</v>
      </c>
      <c r="I707" s="6">
        <f>IF('FUENTE NO BORRAR'!I725="","",IF('FUENTE NO BORRAR'!$A725&lt;&gt;"Resultado total",('FUENTE NO BORRAR'!I725),""))</f>
        <v>0</v>
      </c>
    </row>
    <row r="708" spans="1:9" x14ac:dyDescent="0.2">
      <c r="A708" s="5" t="str">
        <f>IF('FUENTE NO BORRAR'!A726="","",(IF('FUENTE NO BORRAR'!A726&lt;&gt;"Resultado total",'FUENTE NO BORRAR'!A726,"")))</f>
        <v/>
      </c>
      <c r="B708" s="5" t="str">
        <f>IF('FUENTE NO BORRAR'!B726="","",'FUENTE NO BORRAR'!B726)</f>
        <v/>
      </c>
      <c r="C708" s="5" t="str">
        <f>IF('FUENTE NO BORRAR'!C726="","",'FUENTE NO BORRAR'!C726)</f>
        <v/>
      </c>
      <c r="D708" s="5" t="str">
        <f>IF('FUENTE NO BORRAR'!D726="","",'FUENTE NO BORRAR'!D726)</f>
        <v/>
      </c>
      <c r="E708" s="5" t="str">
        <f>IF('FUENTE NO BORRAR'!E726="","",'FUENTE NO BORRAR'!E726)</f>
        <v/>
      </c>
      <c r="F708" s="6">
        <f>IF('FUENTE NO BORRAR'!F726="","",IF('FUENTE NO BORRAR'!$A726&lt;&gt;"Resultado total",('FUENTE NO BORRAR'!F726),""))</f>
        <v>147.99</v>
      </c>
      <c r="G708" s="6">
        <f>IF('FUENTE NO BORRAR'!G726="","",IF('FUENTE NO BORRAR'!$A726&lt;&gt;"Resultado total",('FUENTE NO BORRAR'!G726),""))</f>
        <v>147.99</v>
      </c>
      <c r="H708" s="6">
        <f>IF('FUENTE NO BORRAR'!H726="","",IF('FUENTE NO BORRAR'!$A726&lt;&gt;"Resultado total",('FUENTE NO BORRAR'!H726),""))</f>
        <v>147.99</v>
      </c>
      <c r="I708" s="6">
        <f>IF('FUENTE NO BORRAR'!I726="","",IF('FUENTE NO BORRAR'!$A726&lt;&gt;"Resultado total",('FUENTE NO BORRAR'!I726),""))</f>
        <v>0</v>
      </c>
    </row>
    <row r="709" spans="1:9" x14ac:dyDescent="0.2">
      <c r="A709" s="5" t="str">
        <f>IF('FUENTE NO BORRAR'!A727="","",(IF('FUENTE NO BORRAR'!A727&lt;&gt;"Resultado total",'FUENTE NO BORRAR'!A727,"")))</f>
        <v/>
      </c>
      <c r="B709" s="5" t="str">
        <f>IF('FUENTE NO BORRAR'!B727="","",'FUENTE NO BORRAR'!B727)</f>
        <v/>
      </c>
      <c r="C709" s="5" t="str">
        <f>IF('FUENTE NO BORRAR'!C727="","",'FUENTE NO BORRAR'!C727)</f>
        <v/>
      </c>
      <c r="D709" s="5" t="str">
        <f>IF('FUENTE NO BORRAR'!D727="","",'FUENTE NO BORRAR'!D727)</f>
        <v/>
      </c>
      <c r="E709" s="5" t="str">
        <f>IF('FUENTE NO BORRAR'!E727="","",'FUENTE NO BORRAR'!E727)</f>
        <v/>
      </c>
      <c r="F709" s="6">
        <f>IF('FUENTE NO BORRAR'!F727="","",IF('FUENTE NO BORRAR'!$A727&lt;&gt;"Resultado total",('FUENTE NO BORRAR'!F727),""))</f>
        <v>1811.83</v>
      </c>
      <c r="G709" s="6">
        <f>IF('FUENTE NO BORRAR'!G727="","",IF('FUENTE NO BORRAR'!$A727&lt;&gt;"Resultado total",('FUENTE NO BORRAR'!G727),""))</f>
        <v>1811.83</v>
      </c>
      <c r="H709" s="6">
        <f>IF('FUENTE NO BORRAR'!H727="","",IF('FUENTE NO BORRAR'!$A727&lt;&gt;"Resultado total",('FUENTE NO BORRAR'!H727),""))</f>
        <v>1811.83</v>
      </c>
      <c r="I709" s="6">
        <f>IF('FUENTE NO BORRAR'!I727="","",IF('FUENTE NO BORRAR'!$A727&lt;&gt;"Resultado total",('FUENTE NO BORRAR'!I727),""))</f>
        <v>0</v>
      </c>
    </row>
    <row r="710" spans="1:9" x14ac:dyDescent="0.2">
      <c r="A710" s="5" t="str">
        <f>IF('FUENTE NO BORRAR'!A728="","",(IF('FUENTE NO BORRAR'!A728&lt;&gt;"Resultado total",'FUENTE NO BORRAR'!A728,"")))</f>
        <v/>
      </c>
      <c r="B710" s="5" t="str">
        <f>IF('FUENTE NO BORRAR'!B728="","",'FUENTE NO BORRAR'!B728)</f>
        <v/>
      </c>
      <c r="C710" s="5" t="str">
        <f>IF('FUENTE NO BORRAR'!C728="","",'FUENTE NO BORRAR'!C728)</f>
        <v/>
      </c>
      <c r="D710" s="5" t="str">
        <f>IF('FUENTE NO BORRAR'!D728="","",'FUENTE NO BORRAR'!D728)</f>
        <v/>
      </c>
      <c r="E710" s="5" t="str">
        <f>IF('FUENTE NO BORRAR'!E728="","",'FUENTE NO BORRAR'!E728)</f>
        <v/>
      </c>
      <c r="F710" s="6">
        <f>IF('FUENTE NO BORRAR'!F728="","",IF('FUENTE NO BORRAR'!$A728&lt;&gt;"Resultado total",('FUENTE NO BORRAR'!F728),""))</f>
        <v>1197.6199999999999</v>
      </c>
      <c r="G710" s="6">
        <f>IF('FUENTE NO BORRAR'!G728="","",IF('FUENTE NO BORRAR'!$A728&lt;&gt;"Resultado total",('FUENTE NO BORRAR'!G728),""))</f>
        <v>1197.6199999999999</v>
      </c>
      <c r="H710" s="6">
        <f>IF('FUENTE NO BORRAR'!H728="","",IF('FUENTE NO BORRAR'!$A728&lt;&gt;"Resultado total",('FUENTE NO BORRAR'!H728),""))</f>
        <v>1197.6199999999999</v>
      </c>
      <c r="I710" s="6">
        <f>IF('FUENTE NO BORRAR'!I728="","",IF('FUENTE NO BORRAR'!$A728&lt;&gt;"Resultado total",('FUENTE NO BORRAR'!I728),""))</f>
        <v>0</v>
      </c>
    </row>
    <row r="711" spans="1:9" x14ac:dyDescent="0.2">
      <c r="A711" s="5" t="str">
        <f>IF('FUENTE NO BORRAR'!A729="","",(IF('FUENTE NO BORRAR'!A729&lt;&gt;"Resultado total",'FUENTE NO BORRAR'!A729,"")))</f>
        <v/>
      </c>
      <c r="B711" s="5" t="str">
        <f>IF('FUENTE NO BORRAR'!B729="","",'FUENTE NO BORRAR'!B729)</f>
        <v/>
      </c>
      <c r="C711" s="5" t="str">
        <f>IF('FUENTE NO BORRAR'!C729="","",'FUENTE NO BORRAR'!C729)</f>
        <v/>
      </c>
      <c r="D711" s="5" t="str">
        <f>IF('FUENTE NO BORRAR'!D729="","",'FUENTE NO BORRAR'!D729)</f>
        <v/>
      </c>
      <c r="E711" s="5" t="str">
        <f>IF('FUENTE NO BORRAR'!E729="","",'FUENTE NO BORRAR'!E729)</f>
        <v/>
      </c>
      <c r="F711" s="6">
        <f>IF('FUENTE NO BORRAR'!F729="","",IF('FUENTE NO BORRAR'!$A729&lt;&gt;"Resultado total",('FUENTE NO BORRAR'!F729),""))</f>
        <v>329.94</v>
      </c>
      <c r="G711" s="6">
        <f>IF('FUENTE NO BORRAR'!G729="","",IF('FUENTE NO BORRAR'!$A729&lt;&gt;"Resultado total",('FUENTE NO BORRAR'!G729),""))</f>
        <v>329.94</v>
      </c>
      <c r="H711" s="6">
        <f>IF('FUENTE NO BORRAR'!H729="","",IF('FUENTE NO BORRAR'!$A729&lt;&gt;"Resultado total",('FUENTE NO BORRAR'!H729),""))</f>
        <v>329.94</v>
      </c>
      <c r="I711" s="6">
        <f>IF('FUENTE NO BORRAR'!I729="","",IF('FUENTE NO BORRAR'!$A729&lt;&gt;"Resultado total",('FUENTE NO BORRAR'!I729),""))</f>
        <v>0</v>
      </c>
    </row>
    <row r="712" spans="1:9" x14ac:dyDescent="0.2">
      <c r="A712" s="5" t="str">
        <f>IF('FUENTE NO BORRAR'!A730="","",(IF('FUENTE NO BORRAR'!A730&lt;&gt;"Resultado total",'FUENTE NO BORRAR'!A730,"")))</f>
        <v/>
      </c>
      <c r="B712" s="5" t="str">
        <f>IF('FUENTE NO BORRAR'!B730="","",'FUENTE NO BORRAR'!B730)</f>
        <v/>
      </c>
      <c r="C712" s="5" t="str">
        <f>IF('FUENTE NO BORRAR'!C730="","",'FUENTE NO BORRAR'!C730)</f>
        <v/>
      </c>
      <c r="D712" s="5" t="str">
        <f>IF('FUENTE NO BORRAR'!D730="","",'FUENTE NO BORRAR'!D730)</f>
        <v/>
      </c>
      <c r="E712" s="5" t="str">
        <f>IF('FUENTE NO BORRAR'!E730="","",'FUENTE NO BORRAR'!E730)</f>
        <v/>
      </c>
      <c r="F712" s="6">
        <f>IF('FUENTE NO BORRAR'!F730="","",IF('FUENTE NO BORRAR'!$A730&lt;&gt;"Resultado total",('FUENTE NO BORRAR'!F730),""))</f>
        <v>31.8</v>
      </c>
      <c r="G712" s="6">
        <f>IF('FUENTE NO BORRAR'!G730="","",IF('FUENTE NO BORRAR'!$A730&lt;&gt;"Resultado total",('FUENTE NO BORRAR'!G730),""))</f>
        <v>31.8</v>
      </c>
      <c r="H712" s="6">
        <f>IF('FUENTE NO BORRAR'!H730="","",IF('FUENTE NO BORRAR'!$A730&lt;&gt;"Resultado total",('FUENTE NO BORRAR'!H730),""))</f>
        <v>31.8</v>
      </c>
      <c r="I712" s="6">
        <f>IF('FUENTE NO BORRAR'!I730="","",IF('FUENTE NO BORRAR'!$A730&lt;&gt;"Resultado total",('FUENTE NO BORRAR'!I730),""))</f>
        <v>0</v>
      </c>
    </row>
    <row r="713" spans="1:9" x14ac:dyDescent="0.2">
      <c r="A713" s="5" t="str">
        <f>IF('FUENTE NO BORRAR'!A731="","",(IF('FUENTE NO BORRAR'!A731&lt;&gt;"Resultado total",'FUENTE NO BORRAR'!A731,"")))</f>
        <v/>
      </c>
      <c r="B713" s="5" t="str">
        <f>IF('FUENTE NO BORRAR'!B731="","",'FUENTE NO BORRAR'!B731)</f>
        <v/>
      </c>
      <c r="C713" s="5" t="str">
        <f>IF('FUENTE NO BORRAR'!C731="","",'FUENTE NO BORRAR'!C731)</f>
        <v/>
      </c>
      <c r="D713" s="5" t="str">
        <f>IF('FUENTE NO BORRAR'!D731="","",'FUENTE NO BORRAR'!D731)</f>
        <v/>
      </c>
      <c r="E713" s="5" t="str">
        <f>IF('FUENTE NO BORRAR'!E731="","",'FUENTE NO BORRAR'!E731)</f>
        <v/>
      </c>
      <c r="F713" s="6">
        <f>IF('FUENTE NO BORRAR'!F731="","",IF('FUENTE NO BORRAR'!$A731&lt;&gt;"Resultado total",('FUENTE NO BORRAR'!F731),""))</f>
        <v>374.77</v>
      </c>
      <c r="G713" s="6">
        <f>IF('FUENTE NO BORRAR'!G731="","",IF('FUENTE NO BORRAR'!$A731&lt;&gt;"Resultado total",('FUENTE NO BORRAR'!G731),""))</f>
        <v>374.77</v>
      </c>
      <c r="H713" s="6">
        <f>IF('FUENTE NO BORRAR'!H731="","",IF('FUENTE NO BORRAR'!$A731&lt;&gt;"Resultado total",('FUENTE NO BORRAR'!H731),""))</f>
        <v>374.77</v>
      </c>
      <c r="I713" s="6">
        <f>IF('FUENTE NO BORRAR'!I731="","",IF('FUENTE NO BORRAR'!$A731&lt;&gt;"Resultado total",('FUENTE NO BORRAR'!I731),""))</f>
        <v>0</v>
      </c>
    </row>
    <row r="714" spans="1:9" x14ac:dyDescent="0.2">
      <c r="A714" s="5" t="str">
        <f>IF('FUENTE NO BORRAR'!A732="","",(IF('FUENTE NO BORRAR'!A732&lt;&gt;"Resultado total",'FUENTE NO BORRAR'!A732,"")))</f>
        <v/>
      </c>
      <c r="B714" s="5" t="str">
        <f>IF('FUENTE NO BORRAR'!B732="","",'FUENTE NO BORRAR'!B732)</f>
        <v/>
      </c>
      <c r="C714" s="5" t="str">
        <f>IF('FUENTE NO BORRAR'!C732="","",'FUENTE NO BORRAR'!C732)</f>
        <v/>
      </c>
      <c r="D714" s="5" t="str">
        <f>IF('FUENTE NO BORRAR'!D732="","",'FUENTE NO BORRAR'!D732)</f>
        <v/>
      </c>
      <c r="E714" s="5" t="str">
        <f>IF('FUENTE NO BORRAR'!E732="","",'FUENTE NO BORRAR'!E732)</f>
        <v/>
      </c>
      <c r="F714" s="6">
        <f>IF('FUENTE NO BORRAR'!F732="","",IF('FUENTE NO BORRAR'!$A732&lt;&gt;"Resultado total",('FUENTE NO BORRAR'!F732),""))</f>
        <v>429.06</v>
      </c>
      <c r="G714" s="6">
        <f>IF('FUENTE NO BORRAR'!G732="","",IF('FUENTE NO BORRAR'!$A732&lt;&gt;"Resultado total",('FUENTE NO BORRAR'!G732),""))</f>
        <v>429.06</v>
      </c>
      <c r="H714" s="6">
        <f>IF('FUENTE NO BORRAR'!H732="","",IF('FUENTE NO BORRAR'!$A732&lt;&gt;"Resultado total",('FUENTE NO BORRAR'!H732),""))</f>
        <v>429.06</v>
      </c>
      <c r="I714" s="6">
        <f>IF('FUENTE NO BORRAR'!I732="","",IF('FUENTE NO BORRAR'!$A732&lt;&gt;"Resultado total",('FUENTE NO BORRAR'!I732),""))</f>
        <v>0</v>
      </c>
    </row>
    <row r="715" spans="1:9" x14ac:dyDescent="0.2">
      <c r="A715" s="5" t="str">
        <f>IF('FUENTE NO BORRAR'!A733="","",(IF('FUENTE NO BORRAR'!A733&lt;&gt;"Resultado total",'FUENTE NO BORRAR'!A733,"")))</f>
        <v/>
      </c>
      <c r="B715" s="5" t="str">
        <f>IF('FUENTE NO BORRAR'!B733="","",'FUENTE NO BORRAR'!B733)</f>
        <v/>
      </c>
      <c r="C715" s="5" t="str">
        <f>IF('FUENTE NO BORRAR'!C733="","",'FUENTE NO BORRAR'!C733)</f>
        <v/>
      </c>
      <c r="D715" s="5" t="str">
        <f>IF('FUENTE NO BORRAR'!D733="","",'FUENTE NO BORRAR'!D733)</f>
        <v/>
      </c>
      <c r="E715" s="5" t="str">
        <f>IF('FUENTE NO BORRAR'!E733="","",'FUENTE NO BORRAR'!E733)</f>
        <v/>
      </c>
      <c r="F715" s="6">
        <f>IF('FUENTE NO BORRAR'!F733="","",IF('FUENTE NO BORRAR'!$A733&lt;&gt;"Resultado total",('FUENTE NO BORRAR'!F733),""))</f>
        <v>382.5</v>
      </c>
      <c r="G715" s="6">
        <f>IF('FUENTE NO BORRAR'!G733="","",IF('FUENTE NO BORRAR'!$A733&lt;&gt;"Resultado total",('FUENTE NO BORRAR'!G733),""))</f>
        <v>382.5</v>
      </c>
      <c r="H715" s="6">
        <f>IF('FUENTE NO BORRAR'!H733="","",IF('FUENTE NO BORRAR'!$A733&lt;&gt;"Resultado total",('FUENTE NO BORRAR'!H733),""))</f>
        <v>382.5</v>
      </c>
      <c r="I715" s="6">
        <f>IF('FUENTE NO BORRAR'!I733="","",IF('FUENTE NO BORRAR'!$A733&lt;&gt;"Resultado total",('FUENTE NO BORRAR'!I733),""))</f>
        <v>0</v>
      </c>
    </row>
    <row r="716" spans="1:9" x14ac:dyDescent="0.2">
      <c r="A716" s="5" t="str">
        <f>IF('FUENTE NO BORRAR'!A734="","",(IF('FUENTE NO BORRAR'!A734&lt;&gt;"Resultado total",'FUENTE NO BORRAR'!A734,"")))</f>
        <v/>
      </c>
      <c r="B716" s="5" t="str">
        <f>IF('FUENTE NO BORRAR'!B734="","",'FUENTE NO BORRAR'!B734)</f>
        <v/>
      </c>
      <c r="C716" s="5" t="str">
        <f>IF('FUENTE NO BORRAR'!C734="","",'FUENTE NO BORRAR'!C734)</f>
        <v/>
      </c>
      <c r="D716" s="5" t="str">
        <f>IF('FUENTE NO BORRAR'!D734="","",'FUENTE NO BORRAR'!D734)</f>
        <v/>
      </c>
      <c r="E716" s="5" t="str">
        <f>IF('FUENTE NO BORRAR'!E734="","",'FUENTE NO BORRAR'!E734)</f>
        <v/>
      </c>
      <c r="F716" s="6">
        <f>IF('FUENTE NO BORRAR'!F734="","",IF('FUENTE NO BORRAR'!$A734&lt;&gt;"Resultado total",('FUENTE NO BORRAR'!F734),""))</f>
        <v>31205.68</v>
      </c>
      <c r="G716" s="6">
        <f>IF('FUENTE NO BORRAR'!G734="","",IF('FUENTE NO BORRAR'!$A734&lt;&gt;"Resultado total",('FUENTE NO BORRAR'!G734),""))</f>
        <v>31205.68</v>
      </c>
      <c r="H716" s="6">
        <f>IF('FUENTE NO BORRAR'!H734="","",IF('FUENTE NO BORRAR'!$A734&lt;&gt;"Resultado total",('FUENTE NO BORRAR'!H734),""))</f>
        <v>31205.68</v>
      </c>
      <c r="I716" s="6">
        <f>IF('FUENTE NO BORRAR'!I734="","",IF('FUENTE NO BORRAR'!$A734&lt;&gt;"Resultado total",('FUENTE NO BORRAR'!I734),""))</f>
        <v>0</v>
      </c>
    </row>
    <row r="717" spans="1:9" x14ac:dyDescent="0.2">
      <c r="A717" s="5" t="str">
        <f>IF('FUENTE NO BORRAR'!A735="","",(IF('FUENTE NO BORRAR'!A735&lt;&gt;"Resultado total",'FUENTE NO BORRAR'!A735,"")))</f>
        <v/>
      </c>
      <c r="B717" s="5" t="str">
        <f>IF('FUENTE NO BORRAR'!B735="","",'FUENTE NO BORRAR'!B735)</f>
        <v/>
      </c>
      <c r="C717" s="5" t="str">
        <f>IF('FUENTE NO BORRAR'!C735="","",'FUENTE NO BORRAR'!C735)</f>
        <v/>
      </c>
      <c r="D717" s="5" t="str">
        <f>IF('FUENTE NO BORRAR'!D735="","",'FUENTE NO BORRAR'!D735)</f>
        <v/>
      </c>
      <c r="E717" s="5" t="str">
        <f>IF('FUENTE NO BORRAR'!E735="","",'FUENTE NO BORRAR'!E735)</f>
        <v/>
      </c>
      <c r="F717" s="6">
        <f>IF('FUENTE NO BORRAR'!F735="","",IF('FUENTE NO BORRAR'!$A735&lt;&gt;"Resultado total",('FUENTE NO BORRAR'!F735),""))</f>
        <v>14563.8</v>
      </c>
      <c r="G717" s="6">
        <f>IF('FUENTE NO BORRAR'!G735="","",IF('FUENTE NO BORRAR'!$A735&lt;&gt;"Resultado total",('FUENTE NO BORRAR'!G735),""))</f>
        <v>14563.8</v>
      </c>
      <c r="H717" s="6">
        <f>IF('FUENTE NO BORRAR'!H735="","",IF('FUENTE NO BORRAR'!$A735&lt;&gt;"Resultado total",('FUENTE NO BORRAR'!H735),""))</f>
        <v>13266.8</v>
      </c>
      <c r="I717" s="6">
        <f>IF('FUENTE NO BORRAR'!I735="","",IF('FUENTE NO BORRAR'!$A735&lt;&gt;"Resultado total",('FUENTE NO BORRAR'!I735),""))</f>
        <v>0</v>
      </c>
    </row>
    <row r="718" spans="1:9" x14ac:dyDescent="0.2">
      <c r="A718" s="5" t="str">
        <f>IF('FUENTE NO BORRAR'!A736="","",(IF('FUENTE NO BORRAR'!A736&lt;&gt;"Resultado total",'FUENTE NO BORRAR'!A736,"")))</f>
        <v/>
      </c>
      <c r="B718" s="5" t="str">
        <f>IF('FUENTE NO BORRAR'!B736="","",'FUENTE NO BORRAR'!B736)</f>
        <v/>
      </c>
      <c r="C718" s="5" t="str">
        <f>IF('FUENTE NO BORRAR'!C736="","",'FUENTE NO BORRAR'!C736)</f>
        <v/>
      </c>
      <c r="D718" s="5" t="str">
        <f>IF('FUENTE NO BORRAR'!D736="","",'FUENTE NO BORRAR'!D736)</f>
        <v/>
      </c>
      <c r="E718" s="5" t="str">
        <f>IF('FUENTE NO BORRAR'!E736="","",'FUENTE NO BORRAR'!E736)</f>
        <v/>
      </c>
      <c r="F718" s="6">
        <f>IF('FUENTE NO BORRAR'!F736="","",IF('FUENTE NO BORRAR'!$A736&lt;&gt;"Resultado total",('FUENTE NO BORRAR'!F736),""))</f>
        <v>10002.879999999999</v>
      </c>
      <c r="G718" s="6">
        <f>IF('FUENTE NO BORRAR'!G736="","",IF('FUENTE NO BORRAR'!$A736&lt;&gt;"Resultado total",('FUENTE NO BORRAR'!G736),""))</f>
        <v>10002.879999999999</v>
      </c>
      <c r="H718" s="6">
        <f>IF('FUENTE NO BORRAR'!H736="","",IF('FUENTE NO BORRAR'!$A736&lt;&gt;"Resultado total",('FUENTE NO BORRAR'!H736),""))</f>
        <v>10002.879999999999</v>
      </c>
      <c r="I718" s="6">
        <f>IF('FUENTE NO BORRAR'!I736="","",IF('FUENTE NO BORRAR'!$A736&lt;&gt;"Resultado total",('FUENTE NO BORRAR'!I736),""))</f>
        <v>0</v>
      </c>
    </row>
    <row r="719" spans="1:9" x14ac:dyDescent="0.2">
      <c r="A719" s="5" t="str">
        <f>IF('FUENTE NO BORRAR'!A737="","",(IF('FUENTE NO BORRAR'!A737&lt;&gt;"Resultado total",'FUENTE NO BORRAR'!A737,"")))</f>
        <v/>
      </c>
      <c r="B719" s="5" t="str">
        <f>IF('FUENTE NO BORRAR'!B737="","",'FUENTE NO BORRAR'!B737)</f>
        <v/>
      </c>
      <c r="C719" s="5" t="str">
        <f>IF('FUENTE NO BORRAR'!C737="","",'FUENTE NO BORRAR'!C737)</f>
        <v/>
      </c>
      <c r="D719" s="5" t="str">
        <f>IF('FUENTE NO BORRAR'!D737="","",'FUENTE NO BORRAR'!D737)</f>
        <v/>
      </c>
      <c r="E719" s="5" t="str">
        <f>IF('FUENTE NO BORRAR'!E737="","",'FUENTE NO BORRAR'!E737)</f>
        <v/>
      </c>
      <c r="F719" s="6">
        <f>IF('FUENTE NO BORRAR'!F737="","",IF('FUENTE NO BORRAR'!$A737&lt;&gt;"Resultado total",('FUENTE NO BORRAR'!F737),""))</f>
        <v>15026.99</v>
      </c>
      <c r="G719" s="6">
        <f>IF('FUENTE NO BORRAR'!G737="","",IF('FUENTE NO BORRAR'!$A737&lt;&gt;"Resultado total",('FUENTE NO BORRAR'!G737),""))</f>
        <v>15026.99</v>
      </c>
      <c r="H719" s="6">
        <f>IF('FUENTE NO BORRAR'!H737="","",IF('FUENTE NO BORRAR'!$A737&lt;&gt;"Resultado total",('FUENTE NO BORRAR'!H737),""))</f>
        <v>15026.99</v>
      </c>
      <c r="I719" s="6">
        <f>IF('FUENTE NO BORRAR'!I737="","",IF('FUENTE NO BORRAR'!$A737&lt;&gt;"Resultado total",('FUENTE NO BORRAR'!I737),""))</f>
        <v>0</v>
      </c>
    </row>
    <row r="720" spans="1:9" x14ac:dyDescent="0.2">
      <c r="A720" s="5" t="str">
        <f>IF('FUENTE NO BORRAR'!A738="","",(IF('FUENTE NO BORRAR'!A738&lt;&gt;"Resultado total",'FUENTE NO BORRAR'!A738,"")))</f>
        <v/>
      </c>
      <c r="B720" s="5" t="str">
        <f>IF('FUENTE NO BORRAR'!B738="","",'FUENTE NO BORRAR'!B738)</f>
        <v/>
      </c>
      <c r="C720" s="5" t="str">
        <f>IF('FUENTE NO BORRAR'!C738="","",'FUENTE NO BORRAR'!C738)</f>
        <v/>
      </c>
      <c r="D720" s="5" t="str">
        <f>IF('FUENTE NO BORRAR'!D738="","",'FUENTE NO BORRAR'!D738)</f>
        <v/>
      </c>
      <c r="E720" s="5" t="str">
        <f>IF('FUENTE NO BORRAR'!E738="","",'FUENTE NO BORRAR'!E738)</f>
        <v/>
      </c>
      <c r="F720" s="6">
        <f>IF('FUENTE NO BORRAR'!F738="","",IF('FUENTE NO BORRAR'!$A738&lt;&gt;"Resultado total",('FUENTE NO BORRAR'!F738),""))</f>
        <v>155372.25</v>
      </c>
      <c r="G720" s="6">
        <f>IF('FUENTE NO BORRAR'!G738="","",IF('FUENTE NO BORRAR'!$A738&lt;&gt;"Resultado total",('FUENTE NO BORRAR'!G738),""))</f>
        <v>155372.25</v>
      </c>
      <c r="H720" s="6">
        <f>IF('FUENTE NO BORRAR'!H738="","",IF('FUENTE NO BORRAR'!$A738&lt;&gt;"Resultado total",('FUENTE NO BORRAR'!H738),""))</f>
        <v>141247.5</v>
      </c>
      <c r="I720" s="6">
        <f>IF('FUENTE NO BORRAR'!I738="","",IF('FUENTE NO BORRAR'!$A738&lt;&gt;"Resultado total",('FUENTE NO BORRAR'!I738),""))</f>
        <v>0</v>
      </c>
    </row>
    <row r="721" spans="1:9" x14ac:dyDescent="0.2">
      <c r="A721" s="5" t="str">
        <f>IF('FUENTE NO BORRAR'!A739="","",(IF('FUENTE NO BORRAR'!A739&lt;&gt;"Resultado total",'FUENTE NO BORRAR'!A739,"")))</f>
        <v/>
      </c>
      <c r="B721" s="5" t="str">
        <f>IF('FUENTE NO BORRAR'!B739="","",'FUENTE NO BORRAR'!B739)</f>
        <v/>
      </c>
      <c r="C721" s="5" t="str">
        <f>IF('FUENTE NO BORRAR'!C739="","",'FUENTE NO BORRAR'!C739)</f>
        <v/>
      </c>
      <c r="D721" s="5" t="str">
        <f>IF('FUENTE NO BORRAR'!D739="","",'FUENTE NO BORRAR'!D739)</f>
        <v/>
      </c>
      <c r="E721" s="5" t="str">
        <f>IF('FUENTE NO BORRAR'!E739="","",'FUENTE NO BORRAR'!E739)</f>
        <v/>
      </c>
      <c r="F721" s="6">
        <f>IF('FUENTE NO BORRAR'!F739="","",IF('FUENTE NO BORRAR'!$A739&lt;&gt;"Resultado total",('FUENTE NO BORRAR'!F739),""))</f>
        <v>62412.639999999999</v>
      </c>
      <c r="G721" s="6">
        <f>IF('FUENTE NO BORRAR'!G739="","",IF('FUENTE NO BORRAR'!$A739&lt;&gt;"Resultado total",('FUENTE NO BORRAR'!G739),""))</f>
        <v>62412.639999999999</v>
      </c>
      <c r="H721" s="6">
        <f>IF('FUENTE NO BORRAR'!H739="","",IF('FUENTE NO BORRAR'!$A739&lt;&gt;"Resultado total",('FUENTE NO BORRAR'!H739),""))</f>
        <v>62412.639999999999</v>
      </c>
      <c r="I721" s="6">
        <f>IF('FUENTE NO BORRAR'!I739="","",IF('FUENTE NO BORRAR'!$A739&lt;&gt;"Resultado total",('FUENTE NO BORRAR'!I739),""))</f>
        <v>0</v>
      </c>
    </row>
    <row r="722" spans="1:9" x14ac:dyDescent="0.2">
      <c r="A722" s="5" t="str">
        <f>IF('FUENTE NO BORRAR'!A740="","",(IF('FUENTE NO BORRAR'!A740&lt;&gt;"Resultado total",'FUENTE NO BORRAR'!A740,"")))</f>
        <v/>
      </c>
      <c r="B722" s="5" t="str">
        <f>IF('FUENTE NO BORRAR'!B740="","",'FUENTE NO BORRAR'!B740)</f>
        <v/>
      </c>
      <c r="C722" s="5" t="str">
        <f>IF('FUENTE NO BORRAR'!C740="","",'FUENTE NO BORRAR'!C740)</f>
        <v/>
      </c>
      <c r="D722" s="5" t="str">
        <f>IF('FUENTE NO BORRAR'!D740="","",'FUENTE NO BORRAR'!D740)</f>
        <v/>
      </c>
      <c r="E722" s="5" t="str">
        <f>IF('FUENTE NO BORRAR'!E740="","",'FUENTE NO BORRAR'!E740)</f>
        <v/>
      </c>
      <c r="F722" s="6">
        <f>IF('FUENTE NO BORRAR'!F740="","",IF('FUENTE NO BORRAR'!$A740&lt;&gt;"Resultado total",('FUENTE NO BORRAR'!F740),""))</f>
        <v>129932.15</v>
      </c>
      <c r="G722" s="6">
        <f>IF('FUENTE NO BORRAR'!G740="","",IF('FUENTE NO BORRAR'!$A740&lt;&gt;"Resultado total",('FUENTE NO BORRAR'!G740),""))</f>
        <v>129932.15</v>
      </c>
      <c r="H722" s="6">
        <f>IF('FUENTE NO BORRAR'!H740="","",IF('FUENTE NO BORRAR'!$A740&lt;&gt;"Resultado total",('FUENTE NO BORRAR'!H740),""))</f>
        <v>123552.15</v>
      </c>
      <c r="I722" s="6">
        <f>IF('FUENTE NO BORRAR'!I740="","",IF('FUENTE NO BORRAR'!$A740&lt;&gt;"Resultado total",('FUENTE NO BORRAR'!I740),""))</f>
        <v>0</v>
      </c>
    </row>
    <row r="723" spans="1:9" x14ac:dyDescent="0.2">
      <c r="A723" s="5" t="str">
        <f>IF('FUENTE NO BORRAR'!A741="","",(IF('FUENTE NO BORRAR'!A741&lt;&gt;"Resultado total",'FUENTE NO BORRAR'!A741,"")))</f>
        <v/>
      </c>
      <c r="B723" s="5" t="str">
        <f>IF('FUENTE NO BORRAR'!B741="","",'FUENTE NO BORRAR'!B741)</f>
        <v/>
      </c>
      <c r="C723" s="5" t="str">
        <f>IF('FUENTE NO BORRAR'!C741="","",'FUENTE NO BORRAR'!C741)</f>
        <v/>
      </c>
      <c r="D723" s="5" t="str">
        <f>IF('FUENTE NO BORRAR'!D741="","",'FUENTE NO BORRAR'!D741)</f>
        <v/>
      </c>
      <c r="E723" s="5" t="str">
        <f>IF('FUENTE NO BORRAR'!E741="","",'FUENTE NO BORRAR'!E741)</f>
        <v/>
      </c>
      <c r="F723" s="6">
        <f>IF('FUENTE NO BORRAR'!F741="","",IF('FUENTE NO BORRAR'!$A741&lt;&gt;"Resultado total",('FUENTE NO BORRAR'!F741),""))</f>
        <v>297.12</v>
      </c>
      <c r="G723" s="6">
        <f>IF('FUENTE NO BORRAR'!G741="","",IF('FUENTE NO BORRAR'!$A741&lt;&gt;"Resultado total",('FUENTE NO BORRAR'!G741),""))</f>
        <v>297.12</v>
      </c>
      <c r="H723" s="6">
        <f>IF('FUENTE NO BORRAR'!H741="","",IF('FUENTE NO BORRAR'!$A741&lt;&gt;"Resultado total",('FUENTE NO BORRAR'!H741),""))</f>
        <v>297.12</v>
      </c>
      <c r="I723" s="6">
        <f>IF('FUENTE NO BORRAR'!I741="","",IF('FUENTE NO BORRAR'!$A741&lt;&gt;"Resultado total",('FUENTE NO BORRAR'!I741),""))</f>
        <v>0</v>
      </c>
    </row>
    <row r="724" spans="1:9" x14ac:dyDescent="0.2">
      <c r="A724" s="5" t="str">
        <f>IF('FUENTE NO BORRAR'!A742="","",(IF('FUENTE NO BORRAR'!A742&lt;&gt;"Resultado total",'FUENTE NO BORRAR'!A742,"")))</f>
        <v/>
      </c>
      <c r="B724" s="5" t="str">
        <f>IF('FUENTE NO BORRAR'!B742="","",'FUENTE NO BORRAR'!B742)</f>
        <v/>
      </c>
      <c r="C724" s="5" t="str">
        <f>IF('FUENTE NO BORRAR'!C742="","",'FUENTE NO BORRAR'!C742)</f>
        <v/>
      </c>
      <c r="D724" s="5" t="str">
        <f>IF('FUENTE NO BORRAR'!D742="","",'FUENTE NO BORRAR'!D742)</f>
        <v/>
      </c>
      <c r="E724" s="5" t="str">
        <f>IF('FUENTE NO BORRAR'!E742="","",'FUENTE NO BORRAR'!E742)</f>
        <v/>
      </c>
      <c r="F724" s="6">
        <f>IF('FUENTE NO BORRAR'!F742="","",IF('FUENTE NO BORRAR'!$A742&lt;&gt;"Resultado total",('FUENTE NO BORRAR'!F742),""))</f>
        <v>20280.509999999998</v>
      </c>
      <c r="G724" s="6">
        <f>IF('FUENTE NO BORRAR'!G742="","",IF('FUENTE NO BORRAR'!$A742&lt;&gt;"Resultado total",('FUENTE NO BORRAR'!G742),""))</f>
        <v>20280.509999999998</v>
      </c>
      <c r="H724" s="6">
        <f>IF('FUENTE NO BORRAR'!H742="","",IF('FUENTE NO BORRAR'!$A742&lt;&gt;"Resultado total",('FUENTE NO BORRAR'!H742),""))</f>
        <v>8425.31</v>
      </c>
      <c r="I724" s="6">
        <f>IF('FUENTE NO BORRAR'!I742="","",IF('FUENTE NO BORRAR'!$A742&lt;&gt;"Resultado total",('FUENTE NO BORRAR'!I742),""))</f>
        <v>0</v>
      </c>
    </row>
    <row r="725" spans="1:9" x14ac:dyDescent="0.2">
      <c r="A725" s="5" t="str">
        <f>IF('FUENTE NO BORRAR'!A743="","",(IF('FUENTE NO BORRAR'!A743&lt;&gt;"Resultado total",'FUENTE NO BORRAR'!A743,"")))</f>
        <v/>
      </c>
      <c r="B725" s="5" t="str">
        <f>IF('FUENTE NO BORRAR'!B743="","",'FUENTE NO BORRAR'!B743)</f>
        <v/>
      </c>
      <c r="C725" s="5" t="str">
        <f>IF('FUENTE NO BORRAR'!C743="","",'FUENTE NO BORRAR'!C743)</f>
        <v/>
      </c>
      <c r="D725" s="5" t="str">
        <f>IF('FUENTE NO BORRAR'!D743="","",'FUENTE NO BORRAR'!D743)</f>
        <v/>
      </c>
      <c r="E725" s="5" t="str">
        <f>IF('FUENTE NO BORRAR'!E743="","",'FUENTE NO BORRAR'!E743)</f>
        <v/>
      </c>
      <c r="F725" s="6">
        <f>IF('FUENTE NO BORRAR'!F743="","",IF('FUENTE NO BORRAR'!$A743&lt;&gt;"Resultado total",('FUENTE NO BORRAR'!F743),""))</f>
        <v>800.17</v>
      </c>
      <c r="G725" s="6">
        <f>IF('FUENTE NO BORRAR'!G743="","",IF('FUENTE NO BORRAR'!$A743&lt;&gt;"Resultado total",('FUENTE NO BORRAR'!G743),""))</f>
        <v>800.17</v>
      </c>
      <c r="H725" s="6">
        <f>IF('FUENTE NO BORRAR'!H743="","",IF('FUENTE NO BORRAR'!$A743&lt;&gt;"Resultado total",('FUENTE NO BORRAR'!H743),""))</f>
        <v>800.17</v>
      </c>
      <c r="I725" s="6">
        <f>IF('FUENTE NO BORRAR'!I743="","",IF('FUENTE NO BORRAR'!$A743&lt;&gt;"Resultado total",('FUENTE NO BORRAR'!I743),""))</f>
        <v>0</v>
      </c>
    </row>
    <row r="726" spans="1:9" x14ac:dyDescent="0.2">
      <c r="A726" s="5" t="str">
        <f>IF('FUENTE NO BORRAR'!A744="","",(IF('FUENTE NO BORRAR'!A744&lt;&gt;"Resultado total",'FUENTE NO BORRAR'!A744,"")))</f>
        <v/>
      </c>
      <c r="B726" s="5" t="str">
        <f>IF('FUENTE NO BORRAR'!B744="","",'FUENTE NO BORRAR'!B744)</f>
        <v/>
      </c>
      <c r="C726" s="5" t="str">
        <f>IF('FUENTE NO BORRAR'!C744="","",'FUENTE NO BORRAR'!C744)</f>
        <v/>
      </c>
      <c r="D726" s="5" t="str">
        <f>IF('FUENTE NO BORRAR'!D744="","",'FUENTE NO BORRAR'!D744)</f>
        <v/>
      </c>
      <c r="E726" s="5" t="str">
        <f>IF('FUENTE NO BORRAR'!E744="","",'FUENTE NO BORRAR'!E744)</f>
        <v/>
      </c>
      <c r="F726" s="6">
        <f>IF('FUENTE NO BORRAR'!F744="","",IF('FUENTE NO BORRAR'!$A744&lt;&gt;"Resultado total",('FUENTE NO BORRAR'!F744),""))</f>
        <v>3920.22</v>
      </c>
      <c r="G726" s="6">
        <f>IF('FUENTE NO BORRAR'!G744="","",IF('FUENTE NO BORRAR'!$A744&lt;&gt;"Resultado total",('FUENTE NO BORRAR'!G744),""))</f>
        <v>3920.22</v>
      </c>
      <c r="H726" s="6">
        <f>IF('FUENTE NO BORRAR'!H744="","",IF('FUENTE NO BORRAR'!$A744&lt;&gt;"Resultado total",('FUENTE NO BORRAR'!H744),""))</f>
        <v>3920.22</v>
      </c>
      <c r="I726" s="6">
        <f>IF('FUENTE NO BORRAR'!I744="","",IF('FUENTE NO BORRAR'!$A744&lt;&gt;"Resultado total",('FUENTE NO BORRAR'!I744),""))</f>
        <v>0</v>
      </c>
    </row>
    <row r="727" spans="1:9" x14ac:dyDescent="0.2">
      <c r="A727" s="5" t="str">
        <f>IF('FUENTE NO BORRAR'!A745="","",(IF('FUENTE NO BORRAR'!A745&lt;&gt;"Resultado total",'FUENTE NO BORRAR'!A745,"")))</f>
        <v/>
      </c>
      <c r="B727" s="5" t="str">
        <f>IF('FUENTE NO BORRAR'!B745="","",'FUENTE NO BORRAR'!B745)</f>
        <v/>
      </c>
      <c r="C727" s="5" t="str">
        <f>IF('FUENTE NO BORRAR'!C745="","",'FUENTE NO BORRAR'!C745)</f>
        <v/>
      </c>
      <c r="D727" s="5" t="str">
        <f>IF('FUENTE NO BORRAR'!D745="","",'FUENTE NO BORRAR'!D745)</f>
        <v/>
      </c>
      <c r="E727" s="5" t="str">
        <f>IF('FUENTE NO BORRAR'!E745="","",'FUENTE NO BORRAR'!E745)</f>
        <v/>
      </c>
      <c r="F727" s="6">
        <f>IF('FUENTE NO BORRAR'!F745="","",IF('FUENTE NO BORRAR'!$A745&lt;&gt;"Resultado total",('FUENTE NO BORRAR'!F745),""))</f>
        <v>43917.599999999999</v>
      </c>
      <c r="G727" s="6">
        <f>IF('FUENTE NO BORRAR'!G745="","",IF('FUENTE NO BORRAR'!$A745&lt;&gt;"Resultado total",('FUENTE NO BORRAR'!G745),""))</f>
        <v>43917.599999999999</v>
      </c>
      <c r="H727" s="6">
        <f>IF('FUENTE NO BORRAR'!H745="","",IF('FUENTE NO BORRAR'!$A745&lt;&gt;"Resultado total",('FUENTE NO BORRAR'!H745),""))</f>
        <v>43917.599999999999</v>
      </c>
      <c r="I727" s="6">
        <f>IF('FUENTE NO BORRAR'!I745="","",IF('FUENTE NO BORRAR'!$A745&lt;&gt;"Resultado total",('FUENTE NO BORRAR'!I745),""))</f>
        <v>0</v>
      </c>
    </row>
    <row r="728" spans="1:9" x14ac:dyDescent="0.2">
      <c r="A728" s="5" t="str">
        <f>IF('FUENTE NO BORRAR'!A746="","",(IF('FUENTE NO BORRAR'!A746&lt;&gt;"Resultado total",'FUENTE NO BORRAR'!A746,"")))</f>
        <v/>
      </c>
      <c r="B728" s="5" t="str">
        <f>IF('FUENTE NO BORRAR'!B746="","",'FUENTE NO BORRAR'!B746)</f>
        <v/>
      </c>
      <c r="C728" s="5" t="str">
        <f>IF('FUENTE NO BORRAR'!C746="","",'FUENTE NO BORRAR'!C746)</f>
        <v/>
      </c>
      <c r="D728" s="5" t="str">
        <f>IF('FUENTE NO BORRAR'!D746="","",'FUENTE NO BORRAR'!D746)</f>
        <v/>
      </c>
      <c r="E728" s="5" t="str">
        <f>IF('FUENTE NO BORRAR'!E746="","",'FUENTE NO BORRAR'!E746)</f>
        <v/>
      </c>
      <c r="F728" s="6">
        <f>IF('FUENTE NO BORRAR'!F746="","",IF('FUENTE NO BORRAR'!$A746&lt;&gt;"Resultado total",('FUENTE NO BORRAR'!F746),""))</f>
        <v>6240.8</v>
      </c>
      <c r="G728" s="6">
        <f>IF('FUENTE NO BORRAR'!G746="","",IF('FUENTE NO BORRAR'!$A746&lt;&gt;"Resultado total",('FUENTE NO BORRAR'!G746),""))</f>
        <v>6240.8</v>
      </c>
      <c r="H728" s="6">
        <f>IF('FUENTE NO BORRAR'!H746="","",IF('FUENTE NO BORRAR'!$A746&lt;&gt;"Resultado total",('FUENTE NO BORRAR'!H746),""))</f>
        <v>6240.8</v>
      </c>
      <c r="I728" s="6">
        <f>IF('FUENTE NO BORRAR'!I746="","",IF('FUENTE NO BORRAR'!$A746&lt;&gt;"Resultado total",('FUENTE NO BORRAR'!I746),""))</f>
        <v>0</v>
      </c>
    </row>
    <row r="729" spans="1:9" x14ac:dyDescent="0.2">
      <c r="A729" s="5" t="str">
        <f>IF('FUENTE NO BORRAR'!A747="","",(IF('FUENTE NO BORRAR'!A747&lt;&gt;"Resultado total",'FUENTE NO BORRAR'!A747,"")))</f>
        <v/>
      </c>
      <c r="B729" s="5" t="str">
        <f>IF('FUENTE NO BORRAR'!B747="","",'FUENTE NO BORRAR'!B747)</f>
        <v/>
      </c>
      <c r="C729" s="5" t="str">
        <f>IF('FUENTE NO BORRAR'!C747="","",'FUENTE NO BORRAR'!C747)</f>
        <v/>
      </c>
      <c r="D729" s="5" t="str">
        <f>IF('FUENTE NO BORRAR'!D747="","",'FUENTE NO BORRAR'!D747)</f>
        <v/>
      </c>
      <c r="E729" s="5" t="str">
        <f>IF('FUENTE NO BORRAR'!E747="","",'FUENTE NO BORRAR'!E747)</f>
        <v/>
      </c>
      <c r="F729" s="6">
        <f>IF('FUENTE NO BORRAR'!F747="","",IF('FUENTE NO BORRAR'!$A747&lt;&gt;"Resultado total",('FUENTE NO BORRAR'!F747),""))</f>
        <v>4524</v>
      </c>
      <c r="G729" s="6">
        <f>IF('FUENTE NO BORRAR'!G747="","",IF('FUENTE NO BORRAR'!$A747&lt;&gt;"Resultado total",('FUENTE NO BORRAR'!G747),""))</f>
        <v>4524</v>
      </c>
      <c r="H729" s="6">
        <f>IF('FUENTE NO BORRAR'!H747="","",IF('FUENTE NO BORRAR'!$A747&lt;&gt;"Resultado total",('FUENTE NO BORRAR'!H747),""))</f>
        <v>4524</v>
      </c>
      <c r="I729" s="6">
        <f>IF('FUENTE NO BORRAR'!I747="","",IF('FUENTE NO BORRAR'!$A747&lt;&gt;"Resultado total",('FUENTE NO BORRAR'!I747),""))</f>
        <v>0</v>
      </c>
    </row>
    <row r="730" spans="1:9" x14ac:dyDescent="0.2">
      <c r="A730" s="5" t="str">
        <f>IF('FUENTE NO BORRAR'!A748="","",(IF('FUENTE NO BORRAR'!A748&lt;&gt;"Resultado total",'FUENTE NO BORRAR'!A748,"")))</f>
        <v/>
      </c>
      <c r="B730" s="5" t="str">
        <f>IF('FUENTE NO BORRAR'!B748="","",'FUENTE NO BORRAR'!B748)</f>
        <v/>
      </c>
      <c r="C730" s="5" t="str">
        <f>IF('FUENTE NO BORRAR'!C748="","",'FUENTE NO BORRAR'!C748)</f>
        <v>13071082E205</v>
      </c>
      <c r="D730" s="5" t="str">
        <f>IF('FUENTE NO BORRAR'!D748="","",'FUENTE NO BORRAR'!D748)</f>
        <v>13071082E205</v>
      </c>
      <c r="E730" s="5" t="str">
        <f>IF('FUENTE NO BORRAR'!E748="","",'FUENTE NO BORRAR'!E748)</f>
        <v/>
      </c>
      <c r="F730" s="6">
        <f>IF('FUENTE NO BORRAR'!F748="","",IF('FUENTE NO BORRAR'!$A748&lt;&gt;"Resultado total",('FUENTE NO BORRAR'!F748),""))</f>
        <v>0</v>
      </c>
      <c r="G730" s="6">
        <f>IF('FUENTE NO BORRAR'!G748="","",IF('FUENTE NO BORRAR'!$A748&lt;&gt;"Resultado total",('FUENTE NO BORRAR'!G748),""))</f>
        <v>0</v>
      </c>
      <c r="H730" s="6">
        <f>IF('FUENTE NO BORRAR'!H748="","",IF('FUENTE NO BORRAR'!$A748&lt;&gt;"Resultado total",('FUENTE NO BORRAR'!H748),""))</f>
        <v>0</v>
      </c>
      <c r="I730" s="6">
        <f>IF('FUENTE NO BORRAR'!I748="","",IF('FUENTE NO BORRAR'!$A748&lt;&gt;"Resultado total",('FUENTE NO BORRAR'!I748),""))</f>
        <v>0</v>
      </c>
    </row>
    <row r="731" spans="1:9" x14ac:dyDescent="0.2">
      <c r="A731" s="5" t="str">
        <f>IF('FUENTE NO BORRAR'!A749="","",(IF('FUENTE NO BORRAR'!A749&lt;&gt;"Resultado total",'FUENTE NO BORRAR'!A749,"")))</f>
        <v/>
      </c>
      <c r="B731" s="5" t="str">
        <f>IF('FUENTE NO BORRAR'!B749="","",'FUENTE NO BORRAR'!B749)</f>
        <v/>
      </c>
      <c r="C731" s="5" t="str">
        <f>IF('FUENTE NO BORRAR'!C749="","",'FUENTE NO BORRAR'!C749)</f>
        <v/>
      </c>
      <c r="D731" s="5" t="str">
        <f>IF('FUENTE NO BORRAR'!D749="","",'FUENTE NO BORRAR'!D749)</f>
        <v/>
      </c>
      <c r="E731" s="5" t="str">
        <f>IF('FUENTE NO BORRAR'!E749="","",'FUENTE NO BORRAR'!E749)</f>
        <v/>
      </c>
      <c r="F731" s="6">
        <f>IF('FUENTE NO BORRAR'!F749="","",IF('FUENTE NO BORRAR'!$A749&lt;&gt;"Resultado total",('FUENTE NO BORRAR'!F749),""))</f>
        <v>0</v>
      </c>
      <c r="G731" s="6">
        <f>IF('FUENTE NO BORRAR'!G749="","",IF('FUENTE NO BORRAR'!$A749&lt;&gt;"Resultado total",('FUENTE NO BORRAR'!G749),""))</f>
        <v>0</v>
      </c>
      <c r="H731" s="6">
        <f>IF('FUENTE NO BORRAR'!H749="","",IF('FUENTE NO BORRAR'!$A749&lt;&gt;"Resultado total",('FUENTE NO BORRAR'!H749),""))</f>
        <v>0</v>
      </c>
      <c r="I731" s="6">
        <f>IF('FUENTE NO BORRAR'!I749="","",IF('FUENTE NO BORRAR'!$A749&lt;&gt;"Resultado total",('FUENTE NO BORRAR'!I749),""))</f>
        <v>0</v>
      </c>
    </row>
    <row r="732" spans="1:9" x14ac:dyDescent="0.2">
      <c r="A732" s="5" t="str">
        <f>IF('FUENTE NO BORRAR'!A750="","",(IF('FUENTE NO BORRAR'!A750&lt;&gt;"Resultado total",'FUENTE NO BORRAR'!A750,"")))</f>
        <v/>
      </c>
      <c r="B732" s="5" t="str">
        <f>IF('FUENTE NO BORRAR'!B750="","",'FUENTE NO BORRAR'!B750)</f>
        <v/>
      </c>
      <c r="C732" s="5" t="str">
        <f>IF('FUENTE NO BORRAR'!C750="","",'FUENTE NO BORRAR'!C750)</f>
        <v/>
      </c>
      <c r="D732" s="5" t="str">
        <f>IF('FUENTE NO BORRAR'!D750="","",'FUENTE NO BORRAR'!D750)</f>
        <v/>
      </c>
      <c r="E732" s="5" t="str">
        <f>IF('FUENTE NO BORRAR'!E750="","",'FUENTE NO BORRAR'!E750)</f>
        <v/>
      </c>
      <c r="F732" s="6">
        <f>IF('FUENTE NO BORRAR'!F750="","",IF('FUENTE NO BORRAR'!$A750&lt;&gt;"Resultado total",('FUENTE NO BORRAR'!F750),""))</f>
        <v>0</v>
      </c>
      <c r="G732" s="6">
        <f>IF('FUENTE NO BORRAR'!G750="","",IF('FUENTE NO BORRAR'!$A750&lt;&gt;"Resultado total",('FUENTE NO BORRAR'!G750),""))</f>
        <v>0</v>
      </c>
      <c r="H732" s="6">
        <f>IF('FUENTE NO BORRAR'!H750="","",IF('FUENTE NO BORRAR'!$A750&lt;&gt;"Resultado total",('FUENTE NO BORRAR'!H750),""))</f>
        <v>0</v>
      </c>
      <c r="I732" s="6">
        <f>IF('FUENTE NO BORRAR'!I750="","",IF('FUENTE NO BORRAR'!$A750&lt;&gt;"Resultado total",('FUENTE NO BORRAR'!I750),""))</f>
        <v>0</v>
      </c>
    </row>
    <row r="733" spans="1:9" x14ac:dyDescent="0.2">
      <c r="A733" s="5" t="str">
        <f>IF('FUENTE NO BORRAR'!A751="","",(IF('FUENTE NO BORRAR'!A751&lt;&gt;"Resultado total",'FUENTE NO BORRAR'!A751,"")))</f>
        <v/>
      </c>
      <c r="B733" s="5" t="str">
        <f>IF('FUENTE NO BORRAR'!B751="","",'FUENTE NO BORRAR'!B751)</f>
        <v/>
      </c>
      <c r="C733" s="5" t="str">
        <f>IF('FUENTE NO BORRAR'!C751="","",'FUENTE NO BORRAR'!C751)</f>
        <v/>
      </c>
      <c r="D733" s="5" t="str">
        <f>IF('FUENTE NO BORRAR'!D751="","",'FUENTE NO BORRAR'!D751)</f>
        <v/>
      </c>
      <c r="E733" s="5" t="str">
        <f>IF('FUENTE NO BORRAR'!E751="","",'FUENTE NO BORRAR'!E751)</f>
        <v/>
      </c>
      <c r="F733" s="6">
        <f>IF('FUENTE NO BORRAR'!F751="","",IF('FUENTE NO BORRAR'!$A751&lt;&gt;"Resultado total",('FUENTE NO BORRAR'!F751),""))</f>
        <v>0</v>
      </c>
      <c r="G733" s="6">
        <f>IF('FUENTE NO BORRAR'!G751="","",IF('FUENTE NO BORRAR'!$A751&lt;&gt;"Resultado total",('FUENTE NO BORRAR'!G751),""))</f>
        <v>0</v>
      </c>
      <c r="H733" s="6">
        <f>IF('FUENTE NO BORRAR'!H751="","",IF('FUENTE NO BORRAR'!$A751&lt;&gt;"Resultado total",('FUENTE NO BORRAR'!H751),""))</f>
        <v>0</v>
      </c>
      <c r="I733" s="6">
        <f>IF('FUENTE NO BORRAR'!I751="","",IF('FUENTE NO BORRAR'!$A751&lt;&gt;"Resultado total",('FUENTE NO BORRAR'!I751),""))</f>
        <v>0</v>
      </c>
    </row>
    <row r="734" spans="1:9" x14ac:dyDescent="0.2">
      <c r="A734" s="5" t="str">
        <f>IF('FUENTE NO BORRAR'!A752="","",(IF('FUENTE NO BORRAR'!A752&lt;&gt;"Resultado total",'FUENTE NO BORRAR'!A752,"")))</f>
        <v/>
      </c>
      <c r="B734" s="5" t="str">
        <f>IF('FUENTE NO BORRAR'!B752="","",'FUENTE NO BORRAR'!B752)</f>
        <v/>
      </c>
      <c r="C734" s="5" t="str">
        <f>IF('FUENTE NO BORRAR'!C752="","",'FUENTE NO BORRAR'!C752)</f>
        <v/>
      </c>
      <c r="D734" s="5" t="str">
        <f>IF('FUENTE NO BORRAR'!D752="","",'FUENTE NO BORRAR'!D752)</f>
        <v/>
      </c>
      <c r="E734" s="5" t="str">
        <f>IF('FUENTE NO BORRAR'!E752="","",'FUENTE NO BORRAR'!E752)</f>
        <v/>
      </c>
      <c r="F734" s="6">
        <f>IF('FUENTE NO BORRAR'!F752="","",IF('FUENTE NO BORRAR'!$A752&lt;&gt;"Resultado total",('FUENTE NO BORRAR'!F752),""))</f>
        <v>0</v>
      </c>
      <c r="G734" s="6">
        <f>IF('FUENTE NO BORRAR'!G752="","",IF('FUENTE NO BORRAR'!$A752&lt;&gt;"Resultado total",('FUENTE NO BORRAR'!G752),""))</f>
        <v>0</v>
      </c>
      <c r="H734" s="6">
        <f>IF('FUENTE NO BORRAR'!H752="","",IF('FUENTE NO BORRAR'!$A752&lt;&gt;"Resultado total",('FUENTE NO BORRAR'!H752),""))</f>
        <v>0</v>
      </c>
      <c r="I734" s="6">
        <f>IF('FUENTE NO BORRAR'!I752="","",IF('FUENTE NO BORRAR'!$A752&lt;&gt;"Resultado total",('FUENTE NO BORRAR'!I752),""))</f>
        <v>0</v>
      </c>
    </row>
    <row r="735" spans="1:9" x14ac:dyDescent="0.2">
      <c r="A735" s="5" t="str">
        <f>IF('FUENTE NO BORRAR'!A753="","",(IF('FUENTE NO BORRAR'!A753&lt;&gt;"Resultado total",'FUENTE NO BORRAR'!A753,"")))</f>
        <v/>
      </c>
      <c r="B735" s="5" t="str">
        <f>IF('FUENTE NO BORRAR'!B753="","",'FUENTE NO BORRAR'!B753)</f>
        <v/>
      </c>
      <c r="C735" s="5" t="str">
        <f>IF('FUENTE NO BORRAR'!C753="","",'FUENTE NO BORRAR'!C753)</f>
        <v/>
      </c>
      <c r="D735" s="5" t="str">
        <f>IF('FUENTE NO BORRAR'!D753="","",'FUENTE NO BORRAR'!D753)</f>
        <v/>
      </c>
      <c r="E735" s="5" t="str">
        <f>IF('FUENTE NO BORRAR'!E753="","",'FUENTE NO BORRAR'!E753)</f>
        <v/>
      </c>
      <c r="F735" s="6">
        <f>IF('FUENTE NO BORRAR'!F753="","",IF('FUENTE NO BORRAR'!$A753&lt;&gt;"Resultado total",('FUENTE NO BORRAR'!F753),""))</f>
        <v>0</v>
      </c>
      <c r="G735" s="6">
        <f>IF('FUENTE NO BORRAR'!G753="","",IF('FUENTE NO BORRAR'!$A753&lt;&gt;"Resultado total",('FUENTE NO BORRAR'!G753),""))</f>
        <v>0</v>
      </c>
      <c r="H735" s="6">
        <f>IF('FUENTE NO BORRAR'!H753="","",IF('FUENTE NO BORRAR'!$A753&lt;&gt;"Resultado total",('FUENTE NO BORRAR'!H753),""))</f>
        <v>0</v>
      </c>
      <c r="I735" s="6">
        <f>IF('FUENTE NO BORRAR'!I753="","",IF('FUENTE NO BORRAR'!$A753&lt;&gt;"Resultado total",('FUENTE NO BORRAR'!I753),""))</f>
        <v>0</v>
      </c>
    </row>
    <row r="736" spans="1:9" x14ac:dyDescent="0.2">
      <c r="A736" s="5" t="str">
        <f>IF('FUENTE NO BORRAR'!A754="","",(IF('FUENTE NO BORRAR'!A754&lt;&gt;"Resultado total",'FUENTE NO BORRAR'!A754,"")))</f>
        <v/>
      </c>
      <c r="B736" s="5" t="str">
        <f>IF('FUENTE NO BORRAR'!B754="","",'FUENTE NO BORRAR'!B754)</f>
        <v/>
      </c>
      <c r="C736" s="5" t="str">
        <f>IF('FUENTE NO BORRAR'!C754="","",'FUENTE NO BORRAR'!C754)</f>
        <v/>
      </c>
      <c r="D736" s="5" t="str">
        <f>IF('FUENTE NO BORRAR'!D754="","",'FUENTE NO BORRAR'!D754)</f>
        <v/>
      </c>
      <c r="E736" s="5" t="str">
        <f>IF('FUENTE NO BORRAR'!E754="","",'FUENTE NO BORRAR'!E754)</f>
        <v/>
      </c>
      <c r="F736" s="6">
        <f>IF('FUENTE NO BORRAR'!F754="","",IF('FUENTE NO BORRAR'!$A754&lt;&gt;"Resultado total",('FUENTE NO BORRAR'!F754),""))</f>
        <v>0</v>
      </c>
      <c r="G736" s="6">
        <f>IF('FUENTE NO BORRAR'!G754="","",IF('FUENTE NO BORRAR'!$A754&lt;&gt;"Resultado total",('FUENTE NO BORRAR'!G754),""))</f>
        <v>0</v>
      </c>
      <c r="H736" s="6">
        <f>IF('FUENTE NO BORRAR'!H754="","",IF('FUENTE NO BORRAR'!$A754&lt;&gt;"Resultado total",('FUENTE NO BORRAR'!H754),""))</f>
        <v>0</v>
      </c>
      <c r="I736" s="6">
        <f>IF('FUENTE NO BORRAR'!I754="","",IF('FUENTE NO BORRAR'!$A754&lt;&gt;"Resultado total",('FUENTE NO BORRAR'!I754),""))</f>
        <v>0</v>
      </c>
    </row>
    <row r="737" spans="1:9" x14ac:dyDescent="0.2">
      <c r="A737" s="5" t="str">
        <f>IF('FUENTE NO BORRAR'!A755="","",(IF('FUENTE NO BORRAR'!A755&lt;&gt;"Resultado total",'FUENTE NO BORRAR'!A755,"")))</f>
        <v/>
      </c>
      <c r="B737" s="5" t="str">
        <f>IF('FUENTE NO BORRAR'!B755="","",'FUENTE NO BORRAR'!B755)</f>
        <v/>
      </c>
      <c r="C737" s="5" t="str">
        <f>IF('FUENTE NO BORRAR'!C755="","",'FUENTE NO BORRAR'!C755)</f>
        <v/>
      </c>
      <c r="D737" s="5" t="str">
        <f>IF('FUENTE NO BORRAR'!D755="","",'FUENTE NO BORRAR'!D755)</f>
        <v/>
      </c>
      <c r="E737" s="5" t="str">
        <f>IF('FUENTE NO BORRAR'!E755="","",'FUENTE NO BORRAR'!E755)</f>
        <v/>
      </c>
      <c r="F737" s="6">
        <f>IF('FUENTE NO BORRAR'!F755="","",IF('FUENTE NO BORRAR'!$A755&lt;&gt;"Resultado total",('FUENTE NO BORRAR'!F755),""))</f>
        <v>0</v>
      </c>
      <c r="G737" s="6">
        <f>IF('FUENTE NO BORRAR'!G755="","",IF('FUENTE NO BORRAR'!$A755&lt;&gt;"Resultado total",('FUENTE NO BORRAR'!G755),""))</f>
        <v>0</v>
      </c>
      <c r="H737" s="6">
        <f>IF('FUENTE NO BORRAR'!H755="","",IF('FUENTE NO BORRAR'!$A755&lt;&gt;"Resultado total",('FUENTE NO BORRAR'!H755),""))</f>
        <v>0</v>
      </c>
      <c r="I737" s="6">
        <f>IF('FUENTE NO BORRAR'!I755="","",IF('FUENTE NO BORRAR'!$A755&lt;&gt;"Resultado total",('FUENTE NO BORRAR'!I755),""))</f>
        <v>0</v>
      </c>
    </row>
    <row r="738" spans="1:9" x14ac:dyDescent="0.2">
      <c r="A738" s="5" t="str">
        <f>IF('FUENTE NO BORRAR'!A756="","",(IF('FUENTE NO BORRAR'!A756&lt;&gt;"Resultado total",'FUENTE NO BORRAR'!A756,"")))</f>
        <v/>
      </c>
      <c r="B738" s="5" t="str">
        <f>IF('FUENTE NO BORRAR'!B756="","",'FUENTE NO BORRAR'!B756)</f>
        <v/>
      </c>
      <c r="C738" s="5" t="str">
        <f>IF('FUENTE NO BORRAR'!C756="","",'FUENTE NO BORRAR'!C756)</f>
        <v/>
      </c>
      <c r="D738" s="5" t="str">
        <f>IF('FUENTE NO BORRAR'!D756="","",'FUENTE NO BORRAR'!D756)</f>
        <v/>
      </c>
      <c r="E738" s="5" t="str">
        <f>IF('FUENTE NO BORRAR'!E756="","",'FUENTE NO BORRAR'!E756)</f>
        <v/>
      </c>
      <c r="F738" s="6">
        <f>IF('FUENTE NO BORRAR'!F756="","",IF('FUENTE NO BORRAR'!$A756&lt;&gt;"Resultado total",('FUENTE NO BORRAR'!F756),""))</f>
        <v>0</v>
      </c>
      <c r="G738" s="6">
        <f>IF('FUENTE NO BORRAR'!G756="","",IF('FUENTE NO BORRAR'!$A756&lt;&gt;"Resultado total",('FUENTE NO BORRAR'!G756),""))</f>
        <v>0</v>
      </c>
      <c r="H738" s="6">
        <f>IF('FUENTE NO BORRAR'!H756="","",IF('FUENTE NO BORRAR'!$A756&lt;&gt;"Resultado total",('FUENTE NO BORRAR'!H756),""))</f>
        <v>0</v>
      </c>
      <c r="I738" s="6">
        <f>IF('FUENTE NO BORRAR'!I756="","",IF('FUENTE NO BORRAR'!$A756&lt;&gt;"Resultado total",('FUENTE NO BORRAR'!I756),""))</f>
        <v>0</v>
      </c>
    </row>
    <row r="739" spans="1:9" x14ac:dyDescent="0.2">
      <c r="A739" s="5" t="str">
        <f>IF('FUENTE NO BORRAR'!A757="","",(IF('FUENTE NO BORRAR'!A757&lt;&gt;"Resultado total",'FUENTE NO BORRAR'!A757,"")))</f>
        <v/>
      </c>
      <c r="B739" s="5" t="str">
        <f>IF('FUENTE NO BORRAR'!B757="","",'FUENTE NO BORRAR'!B757)</f>
        <v/>
      </c>
      <c r="C739" s="5" t="str">
        <f>IF('FUENTE NO BORRAR'!C757="","",'FUENTE NO BORRAR'!C757)</f>
        <v/>
      </c>
      <c r="D739" s="5" t="str">
        <f>IF('FUENTE NO BORRAR'!D757="","",'FUENTE NO BORRAR'!D757)</f>
        <v/>
      </c>
      <c r="E739" s="5" t="str">
        <f>IF('FUENTE NO BORRAR'!E757="","",'FUENTE NO BORRAR'!E757)</f>
        <v/>
      </c>
      <c r="F739" s="6">
        <f>IF('FUENTE NO BORRAR'!F757="","",IF('FUENTE NO BORRAR'!$A757&lt;&gt;"Resultado total",('FUENTE NO BORRAR'!F757),""))</f>
        <v>0</v>
      </c>
      <c r="G739" s="6">
        <f>IF('FUENTE NO BORRAR'!G757="","",IF('FUENTE NO BORRAR'!$A757&lt;&gt;"Resultado total",('FUENTE NO BORRAR'!G757),""))</f>
        <v>0</v>
      </c>
      <c r="H739" s="6">
        <f>IF('FUENTE NO BORRAR'!H757="","",IF('FUENTE NO BORRAR'!$A757&lt;&gt;"Resultado total",('FUENTE NO BORRAR'!H757),""))</f>
        <v>0</v>
      </c>
      <c r="I739" s="6">
        <f>IF('FUENTE NO BORRAR'!I757="","",IF('FUENTE NO BORRAR'!$A757&lt;&gt;"Resultado total",('FUENTE NO BORRAR'!I757),""))</f>
        <v>0</v>
      </c>
    </row>
    <row r="740" spans="1:9" x14ac:dyDescent="0.2">
      <c r="A740" s="5" t="str">
        <f>IF('FUENTE NO BORRAR'!A758="","",(IF('FUENTE NO BORRAR'!A758&lt;&gt;"Resultado total",'FUENTE NO BORRAR'!A758,"")))</f>
        <v/>
      </c>
      <c r="B740" s="5" t="str">
        <f>IF('FUENTE NO BORRAR'!B758="","",'FUENTE NO BORRAR'!B758)</f>
        <v/>
      </c>
      <c r="C740" s="5" t="str">
        <f>IF('FUENTE NO BORRAR'!C758="","",'FUENTE NO BORRAR'!C758)</f>
        <v/>
      </c>
      <c r="D740" s="5" t="str">
        <f>IF('FUENTE NO BORRAR'!D758="","",'FUENTE NO BORRAR'!D758)</f>
        <v/>
      </c>
      <c r="E740" s="5" t="str">
        <f>IF('FUENTE NO BORRAR'!E758="","",'FUENTE NO BORRAR'!E758)</f>
        <v/>
      </c>
      <c r="F740" s="6">
        <f>IF('FUENTE NO BORRAR'!F758="","",IF('FUENTE NO BORRAR'!$A758&lt;&gt;"Resultado total",('FUENTE NO BORRAR'!F758),""))</f>
        <v>0</v>
      </c>
      <c r="G740" s="6">
        <f>IF('FUENTE NO BORRAR'!G758="","",IF('FUENTE NO BORRAR'!$A758&lt;&gt;"Resultado total",('FUENTE NO BORRAR'!G758),""))</f>
        <v>0</v>
      </c>
      <c r="H740" s="6">
        <f>IF('FUENTE NO BORRAR'!H758="","",IF('FUENTE NO BORRAR'!$A758&lt;&gt;"Resultado total",('FUENTE NO BORRAR'!H758),""))</f>
        <v>0</v>
      </c>
      <c r="I740" s="6">
        <f>IF('FUENTE NO BORRAR'!I758="","",IF('FUENTE NO BORRAR'!$A758&lt;&gt;"Resultado total",('FUENTE NO BORRAR'!I758),""))</f>
        <v>0</v>
      </c>
    </row>
    <row r="741" spans="1:9" x14ac:dyDescent="0.2">
      <c r="A741" s="5" t="str">
        <f>IF('FUENTE NO BORRAR'!A759="","",(IF('FUENTE NO BORRAR'!A759&lt;&gt;"Resultado total",'FUENTE NO BORRAR'!A759,"")))</f>
        <v/>
      </c>
      <c r="B741" s="5" t="str">
        <f>IF('FUENTE NO BORRAR'!B759="","",'FUENTE NO BORRAR'!B759)</f>
        <v/>
      </c>
      <c r="C741" s="5" t="str">
        <f>IF('FUENTE NO BORRAR'!C759="","",'FUENTE NO BORRAR'!C759)</f>
        <v/>
      </c>
      <c r="D741" s="5" t="str">
        <f>IF('FUENTE NO BORRAR'!D759="","",'FUENTE NO BORRAR'!D759)</f>
        <v/>
      </c>
      <c r="E741" s="5" t="str">
        <f>IF('FUENTE NO BORRAR'!E759="","",'FUENTE NO BORRAR'!E759)</f>
        <v/>
      </c>
      <c r="F741" s="6">
        <f>IF('FUENTE NO BORRAR'!F759="","",IF('FUENTE NO BORRAR'!$A759&lt;&gt;"Resultado total",('FUENTE NO BORRAR'!F759),""))</f>
        <v>0</v>
      </c>
      <c r="G741" s="6">
        <f>IF('FUENTE NO BORRAR'!G759="","",IF('FUENTE NO BORRAR'!$A759&lt;&gt;"Resultado total",('FUENTE NO BORRAR'!G759),""))</f>
        <v>0</v>
      </c>
      <c r="H741" s="6">
        <f>IF('FUENTE NO BORRAR'!H759="","",IF('FUENTE NO BORRAR'!$A759&lt;&gt;"Resultado total",('FUENTE NO BORRAR'!H759),""))</f>
        <v>0</v>
      </c>
      <c r="I741" s="6">
        <f>IF('FUENTE NO BORRAR'!I759="","",IF('FUENTE NO BORRAR'!$A759&lt;&gt;"Resultado total",('FUENTE NO BORRAR'!I759),""))</f>
        <v>0</v>
      </c>
    </row>
    <row r="742" spans="1:9" x14ac:dyDescent="0.2">
      <c r="A742" s="5" t="str">
        <f>IF('FUENTE NO BORRAR'!A760="","",(IF('FUENTE NO BORRAR'!A760&lt;&gt;"Resultado total",'FUENTE NO BORRAR'!A760,"")))</f>
        <v/>
      </c>
      <c r="B742" s="5" t="str">
        <f>IF('FUENTE NO BORRAR'!B760="","",'FUENTE NO BORRAR'!B760)</f>
        <v/>
      </c>
      <c r="C742" s="5" t="str">
        <f>IF('FUENTE NO BORRAR'!C760="","",'FUENTE NO BORRAR'!C760)</f>
        <v/>
      </c>
      <c r="D742" s="5" t="str">
        <f>IF('FUENTE NO BORRAR'!D760="","",'FUENTE NO BORRAR'!D760)</f>
        <v/>
      </c>
      <c r="E742" s="5" t="str">
        <f>IF('FUENTE NO BORRAR'!E760="","",'FUENTE NO BORRAR'!E760)</f>
        <v/>
      </c>
      <c r="F742" s="6">
        <f>IF('FUENTE NO BORRAR'!F760="","",IF('FUENTE NO BORRAR'!$A760&lt;&gt;"Resultado total",('FUENTE NO BORRAR'!F760),""))</f>
        <v>0</v>
      </c>
      <c r="G742" s="6">
        <f>IF('FUENTE NO BORRAR'!G760="","",IF('FUENTE NO BORRAR'!$A760&lt;&gt;"Resultado total",('FUENTE NO BORRAR'!G760),""))</f>
        <v>0</v>
      </c>
      <c r="H742" s="6">
        <f>IF('FUENTE NO BORRAR'!H760="","",IF('FUENTE NO BORRAR'!$A760&lt;&gt;"Resultado total",('FUENTE NO BORRAR'!H760),""))</f>
        <v>0</v>
      </c>
      <c r="I742" s="6">
        <f>IF('FUENTE NO BORRAR'!I760="","",IF('FUENTE NO BORRAR'!$A760&lt;&gt;"Resultado total",('FUENTE NO BORRAR'!I760),""))</f>
        <v>0</v>
      </c>
    </row>
    <row r="743" spans="1:9" x14ac:dyDescent="0.2">
      <c r="A743" s="5" t="str">
        <f>IF('FUENTE NO BORRAR'!A761="","",(IF('FUENTE NO BORRAR'!A761&lt;&gt;"Resultado total",'FUENTE NO BORRAR'!A761,"")))</f>
        <v/>
      </c>
      <c r="B743" s="5" t="str">
        <f>IF('FUENTE NO BORRAR'!B761="","",'FUENTE NO BORRAR'!B761)</f>
        <v/>
      </c>
      <c r="C743" s="5" t="str">
        <f>IF('FUENTE NO BORRAR'!C761="","",'FUENTE NO BORRAR'!C761)</f>
        <v/>
      </c>
      <c r="D743" s="5" t="str">
        <f>IF('FUENTE NO BORRAR'!D761="","",'FUENTE NO BORRAR'!D761)</f>
        <v/>
      </c>
      <c r="E743" s="5" t="str">
        <f>IF('FUENTE NO BORRAR'!E761="","",'FUENTE NO BORRAR'!E761)</f>
        <v/>
      </c>
      <c r="F743" s="6">
        <f>IF('FUENTE NO BORRAR'!F761="","",IF('FUENTE NO BORRAR'!$A761&lt;&gt;"Resultado total",('FUENTE NO BORRAR'!F761),""))</f>
        <v>0</v>
      </c>
      <c r="G743" s="6">
        <f>IF('FUENTE NO BORRAR'!G761="","",IF('FUENTE NO BORRAR'!$A761&lt;&gt;"Resultado total",('FUENTE NO BORRAR'!G761),""))</f>
        <v>0</v>
      </c>
      <c r="H743" s="6">
        <f>IF('FUENTE NO BORRAR'!H761="","",IF('FUENTE NO BORRAR'!$A761&lt;&gt;"Resultado total",('FUENTE NO BORRAR'!H761),""))</f>
        <v>0</v>
      </c>
      <c r="I743" s="6">
        <f>IF('FUENTE NO BORRAR'!I761="","",IF('FUENTE NO BORRAR'!$A761&lt;&gt;"Resultado total",('FUENTE NO BORRAR'!I761),""))</f>
        <v>0</v>
      </c>
    </row>
    <row r="744" spans="1:9" x14ac:dyDescent="0.2">
      <c r="A744" s="5" t="str">
        <f>IF('FUENTE NO BORRAR'!A762="","",(IF('FUENTE NO BORRAR'!A762&lt;&gt;"Resultado total",'FUENTE NO BORRAR'!A762,"")))</f>
        <v/>
      </c>
      <c r="B744" s="5" t="str">
        <f>IF('FUENTE NO BORRAR'!B762="","",'FUENTE NO BORRAR'!B762)</f>
        <v/>
      </c>
      <c r="C744" s="5" t="str">
        <f>IF('FUENTE NO BORRAR'!C762="","",'FUENTE NO BORRAR'!C762)</f>
        <v/>
      </c>
      <c r="D744" s="5" t="str">
        <f>IF('FUENTE NO BORRAR'!D762="","",'FUENTE NO BORRAR'!D762)</f>
        <v/>
      </c>
      <c r="E744" s="5" t="str">
        <f>IF('FUENTE NO BORRAR'!E762="","",'FUENTE NO BORRAR'!E762)</f>
        <v/>
      </c>
      <c r="F744" s="6">
        <f>IF('FUENTE NO BORRAR'!F762="","",IF('FUENTE NO BORRAR'!$A762&lt;&gt;"Resultado total",('FUENTE NO BORRAR'!F762),""))</f>
        <v>0</v>
      </c>
      <c r="G744" s="6">
        <f>IF('FUENTE NO BORRAR'!G762="","",IF('FUENTE NO BORRAR'!$A762&lt;&gt;"Resultado total",('FUENTE NO BORRAR'!G762),""))</f>
        <v>0</v>
      </c>
      <c r="H744" s="6">
        <f>IF('FUENTE NO BORRAR'!H762="","",IF('FUENTE NO BORRAR'!$A762&lt;&gt;"Resultado total",('FUENTE NO BORRAR'!H762),""))</f>
        <v>0</v>
      </c>
      <c r="I744" s="6">
        <f>IF('FUENTE NO BORRAR'!I762="","",IF('FUENTE NO BORRAR'!$A762&lt;&gt;"Resultado total",('FUENTE NO BORRAR'!I762),""))</f>
        <v>0</v>
      </c>
    </row>
    <row r="745" spans="1:9" x14ac:dyDescent="0.2">
      <c r="A745" s="5" t="str">
        <f>IF('FUENTE NO BORRAR'!A763="","",(IF('FUENTE NO BORRAR'!A763&lt;&gt;"Resultado total",'FUENTE NO BORRAR'!A763,"")))</f>
        <v/>
      </c>
      <c r="B745" s="5" t="str">
        <f>IF('FUENTE NO BORRAR'!B763="","",'FUENTE NO BORRAR'!B763)</f>
        <v/>
      </c>
      <c r="C745" s="5" t="str">
        <f>IF('FUENTE NO BORRAR'!C763="","",'FUENTE NO BORRAR'!C763)</f>
        <v/>
      </c>
      <c r="D745" s="5" t="str">
        <f>IF('FUENTE NO BORRAR'!D763="","",'FUENTE NO BORRAR'!D763)</f>
        <v/>
      </c>
      <c r="E745" s="5" t="str">
        <f>IF('FUENTE NO BORRAR'!E763="","",'FUENTE NO BORRAR'!E763)</f>
        <v/>
      </c>
      <c r="F745" s="6">
        <f>IF('FUENTE NO BORRAR'!F763="","",IF('FUENTE NO BORRAR'!$A763&lt;&gt;"Resultado total",('FUENTE NO BORRAR'!F763),""))</f>
        <v>0</v>
      </c>
      <c r="G745" s="6">
        <f>IF('FUENTE NO BORRAR'!G763="","",IF('FUENTE NO BORRAR'!$A763&lt;&gt;"Resultado total",('FUENTE NO BORRAR'!G763),""))</f>
        <v>0</v>
      </c>
      <c r="H745" s="6">
        <f>IF('FUENTE NO BORRAR'!H763="","",IF('FUENTE NO BORRAR'!$A763&lt;&gt;"Resultado total",('FUENTE NO BORRAR'!H763),""))</f>
        <v>0</v>
      </c>
      <c r="I745" s="6">
        <f>IF('FUENTE NO BORRAR'!I763="","",IF('FUENTE NO BORRAR'!$A763&lt;&gt;"Resultado total",('FUENTE NO BORRAR'!I763),""))</f>
        <v>0</v>
      </c>
    </row>
    <row r="746" spans="1:9" x14ac:dyDescent="0.2">
      <c r="A746" s="5" t="str">
        <f>IF('FUENTE NO BORRAR'!A764="","",(IF('FUENTE NO BORRAR'!A764&lt;&gt;"Resultado total",'FUENTE NO BORRAR'!A764,"")))</f>
        <v/>
      </c>
      <c r="B746" s="5" t="str">
        <f>IF('FUENTE NO BORRAR'!B764="","",'FUENTE NO BORRAR'!B764)</f>
        <v/>
      </c>
      <c r="C746" s="5" t="str">
        <f>IF('FUENTE NO BORRAR'!C764="","",'FUENTE NO BORRAR'!C764)</f>
        <v>17011011E103</v>
      </c>
      <c r="D746" s="5" t="str">
        <f>IF('FUENTE NO BORRAR'!D764="","",'FUENTE NO BORRAR'!D764)</f>
        <v>17011011E103</v>
      </c>
      <c r="E746" s="5" t="str">
        <f>IF('FUENTE NO BORRAR'!E764="","",'FUENTE NO BORRAR'!E764)</f>
        <v/>
      </c>
      <c r="F746" s="6">
        <f>IF('FUENTE NO BORRAR'!F764="","",IF('FUENTE NO BORRAR'!$A764&lt;&gt;"Resultado total",('FUENTE NO BORRAR'!F764),""))</f>
        <v>2724423.08</v>
      </c>
      <c r="G746" s="6">
        <f>IF('FUENTE NO BORRAR'!G764="","",IF('FUENTE NO BORRAR'!$A764&lt;&gt;"Resultado total",('FUENTE NO BORRAR'!G764),""))</f>
        <v>2724423.08</v>
      </c>
      <c r="H746" s="6">
        <f>IF('FUENTE NO BORRAR'!H764="","",IF('FUENTE NO BORRAR'!$A764&lt;&gt;"Resultado total",('FUENTE NO BORRAR'!H764),""))</f>
        <v>2724423.08</v>
      </c>
      <c r="I746" s="6">
        <f>IF('FUENTE NO BORRAR'!I764="","",IF('FUENTE NO BORRAR'!$A764&lt;&gt;"Resultado total",('FUENTE NO BORRAR'!I764),""))</f>
        <v>0</v>
      </c>
    </row>
    <row r="747" spans="1:9" x14ac:dyDescent="0.2">
      <c r="A747" s="5" t="str">
        <f>IF('FUENTE NO BORRAR'!A765="","",(IF('FUENTE NO BORRAR'!A765&lt;&gt;"Resultado total",'FUENTE NO BORRAR'!A765,"")))</f>
        <v/>
      </c>
      <c r="B747" s="5" t="str">
        <f>IF('FUENTE NO BORRAR'!B765="","",'FUENTE NO BORRAR'!B765)</f>
        <v/>
      </c>
      <c r="C747" s="5" t="str">
        <f>IF('FUENTE NO BORRAR'!C765="","",'FUENTE NO BORRAR'!C765)</f>
        <v/>
      </c>
      <c r="D747" s="5" t="str">
        <f>IF('FUENTE NO BORRAR'!D765="","",'FUENTE NO BORRAR'!D765)</f>
        <v/>
      </c>
      <c r="E747" s="5" t="str">
        <f>IF('FUENTE NO BORRAR'!E765="","",'FUENTE NO BORRAR'!E765)</f>
        <v/>
      </c>
      <c r="F747" s="6">
        <f>IF('FUENTE NO BORRAR'!F765="","",IF('FUENTE NO BORRAR'!$A765&lt;&gt;"Resultado total",('FUENTE NO BORRAR'!F765),""))</f>
        <v>457344.33</v>
      </c>
      <c r="G747" s="6">
        <f>IF('FUENTE NO BORRAR'!G765="","",IF('FUENTE NO BORRAR'!$A765&lt;&gt;"Resultado total",('FUENTE NO BORRAR'!G765),""))</f>
        <v>457344.33</v>
      </c>
      <c r="H747" s="6">
        <f>IF('FUENTE NO BORRAR'!H765="","",IF('FUENTE NO BORRAR'!$A765&lt;&gt;"Resultado total",('FUENTE NO BORRAR'!H765),""))</f>
        <v>457344.33</v>
      </c>
      <c r="I747" s="6">
        <f>IF('FUENTE NO BORRAR'!I765="","",IF('FUENTE NO BORRAR'!$A765&lt;&gt;"Resultado total",('FUENTE NO BORRAR'!I765),""))</f>
        <v>0</v>
      </c>
    </row>
    <row r="748" spans="1:9" x14ac:dyDescent="0.2">
      <c r="A748" s="5" t="str">
        <f>IF('FUENTE NO BORRAR'!A766="","",(IF('FUENTE NO BORRAR'!A766&lt;&gt;"Resultado total",'FUENTE NO BORRAR'!A766,"")))</f>
        <v/>
      </c>
      <c r="B748" s="5" t="str">
        <f>IF('FUENTE NO BORRAR'!B766="","",'FUENTE NO BORRAR'!B766)</f>
        <v/>
      </c>
      <c r="C748" s="5" t="str">
        <f>IF('FUENTE NO BORRAR'!C766="","",'FUENTE NO BORRAR'!C766)</f>
        <v/>
      </c>
      <c r="D748" s="5" t="str">
        <f>IF('FUENTE NO BORRAR'!D766="","",'FUENTE NO BORRAR'!D766)</f>
        <v/>
      </c>
      <c r="E748" s="5" t="str">
        <f>IF('FUENTE NO BORRAR'!E766="","",'FUENTE NO BORRAR'!E766)</f>
        <v/>
      </c>
      <c r="F748" s="6">
        <f>IF('FUENTE NO BORRAR'!F766="","",IF('FUENTE NO BORRAR'!$A766&lt;&gt;"Resultado total",('FUENTE NO BORRAR'!F766),""))</f>
        <v>5575408.8099999996</v>
      </c>
      <c r="G748" s="6">
        <f>IF('FUENTE NO BORRAR'!G766="","",IF('FUENTE NO BORRAR'!$A766&lt;&gt;"Resultado total",('FUENTE NO BORRAR'!G766),""))</f>
        <v>5575408.8099999996</v>
      </c>
      <c r="H748" s="6">
        <f>IF('FUENTE NO BORRAR'!H766="","",IF('FUENTE NO BORRAR'!$A766&lt;&gt;"Resultado total",('FUENTE NO BORRAR'!H766),""))</f>
        <v>5671280.46</v>
      </c>
      <c r="I748" s="6">
        <f>IF('FUENTE NO BORRAR'!I766="","",IF('FUENTE NO BORRAR'!$A766&lt;&gt;"Resultado total",('FUENTE NO BORRAR'!I766),""))</f>
        <v>2.0000000000000001E-9</v>
      </c>
    </row>
    <row r="749" spans="1:9" x14ac:dyDescent="0.2">
      <c r="A749" s="5" t="str">
        <f>IF('FUENTE NO BORRAR'!A767="","",(IF('FUENTE NO BORRAR'!A767&lt;&gt;"Resultado total",'FUENTE NO BORRAR'!A767,"")))</f>
        <v/>
      </c>
      <c r="B749" s="5" t="str">
        <f>IF('FUENTE NO BORRAR'!B767="","",'FUENTE NO BORRAR'!B767)</f>
        <v/>
      </c>
      <c r="C749" s="5" t="str">
        <f>IF('FUENTE NO BORRAR'!C767="","",'FUENTE NO BORRAR'!C767)</f>
        <v/>
      </c>
      <c r="D749" s="5" t="str">
        <f>IF('FUENTE NO BORRAR'!D767="","",'FUENTE NO BORRAR'!D767)</f>
        <v/>
      </c>
      <c r="E749" s="5" t="str">
        <f>IF('FUENTE NO BORRAR'!E767="","",'FUENTE NO BORRAR'!E767)</f>
        <v/>
      </c>
      <c r="F749" s="6">
        <f>IF('FUENTE NO BORRAR'!F767="","",IF('FUENTE NO BORRAR'!$A767&lt;&gt;"Resultado total",('FUENTE NO BORRAR'!F767),""))</f>
        <v>10084168.68</v>
      </c>
      <c r="G749" s="6">
        <f>IF('FUENTE NO BORRAR'!G767="","",IF('FUENTE NO BORRAR'!$A767&lt;&gt;"Resultado total",('FUENTE NO BORRAR'!G767),""))</f>
        <v>10084168.68</v>
      </c>
      <c r="H749" s="6">
        <f>IF('FUENTE NO BORRAR'!H767="","",IF('FUENTE NO BORRAR'!$A767&lt;&gt;"Resultado total",('FUENTE NO BORRAR'!H767),""))</f>
        <v>10084168.68</v>
      </c>
      <c r="I749" s="6">
        <f>IF('FUENTE NO BORRAR'!I767="","",IF('FUENTE NO BORRAR'!$A767&lt;&gt;"Resultado total",('FUENTE NO BORRAR'!I767),""))</f>
        <v>-2.0000000000000001E-9</v>
      </c>
    </row>
    <row r="750" spans="1:9" x14ac:dyDescent="0.2">
      <c r="A750" s="5" t="str">
        <f>IF('FUENTE NO BORRAR'!A768="","",(IF('FUENTE NO BORRAR'!A768&lt;&gt;"Resultado total",'FUENTE NO BORRAR'!A768,"")))</f>
        <v/>
      </c>
      <c r="B750" s="5" t="str">
        <f>IF('FUENTE NO BORRAR'!B768="","",'FUENTE NO BORRAR'!B768)</f>
        <v/>
      </c>
      <c r="C750" s="5" t="str">
        <f>IF('FUENTE NO BORRAR'!C768="","",'FUENTE NO BORRAR'!C768)</f>
        <v/>
      </c>
      <c r="D750" s="5" t="str">
        <f>IF('FUENTE NO BORRAR'!D768="","",'FUENTE NO BORRAR'!D768)</f>
        <v/>
      </c>
      <c r="E750" s="5" t="str">
        <f>IF('FUENTE NO BORRAR'!E768="","",'FUENTE NO BORRAR'!E768)</f>
        <v/>
      </c>
      <c r="F750" s="6">
        <f>IF('FUENTE NO BORRAR'!F768="","",IF('FUENTE NO BORRAR'!$A768&lt;&gt;"Resultado total",('FUENTE NO BORRAR'!F768),""))</f>
        <v>3261821.89</v>
      </c>
      <c r="G750" s="6">
        <f>IF('FUENTE NO BORRAR'!G768="","",IF('FUENTE NO BORRAR'!$A768&lt;&gt;"Resultado total",('FUENTE NO BORRAR'!G768),""))</f>
        <v>3261821.89</v>
      </c>
      <c r="H750" s="6">
        <f>IF('FUENTE NO BORRAR'!H768="","",IF('FUENTE NO BORRAR'!$A768&lt;&gt;"Resultado total",('FUENTE NO BORRAR'!H768),""))</f>
        <v>3261821.89</v>
      </c>
      <c r="I750" s="6">
        <f>IF('FUENTE NO BORRAR'!I768="","",IF('FUENTE NO BORRAR'!$A768&lt;&gt;"Resultado total",('FUENTE NO BORRAR'!I768),""))</f>
        <v>0</v>
      </c>
    </row>
    <row r="751" spans="1:9" x14ac:dyDescent="0.2">
      <c r="A751" s="5" t="str">
        <f>IF('FUENTE NO BORRAR'!A769="","",(IF('FUENTE NO BORRAR'!A769&lt;&gt;"Resultado total",'FUENTE NO BORRAR'!A769,"")))</f>
        <v/>
      </c>
      <c r="B751" s="5" t="str">
        <f>IF('FUENTE NO BORRAR'!B769="","",'FUENTE NO BORRAR'!B769)</f>
        <v/>
      </c>
      <c r="C751" s="5" t="str">
        <f>IF('FUENTE NO BORRAR'!C769="","",'FUENTE NO BORRAR'!C769)</f>
        <v/>
      </c>
      <c r="D751" s="5" t="str">
        <f>IF('FUENTE NO BORRAR'!D769="","",'FUENTE NO BORRAR'!D769)</f>
        <v/>
      </c>
      <c r="E751" s="5" t="str">
        <f>IF('FUENTE NO BORRAR'!E769="","",'FUENTE NO BORRAR'!E769)</f>
        <v/>
      </c>
      <c r="F751" s="6">
        <f>IF('FUENTE NO BORRAR'!F769="","",IF('FUENTE NO BORRAR'!$A769&lt;&gt;"Resultado total",('FUENTE NO BORRAR'!F769),""))</f>
        <v>1552608.07</v>
      </c>
      <c r="G751" s="6">
        <f>IF('FUENTE NO BORRAR'!G769="","",IF('FUENTE NO BORRAR'!$A769&lt;&gt;"Resultado total",('FUENTE NO BORRAR'!G769),""))</f>
        <v>1552608.07</v>
      </c>
      <c r="H751" s="6">
        <f>IF('FUENTE NO BORRAR'!H769="","",IF('FUENTE NO BORRAR'!$A769&lt;&gt;"Resultado total",('FUENTE NO BORRAR'!H769),""))</f>
        <v>1552608.07</v>
      </c>
      <c r="I751" s="6">
        <f>IF('FUENTE NO BORRAR'!I769="","",IF('FUENTE NO BORRAR'!$A769&lt;&gt;"Resultado total",('FUENTE NO BORRAR'!I769),""))</f>
        <v>0</v>
      </c>
    </row>
    <row r="752" spans="1:9" x14ac:dyDescent="0.2">
      <c r="A752" s="5" t="str">
        <f>IF('FUENTE NO BORRAR'!A770="","",(IF('FUENTE NO BORRAR'!A770&lt;&gt;"Resultado total",'FUENTE NO BORRAR'!A770,"")))</f>
        <v/>
      </c>
      <c r="B752" s="5" t="str">
        <f>IF('FUENTE NO BORRAR'!B770="","",'FUENTE NO BORRAR'!B770)</f>
        <v/>
      </c>
      <c r="C752" s="5" t="str">
        <f>IF('FUENTE NO BORRAR'!C770="","",'FUENTE NO BORRAR'!C770)</f>
        <v/>
      </c>
      <c r="D752" s="5" t="str">
        <f>IF('FUENTE NO BORRAR'!D770="","",'FUENTE NO BORRAR'!D770)</f>
        <v/>
      </c>
      <c r="E752" s="5" t="str">
        <f>IF('FUENTE NO BORRAR'!E770="","",'FUENTE NO BORRAR'!E770)</f>
        <v/>
      </c>
      <c r="F752" s="6">
        <f>IF('FUENTE NO BORRAR'!F770="","",IF('FUENTE NO BORRAR'!$A770&lt;&gt;"Resultado total",('FUENTE NO BORRAR'!F770),""))</f>
        <v>0</v>
      </c>
      <c r="G752" s="6">
        <f>IF('FUENTE NO BORRAR'!G770="","",IF('FUENTE NO BORRAR'!$A770&lt;&gt;"Resultado total",('FUENTE NO BORRAR'!G770),""))</f>
        <v>0</v>
      </c>
      <c r="H752" s="6">
        <f>IF('FUENTE NO BORRAR'!H770="","",IF('FUENTE NO BORRAR'!$A770&lt;&gt;"Resultado total",('FUENTE NO BORRAR'!H770),""))</f>
        <v>0</v>
      </c>
      <c r="I752" s="6">
        <f>IF('FUENTE NO BORRAR'!I770="","",IF('FUENTE NO BORRAR'!$A770&lt;&gt;"Resultado total",('FUENTE NO BORRAR'!I770),""))</f>
        <v>1.0000000000000001E-9</v>
      </c>
    </row>
    <row r="753" spans="1:9" x14ac:dyDescent="0.2">
      <c r="A753" s="5" t="str">
        <f>IF('FUENTE NO BORRAR'!A771="","",(IF('FUENTE NO BORRAR'!A771&lt;&gt;"Resultado total",'FUENTE NO BORRAR'!A771,"")))</f>
        <v/>
      </c>
      <c r="B753" s="5" t="str">
        <f>IF('FUENTE NO BORRAR'!B771="","",'FUENTE NO BORRAR'!B771)</f>
        <v/>
      </c>
      <c r="C753" s="5" t="str">
        <f>IF('FUENTE NO BORRAR'!C771="","",'FUENTE NO BORRAR'!C771)</f>
        <v/>
      </c>
      <c r="D753" s="5" t="str">
        <f>IF('FUENTE NO BORRAR'!D771="","",'FUENTE NO BORRAR'!D771)</f>
        <v/>
      </c>
      <c r="E753" s="5" t="str">
        <f>IF('FUENTE NO BORRAR'!E771="","",'FUENTE NO BORRAR'!E771)</f>
        <v/>
      </c>
      <c r="F753" s="6">
        <f>IF('FUENTE NO BORRAR'!F771="","",IF('FUENTE NO BORRAR'!$A771&lt;&gt;"Resultado total",('FUENTE NO BORRAR'!F771),""))</f>
        <v>67816.61</v>
      </c>
      <c r="G753" s="6">
        <f>IF('FUENTE NO BORRAR'!G771="","",IF('FUENTE NO BORRAR'!$A771&lt;&gt;"Resultado total",('FUENTE NO BORRAR'!G771),""))</f>
        <v>67816.61</v>
      </c>
      <c r="H753" s="6">
        <f>IF('FUENTE NO BORRAR'!H771="","",IF('FUENTE NO BORRAR'!$A771&lt;&gt;"Resultado total",('FUENTE NO BORRAR'!H771),""))</f>
        <v>63052.47</v>
      </c>
      <c r="I753" s="6">
        <f>IF('FUENTE NO BORRAR'!I771="","",IF('FUENTE NO BORRAR'!$A771&lt;&gt;"Resultado total",('FUENTE NO BORRAR'!I771),""))</f>
        <v>0</v>
      </c>
    </row>
    <row r="754" spans="1:9" x14ac:dyDescent="0.2">
      <c r="A754" s="5" t="str">
        <f>IF('FUENTE NO BORRAR'!A772="","",(IF('FUENTE NO BORRAR'!A772&lt;&gt;"Resultado total",'FUENTE NO BORRAR'!A772,"")))</f>
        <v/>
      </c>
      <c r="B754" s="5" t="str">
        <f>IF('FUENTE NO BORRAR'!B772="","",'FUENTE NO BORRAR'!B772)</f>
        <v/>
      </c>
      <c r="C754" s="5" t="str">
        <f>IF('FUENTE NO BORRAR'!C772="","",'FUENTE NO BORRAR'!C772)</f>
        <v/>
      </c>
      <c r="D754" s="5" t="str">
        <f>IF('FUENTE NO BORRAR'!D772="","",'FUENTE NO BORRAR'!D772)</f>
        <v/>
      </c>
      <c r="E754" s="5" t="str">
        <f>IF('FUENTE NO BORRAR'!E772="","",'FUENTE NO BORRAR'!E772)</f>
        <v/>
      </c>
      <c r="F754" s="6">
        <f>IF('FUENTE NO BORRAR'!F772="","",IF('FUENTE NO BORRAR'!$A772&lt;&gt;"Resultado total",('FUENTE NO BORRAR'!F772),""))</f>
        <v>1186.2</v>
      </c>
      <c r="G754" s="6">
        <f>IF('FUENTE NO BORRAR'!G772="","",IF('FUENTE NO BORRAR'!$A772&lt;&gt;"Resultado total",('FUENTE NO BORRAR'!G772),""))</f>
        <v>1186.2</v>
      </c>
      <c r="H754" s="6">
        <f>IF('FUENTE NO BORRAR'!H772="","",IF('FUENTE NO BORRAR'!$A772&lt;&gt;"Resultado total",('FUENTE NO BORRAR'!H772),""))</f>
        <v>838.2</v>
      </c>
      <c r="I754" s="6">
        <f>IF('FUENTE NO BORRAR'!I772="","",IF('FUENTE NO BORRAR'!$A772&lt;&gt;"Resultado total",('FUENTE NO BORRAR'!I772),""))</f>
        <v>0</v>
      </c>
    </row>
    <row r="755" spans="1:9" x14ac:dyDescent="0.2">
      <c r="A755" s="5" t="str">
        <f>IF('FUENTE NO BORRAR'!A773="","",(IF('FUENTE NO BORRAR'!A773&lt;&gt;"Resultado total",'FUENTE NO BORRAR'!A773,"")))</f>
        <v/>
      </c>
      <c r="B755" s="5" t="str">
        <f>IF('FUENTE NO BORRAR'!B773="","",'FUENTE NO BORRAR'!B773)</f>
        <v/>
      </c>
      <c r="C755" s="5" t="str">
        <f>IF('FUENTE NO BORRAR'!C773="","",'FUENTE NO BORRAR'!C773)</f>
        <v/>
      </c>
      <c r="D755" s="5" t="str">
        <f>IF('FUENTE NO BORRAR'!D773="","",'FUENTE NO BORRAR'!D773)</f>
        <v/>
      </c>
      <c r="E755" s="5" t="str">
        <f>IF('FUENTE NO BORRAR'!E773="","",'FUENTE NO BORRAR'!E773)</f>
        <v/>
      </c>
      <c r="F755" s="6">
        <f>IF('FUENTE NO BORRAR'!F773="","",IF('FUENTE NO BORRAR'!$A773&lt;&gt;"Resultado total",('FUENTE NO BORRAR'!F773),""))</f>
        <v>0</v>
      </c>
      <c r="G755" s="6">
        <f>IF('FUENTE NO BORRAR'!G773="","",IF('FUENTE NO BORRAR'!$A773&lt;&gt;"Resultado total",('FUENTE NO BORRAR'!G773),""))</f>
        <v>0</v>
      </c>
      <c r="H755" s="6">
        <f>IF('FUENTE NO BORRAR'!H773="","",IF('FUENTE NO BORRAR'!$A773&lt;&gt;"Resultado total",('FUENTE NO BORRAR'!H773),""))</f>
        <v>0</v>
      </c>
      <c r="I755" s="6">
        <f>IF('FUENTE NO BORRAR'!I773="","",IF('FUENTE NO BORRAR'!$A773&lt;&gt;"Resultado total",('FUENTE NO BORRAR'!I773),""))</f>
        <v>0</v>
      </c>
    </row>
    <row r="756" spans="1:9" x14ac:dyDescent="0.2">
      <c r="A756" s="5" t="str">
        <f>IF('FUENTE NO BORRAR'!A774="","",(IF('FUENTE NO BORRAR'!A774&lt;&gt;"Resultado total",'FUENTE NO BORRAR'!A774,"")))</f>
        <v/>
      </c>
      <c r="B756" s="5" t="str">
        <f>IF('FUENTE NO BORRAR'!B774="","",'FUENTE NO BORRAR'!B774)</f>
        <v/>
      </c>
      <c r="C756" s="5" t="str">
        <f>IF('FUENTE NO BORRAR'!C774="","",'FUENTE NO BORRAR'!C774)</f>
        <v/>
      </c>
      <c r="D756" s="5" t="str">
        <f>IF('FUENTE NO BORRAR'!D774="","",'FUENTE NO BORRAR'!D774)</f>
        <v/>
      </c>
      <c r="E756" s="5" t="str">
        <f>IF('FUENTE NO BORRAR'!E774="","",'FUENTE NO BORRAR'!E774)</f>
        <v/>
      </c>
      <c r="F756" s="6">
        <f>IF('FUENTE NO BORRAR'!F774="","",IF('FUENTE NO BORRAR'!$A774&lt;&gt;"Resultado total",('FUENTE NO BORRAR'!F774),""))</f>
        <v>9889.98</v>
      </c>
      <c r="G756" s="6">
        <f>IF('FUENTE NO BORRAR'!G774="","",IF('FUENTE NO BORRAR'!$A774&lt;&gt;"Resultado total",('FUENTE NO BORRAR'!G774),""))</f>
        <v>9889.98</v>
      </c>
      <c r="H756" s="6">
        <f>IF('FUENTE NO BORRAR'!H774="","",IF('FUENTE NO BORRAR'!$A774&lt;&gt;"Resultado total",('FUENTE NO BORRAR'!H774),""))</f>
        <v>9889.98</v>
      </c>
      <c r="I756" s="6">
        <f>IF('FUENTE NO BORRAR'!I774="","",IF('FUENTE NO BORRAR'!$A774&lt;&gt;"Resultado total",('FUENTE NO BORRAR'!I774),""))</f>
        <v>0</v>
      </c>
    </row>
    <row r="757" spans="1:9" x14ac:dyDescent="0.2">
      <c r="A757" s="5" t="str">
        <f>IF('FUENTE NO BORRAR'!A775="","",(IF('FUENTE NO BORRAR'!A775&lt;&gt;"Resultado total",'FUENTE NO BORRAR'!A775,"")))</f>
        <v/>
      </c>
      <c r="B757" s="5" t="str">
        <f>IF('FUENTE NO BORRAR'!B775="","",'FUENTE NO BORRAR'!B775)</f>
        <v/>
      </c>
      <c r="C757" s="5" t="str">
        <f>IF('FUENTE NO BORRAR'!C775="","",'FUENTE NO BORRAR'!C775)</f>
        <v/>
      </c>
      <c r="D757" s="5" t="str">
        <f>IF('FUENTE NO BORRAR'!D775="","",'FUENTE NO BORRAR'!D775)</f>
        <v/>
      </c>
      <c r="E757" s="5" t="str">
        <f>IF('FUENTE NO BORRAR'!E775="","",'FUENTE NO BORRAR'!E775)</f>
        <v/>
      </c>
      <c r="F757" s="6">
        <f>IF('FUENTE NO BORRAR'!F775="","",IF('FUENTE NO BORRAR'!$A775&lt;&gt;"Resultado total",('FUENTE NO BORRAR'!F775),""))</f>
        <v>0</v>
      </c>
      <c r="G757" s="6">
        <f>IF('FUENTE NO BORRAR'!G775="","",IF('FUENTE NO BORRAR'!$A775&lt;&gt;"Resultado total",('FUENTE NO BORRAR'!G775),""))</f>
        <v>0</v>
      </c>
      <c r="H757" s="6">
        <f>IF('FUENTE NO BORRAR'!H775="","",IF('FUENTE NO BORRAR'!$A775&lt;&gt;"Resultado total",('FUENTE NO BORRAR'!H775),""))</f>
        <v>0</v>
      </c>
      <c r="I757" s="6">
        <f>IF('FUENTE NO BORRAR'!I775="","",IF('FUENTE NO BORRAR'!$A775&lt;&gt;"Resultado total",('FUENTE NO BORRAR'!I775),""))</f>
        <v>0</v>
      </c>
    </row>
    <row r="758" spans="1:9" x14ac:dyDescent="0.2">
      <c r="A758" s="5" t="str">
        <f>IF('FUENTE NO BORRAR'!A776="","",(IF('FUENTE NO BORRAR'!A776&lt;&gt;"Resultado total",'FUENTE NO BORRAR'!A776,"")))</f>
        <v/>
      </c>
      <c r="B758" s="5" t="str">
        <f>IF('FUENTE NO BORRAR'!B776="","",'FUENTE NO BORRAR'!B776)</f>
        <v/>
      </c>
      <c r="C758" s="5" t="str">
        <f>IF('FUENTE NO BORRAR'!C776="","",'FUENTE NO BORRAR'!C776)</f>
        <v/>
      </c>
      <c r="D758" s="5" t="str">
        <f>IF('FUENTE NO BORRAR'!D776="","",'FUENTE NO BORRAR'!D776)</f>
        <v/>
      </c>
      <c r="E758" s="5" t="str">
        <f>IF('FUENTE NO BORRAR'!E776="","",'FUENTE NO BORRAR'!E776)</f>
        <v/>
      </c>
      <c r="F758" s="6">
        <f>IF('FUENTE NO BORRAR'!F776="","",IF('FUENTE NO BORRAR'!$A776&lt;&gt;"Resultado total",('FUENTE NO BORRAR'!F776),""))</f>
        <v>33549.79</v>
      </c>
      <c r="G758" s="6">
        <f>IF('FUENTE NO BORRAR'!G776="","",IF('FUENTE NO BORRAR'!$A776&lt;&gt;"Resultado total",('FUENTE NO BORRAR'!G776),""))</f>
        <v>33549.79</v>
      </c>
      <c r="H758" s="6">
        <f>IF('FUENTE NO BORRAR'!H776="","",IF('FUENTE NO BORRAR'!$A776&lt;&gt;"Resultado total",('FUENTE NO BORRAR'!H776),""))</f>
        <v>7490.39</v>
      </c>
      <c r="I758" s="6">
        <f>IF('FUENTE NO BORRAR'!I776="","",IF('FUENTE NO BORRAR'!$A776&lt;&gt;"Resultado total",('FUENTE NO BORRAR'!I776),""))</f>
        <v>0</v>
      </c>
    </row>
    <row r="759" spans="1:9" x14ac:dyDescent="0.2">
      <c r="A759" s="5" t="str">
        <f>IF('FUENTE NO BORRAR'!A777="","",(IF('FUENTE NO BORRAR'!A777&lt;&gt;"Resultado total",'FUENTE NO BORRAR'!A777,"")))</f>
        <v/>
      </c>
      <c r="B759" s="5" t="str">
        <f>IF('FUENTE NO BORRAR'!B777="","",'FUENTE NO BORRAR'!B777)</f>
        <v/>
      </c>
      <c r="C759" s="5" t="str">
        <f>IF('FUENTE NO BORRAR'!C777="","",'FUENTE NO BORRAR'!C777)</f>
        <v/>
      </c>
      <c r="D759" s="5" t="str">
        <f>IF('FUENTE NO BORRAR'!D777="","",'FUENTE NO BORRAR'!D777)</f>
        <v/>
      </c>
      <c r="E759" s="5" t="str">
        <f>IF('FUENTE NO BORRAR'!E777="","",'FUENTE NO BORRAR'!E777)</f>
        <v/>
      </c>
      <c r="F759" s="6">
        <f>IF('FUENTE NO BORRAR'!F777="","",IF('FUENTE NO BORRAR'!$A777&lt;&gt;"Resultado total",('FUENTE NO BORRAR'!F777),""))</f>
        <v>0</v>
      </c>
      <c r="G759" s="6">
        <f>IF('FUENTE NO BORRAR'!G777="","",IF('FUENTE NO BORRAR'!$A777&lt;&gt;"Resultado total",('FUENTE NO BORRAR'!G777),""))</f>
        <v>0</v>
      </c>
      <c r="H759" s="6">
        <f>IF('FUENTE NO BORRAR'!H777="","",IF('FUENTE NO BORRAR'!$A777&lt;&gt;"Resultado total",('FUENTE NO BORRAR'!H777),""))</f>
        <v>0</v>
      </c>
      <c r="I759" s="6">
        <f>IF('FUENTE NO BORRAR'!I777="","",IF('FUENTE NO BORRAR'!$A777&lt;&gt;"Resultado total",('FUENTE NO BORRAR'!I777),""))</f>
        <v>0</v>
      </c>
    </row>
    <row r="760" spans="1:9" x14ac:dyDescent="0.2">
      <c r="A760" s="5" t="str">
        <f>IF('FUENTE NO BORRAR'!A778="","",(IF('FUENTE NO BORRAR'!A778&lt;&gt;"Resultado total",'FUENTE NO BORRAR'!A778,"")))</f>
        <v/>
      </c>
      <c r="B760" s="5" t="str">
        <f>IF('FUENTE NO BORRAR'!B778="","",'FUENTE NO BORRAR'!B778)</f>
        <v/>
      </c>
      <c r="C760" s="5" t="str">
        <f>IF('FUENTE NO BORRAR'!C778="","",'FUENTE NO BORRAR'!C778)</f>
        <v/>
      </c>
      <c r="D760" s="5" t="str">
        <f>IF('FUENTE NO BORRAR'!D778="","",'FUENTE NO BORRAR'!D778)</f>
        <v/>
      </c>
      <c r="E760" s="5" t="str">
        <f>IF('FUENTE NO BORRAR'!E778="","",'FUENTE NO BORRAR'!E778)</f>
        <v/>
      </c>
      <c r="F760" s="6">
        <f>IF('FUENTE NO BORRAR'!F778="","",IF('FUENTE NO BORRAR'!$A778&lt;&gt;"Resultado total",('FUENTE NO BORRAR'!F778),""))</f>
        <v>150.22</v>
      </c>
      <c r="G760" s="6">
        <f>IF('FUENTE NO BORRAR'!G778="","",IF('FUENTE NO BORRAR'!$A778&lt;&gt;"Resultado total",('FUENTE NO BORRAR'!G778),""))</f>
        <v>150.22</v>
      </c>
      <c r="H760" s="6">
        <f>IF('FUENTE NO BORRAR'!H778="","",IF('FUENTE NO BORRAR'!$A778&lt;&gt;"Resultado total",('FUENTE NO BORRAR'!H778),""))</f>
        <v>150.22</v>
      </c>
      <c r="I760" s="6">
        <f>IF('FUENTE NO BORRAR'!I778="","",IF('FUENTE NO BORRAR'!$A778&lt;&gt;"Resultado total",('FUENTE NO BORRAR'!I778),""))</f>
        <v>0</v>
      </c>
    </row>
    <row r="761" spans="1:9" x14ac:dyDescent="0.2">
      <c r="A761" s="5" t="str">
        <f>IF('FUENTE NO BORRAR'!A779="","",(IF('FUENTE NO BORRAR'!A779&lt;&gt;"Resultado total",'FUENTE NO BORRAR'!A779,"")))</f>
        <v/>
      </c>
      <c r="B761" s="5" t="str">
        <f>IF('FUENTE NO BORRAR'!B779="","",'FUENTE NO BORRAR'!B779)</f>
        <v/>
      </c>
      <c r="C761" s="5" t="str">
        <f>IF('FUENTE NO BORRAR'!C779="","",'FUENTE NO BORRAR'!C779)</f>
        <v/>
      </c>
      <c r="D761" s="5" t="str">
        <f>IF('FUENTE NO BORRAR'!D779="","",'FUENTE NO BORRAR'!D779)</f>
        <v/>
      </c>
      <c r="E761" s="5" t="str">
        <f>IF('FUENTE NO BORRAR'!E779="","",'FUENTE NO BORRAR'!E779)</f>
        <v/>
      </c>
      <c r="F761" s="6">
        <f>IF('FUENTE NO BORRAR'!F779="","",IF('FUENTE NO BORRAR'!$A779&lt;&gt;"Resultado total",('FUENTE NO BORRAR'!F779),""))</f>
        <v>4953.7299999999996</v>
      </c>
      <c r="G761" s="6">
        <f>IF('FUENTE NO BORRAR'!G779="","",IF('FUENTE NO BORRAR'!$A779&lt;&gt;"Resultado total",('FUENTE NO BORRAR'!G779),""))</f>
        <v>4953.7299999999996</v>
      </c>
      <c r="H761" s="6">
        <f>IF('FUENTE NO BORRAR'!H779="","",IF('FUENTE NO BORRAR'!$A779&lt;&gt;"Resultado total",('FUENTE NO BORRAR'!H779),""))</f>
        <v>4953.7299999999996</v>
      </c>
      <c r="I761" s="6">
        <f>IF('FUENTE NO BORRAR'!I779="","",IF('FUENTE NO BORRAR'!$A779&lt;&gt;"Resultado total",('FUENTE NO BORRAR'!I779),""))</f>
        <v>0</v>
      </c>
    </row>
    <row r="762" spans="1:9" x14ac:dyDescent="0.2">
      <c r="A762" s="5" t="str">
        <f>IF('FUENTE NO BORRAR'!A780="","",(IF('FUENTE NO BORRAR'!A780&lt;&gt;"Resultado total",'FUENTE NO BORRAR'!A780,"")))</f>
        <v/>
      </c>
      <c r="B762" s="5" t="str">
        <f>IF('FUENTE NO BORRAR'!B780="","",'FUENTE NO BORRAR'!B780)</f>
        <v/>
      </c>
      <c r="C762" s="5" t="str">
        <f>IF('FUENTE NO BORRAR'!C780="","",'FUENTE NO BORRAR'!C780)</f>
        <v/>
      </c>
      <c r="D762" s="5" t="str">
        <f>IF('FUENTE NO BORRAR'!D780="","",'FUENTE NO BORRAR'!D780)</f>
        <v/>
      </c>
      <c r="E762" s="5" t="str">
        <f>IF('FUENTE NO BORRAR'!E780="","",'FUENTE NO BORRAR'!E780)</f>
        <v/>
      </c>
      <c r="F762" s="6">
        <f>IF('FUENTE NO BORRAR'!F780="","",IF('FUENTE NO BORRAR'!$A780&lt;&gt;"Resultado total",('FUENTE NO BORRAR'!F780),""))</f>
        <v>1643</v>
      </c>
      <c r="G762" s="6">
        <f>IF('FUENTE NO BORRAR'!G780="","",IF('FUENTE NO BORRAR'!$A780&lt;&gt;"Resultado total",('FUENTE NO BORRAR'!G780),""))</f>
        <v>1643</v>
      </c>
      <c r="H762" s="6">
        <f>IF('FUENTE NO BORRAR'!H780="","",IF('FUENTE NO BORRAR'!$A780&lt;&gt;"Resultado total",('FUENTE NO BORRAR'!H780),""))</f>
        <v>1643</v>
      </c>
      <c r="I762" s="6">
        <f>IF('FUENTE NO BORRAR'!I780="","",IF('FUENTE NO BORRAR'!$A780&lt;&gt;"Resultado total",('FUENTE NO BORRAR'!I780),""))</f>
        <v>0</v>
      </c>
    </row>
    <row r="763" spans="1:9" x14ac:dyDescent="0.2">
      <c r="A763" s="5" t="str">
        <f>IF('FUENTE NO BORRAR'!A781="","",(IF('FUENTE NO BORRAR'!A781&lt;&gt;"Resultado total",'FUENTE NO BORRAR'!A781,"")))</f>
        <v/>
      </c>
      <c r="B763" s="5" t="str">
        <f>IF('FUENTE NO BORRAR'!B781="","",'FUENTE NO BORRAR'!B781)</f>
        <v/>
      </c>
      <c r="C763" s="5" t="str">
        <f>IF('FUENTE NO BORRAR'!C781="","",'FUENTE NO BORRAR'!C781)</f>
        <v/>
      </c>
      <c r="D763" s="5" t="str">
        <f>IF('FUENTE NO BORRAR'!D781="","",'FUENTE NO BORRAR'!D781)</f>
        <v/>
      </c>
      <c r="E763" s="5" t="str">
        <f>IF('FUENTE NO BORRAR'!E781="","",'FUENTE NO BORRAR'!E781)</f>
        <v/>
      </c>
      <c r="F763" s="6">
        <f>IF('FUENTE NO BORRAR'!F781="","",IF('FUENTE NO BORRAR'!$A781&lt;&gt;"Resultado total",('FUENTE NO BORRAR'!F781),""))</f>
        <v>112169.93</v>
      </c>
      <c r="G763" s="6">
        <f>IF('FUENTE NO BORRAR'!G781="","",IF('FUENTE NO BORRAR'!$A781&lt;&gt;"Resultado total",('FUENTE NO BORRAR'!G781),""))</f>
        <v>112169.93</v>
      </c>
      <c r="H763" s="6">
        <f>IF('FUENTE NO BORRAR'!H781="","",IF('FUENTE NO BORRAR'!$A781&lt;&gt;"Resultado total",('FUENTE NO BORRAR'!H781),""))</f>
        <v>112169.93</v>
      </c>
      <c r="I763" s="6">
        <f>IF('FUENTE NO BORRAR'!I781="","",IF('FUENTE NO BORRAR'!$A781&lt;&gt;"Resultado total",('FUENTE NO BORRAR'!I781),""))</f>
        <v>0</v>
      </c>
    </row>
    <row r="764" spans="1:9" x14ac:dyDescent="0.2">
      <c r="A764" s="5" t="str">
        <f>IF('FUENTE NO BORRAR'!A782="","",(IF('FUENTE NO BORRAR'!A782&lt;&gt;"Resultado total",'FUENTE NO BORRAR'!A782,"")))</f>
        <v/>
      </c>
      <c r="B764" s="5" t="str">
        <f>IF('FUENTE NO BORRAR'!B782="","",'FUENTE NO BORRAR'!B782)</f>
        <v/>
      </c>
      <c r="C764" s="5" t="str">
        <f>IF('FUENTE NO BORRAR'!C782="","",'FUENTE NO BORRAR'!C782)</f>
        <v/>
      </c>
      <c r="D764" s="5" t="str">
        <f>IF('FUENTE NO BORRAR'!D782="","",'FUENTE NO BORRAR'!D782)</f>
        <v/>
      </c>
      <c r="E764" s="5" t="str">
        <f>IF('FUENTE NO BORRAR'!E782="","",'FUENTE NO BORRAR'!E782)</f>
        <v/>
      </c>
      <c r="F764" s="6">
        <f>IF('FUENTE NO BORRAR'!F782="","",IF('FUENTE NO BORRAR'!$A782&lt;&gt;"Resultado total",('FUENTE NO BORRAR'!F782),""))</f>
        <v>72537.119999999995</v>
      </c>
      <c r="G764" s="6">
        <f>IF('FUENTE NO BORRAR'!G782="","",IF('FUENTE NO BORRAR'!$A782&lt;&gt;"Resultado total",('FUENTE NO BORRAR'!G782),""))</f>
        <v>72537.119999999995</v>
      </c>
      <c r="H764" s="6">
        <f>IF('FUENTE NO BORRAR'!H782="","",IF('FUENTE NO BORRAR'!$A782&lt;&gt;"Resultado total",('FUENTE NO BORRAR'!H782),""))</f>
        <v>72537.119999999995</v>
      </c>
      <c r="I764" s="6">
        <f>IF('FUENTE NO BORRAR'!I782="","",IF('FUENTE NO BORRAR'!$A782&lt;&gt;"Resultado total",('FUENTE NO BORRAR'!I782),""))</f>
        <v>0</v>
      </c>
    </row>
    <row r="765" spans="1:9" x14ac:dyDescent="0.2">
      <c r="A765" s="5" t="str">
        <f>IF('FUENTE NO BORRAR'!A783="","",(IF('FUENTE NO BORRAR'!A783&lt;&gt;"Resultado total",'FUENTE NO BORRAR'!A783,"")))</f>
        <v/>
      </c>
      <c r="B765" s="5" t="str">
        <f>IF('FUENTE NO BORRAR'!B783="","",'FUENTE NO BORRAR'!B783)</f>
        <v/>
      </c>
      <c r="C765" s="5" t="str">
        <f>IF('FUENTE NO BORRAR'!C783="","",'FUENTE NO BORRAR'!C783)</f>
        <v/>
      </c>
      <c r="D765" s="5" t="str">
        <f>IF('FUENTE NO BORRAR'!D783="","",'FUENTE NO BORRAR'!D783)</f>
        <v/>
      </c>
      <c r="E765" s="5" t="str">
        <f>IF('FUENTE NO BORRAR'!E783="","",'FUENTE NO BORRAR'!E783)</f>
        <v/>
      </c>
      <c r="F765" s="6">
        <f>IF('FUENTE NO BORRAR'!F783="","",IF('FUENTE NO BORRAR'!$A783&lt;&gt;"Resultado total",('FUENTE NO BORRAR'!F783),""))</f>
        <v>812</v>
      </c>
      <c r="G765" s="6">
        <f>IF('FUENTE NO BORRAR'!G783="","",IF('FUENTE NO BORRAR'!$A783&lt;&gt;"Resultado total",('FUENTE NO BORRAR'!G783),""))</f>
        <v>812</v>
      </c>
      <c r="H765" s="6">
        <f>IF('FUENTE NO BORRAR'!H783="","",IF('FUENTE NO BORRAR'!$A783&lt;&gt;"Resultado total",('FUENTE NO BORRAR'!H783),""))</f>
        <v>812</v>
      </c>
      <c r="I765" s="6">
        <f>IF('FUENTE NO BORRAR'!I783="","",IF('FUENTE NO BORRAR'!$A783&lt;&gt;"Resultado total",('FUENTE NO BORRAR'!I783),""))</f>
        <v>0</v>
      </c>
    </row>
    <row r="766" spans="1:9" x14ac:dyDescent="0.2">
      <c r="A766" s="5" t="str">
        <f>IF('FUENTE NO BORRAR'!A784="","",(IF('FUENTE NO BORRAR'!A784&lt;&gt;"Resultado total",'FUENTE NO BORRAR'!A784,"")))</f>
        <v/>
      </c>
      <c r="B766" s="5" t="str">
        <f>IF('FUENTE NO BORRAR'!B784="","",'FUENTE NO BORRAR'!B784)</f>
        <v/>
      </c>
      <c r="C766" s="5" t="str">
        <f>IF('FUENTE NO BORRAR'!C784="","",'FUENTE NO BORRAR'!C784)</f>
        <v/>
      </c>
      <c r="D766" s="5" t="str">
        <f>IF('FUENTE NO BORRAR'!D784="","",'FUENTE NO BORRAR'!D784)</f>
        <v/>
      </c>
      <c r="E766" s="5" t="str">
        <f>IF('FUENTE NO BORRAR'!E784="","",'FUENTE NO BORRAR'!E784)</f>
        <v/>
      </c>
      <c r="F766" s="6">
        <f>IF('FUENTE NO BORRAR'!F784="","",IF('FUENTE NO BORRAR'!$A784&lt;&gt;"Resultado total",('FUENTE NO BORRAR'!F784),""))</f>
        <v>0</v>
      </c>
      <c r="G766" s="6">
        <f>IF('FUENTE NO BORRAR'!G784="","",IF('FUENTE NO BORRAR'!$A784&lt;&gt;"Resultado total",('FUENTE NO BORRAR'!G784),""))</f>
        <v>0</v>
      </c>
      <c r="H766" s="6">
        <f>IF('FUENTE NO BORRAR'!H784="","",IF('FUENTE NO BORRAR'!$A784&lt;&gt;"Resultado total",('FUENTE NO BORRAR'!H784),""))</f>
        <v>0</v>
      </c>
      <c r="I766" s="6">
        <f>IF('FUENTE NO BORRAR'!I784="","",IF('FUENTE NO BORRAR'!$A784&lt;&gt;"Resultado total",('FUENTE NO BORRAR'!I784),""))</f>
        <v>0</v>
      </c>
    </row>
    <row r="767" spans="1:9" x14ac:dyDescent="0.2">
      <c r="A767" s="5" t="str">
        <f>IF('FUENTE NO BORRAR'!A785="","",(IF('FUENTE NO BORRAR'!A785&lt;&gt;"Resultado total",'FUENTE NO BORRAR'!A785,"")))</f>
        <v/>
      </c>
      <c r="B767" s="5" t="str">
        <f>IF('FUENTE NO BORRAR'!B785="","",'FUENTE NO BORRAR'!B785)</f>
        <v/>
      </c>
      <c r="C767" s="5" t="str">
        <f>IF('FUENTE NO BORRAR'!C785="","",'FUENTE NO BORRAR'!C785)</f>
        <v/>
      </c>
      <c r="D767" s="5" t="str">
        <f>IF('FUENTE NO BORRAR'!D785="","",'FUENTE NO BORRAR'!D785)</f>
        <v/>
      </c>
      <c r="E767" s="5" t="str">
        <f>IF('FUENTE NO BORRAR'!E785="","",'FUENTE NO BORRAR'!E785)</f>
        <v/>
      </c>
      <c r="F767" s="6">
        <f>IF('FUENTE NO BORRAR'!F785="","",IF('FUENTE NO BORRAR'!$A785&lt;&gt;"Resultado total",('FUENTE NO BORRAR'!F785),""))</f>
        <v>187</v>
      </c>
      <c r="G767" s="6">
        <f>IF('FUENTE NO BORRAR'!G785="","",IF('FUENTE NO BORRAR'!$A785&lt;&gt;"Resultado total",('FUENTE NO BORRAR'!G785),""))</f>
        <v>187</v>
      </c>
      <c r="H767" s="6">
        <f>IF('FUENTE NO BORRAR'!H785="","",IF('FUENTE NO BORRAR'!$A785&lt;&gt;"Resultado total",('FUENTE NO BORRAR'!H785),""))</f>
        <v>187</v>
      </c>
      <c r="I767" s="6">
        <f>IF('FUENTE NO BORRAR'!I785="","",IF('FUENTE NO BORRAR'!$A785&lt;&gt;"Resultado total",('FUENTE NO BORRAR'!I785),""))</f>
        <v>0</v>
      </c>
    </row>
    <row r="768" spans="1:9" x14ac:dyDescent="0.2">
      <c r="A768" s="5" t="str">
        <f>IF('FUENTE NO BORRAR'!A786="","",(IF('FUENTE NO BORRAR'!A786&lt;&gt;"Resultado total",'FUENTE NO BORRAR'!A786,"")))</f>
        <v/>
      </c>
      <c r="B768" s="5" t="str">
        <f>IF('FUENTE NO BORRAR'!B786="","",'FUENTE NO BORRAR'!B786)</f>
        <v/>
      </c>
      <c r="C768" s="5" t="str">
        <f>IF('FUENTE NO BORRAR'!C786="","",'FUENTE NO BORRAR'!C786)</f>
        <v/>
      </c>
      <c r="D768" s="5" t="str">
        <f>IF('FUENTE NO BORRAR'!D786="","",'FUENTE NO BORRAR'!D786)</f>
        <v/>
      </c>
      <c r="E768" s="5" t="str">
        <f>IF('FUENTE NO BORRAR'!E786="","",'FUENTE NO BORRAR'!E786)</f>
        <v/>
      </c>
      <c r="F768" s="6">
        <f>IF('FUENTE NO BORRAR'!F786="","",IF('FUENTE NO BORRAR'!$A786&lt;&gt;"Resultado total",('FUENTE NO BORRAR'!F786),""))</f>
        <v>6587.62</v>
      </c>
      <c r="G768" s="6">
        <f>IF('FUENTE NO BORRAR'!G786="","",IF('FUENTE NO BORRAR'!$A786&lt;&gt;"Resultado total",('FUENTE NO BORRAR'!G786),""))</f>
        <v>6587.62</v>
      </c>
      <c r="H768" s="6">
        <f>IF('FUENTE NO BORRAR'!H786="","",IF('FUENTE NO BORRAR'!$A786&lt;&gt;"Resultado total",('FUENTE NO BORRAR'!H786),""))</f>
        <v>6587.62</v>
      </c>
      <c r="I768" s="6">
        <f>IF('FUENTE NO BORRAR'!I786="","",IF('FUENTE NO BORRAR'!$A786&lt;&gt;"Resultado total",('FUENTE NO BORRAR'!I786),""))</f>
        <v>0</v>
      </c>
    </row>
    <row r="769" spans="1:9" x14ac:dyDescent="0.2">
      <c r="A769" s="5" t="str">
        <f>IF('FUENTE NO BORRAR'!A787="","",(IF('FUENTE NO BORRAR'!A787&lt;&gt;"Resultado total",'FUENTE NO BORRAR'!A787,"")))</f>
        <v/>
      </c>
      <c r="B769" s="5" t="str">
        <f>IF('FUENTE NO BORRAR'!B787="","",'FUENTE NO BORRAR'!B787)</f>
        <v/>
      </c>
      <c r="C769" s="5" t="str">
        <f>IF('FUENTE NO BORRAR'!C787="","",'FUENTE NO BORRAR'!C787)</f>
        <v/>
      </c>
      <c r="D769" s="5" t="str">
        <f>IF('FUENTE NO BORRAR'!D787="","",'FUENTE NO BORRAR'!D787)</f>
        <v/>
      </c>
      <c r="E769" s="5" t="str">
        <f>IF('FUENTE NO BORRAR'!E787="","",'FUENTE NO BORRAR'!E787)</f>
        <v/>
      </c>
      <c r="F769" s="6">
        <f>IF('FUENTE NO BORRAR'!F787="","",IF('FUENTE NO BORRAR'!$A787&lt;&gt;"Resultado total",('FUENTE NO BORRAR'!F787),""))</f>
        <v>19053.25</v>
      </c>
      <c r="G769" s="6">
        <f>IF('FUENTE NO BORRAR'!G787="","",IF('FUENTE NO BORRAR'!$A787&lt;&gt;"Resultado total",('FUENTE NO BORRAR'!G787),""))</f>
        <v>19053.25</v>
      </c>
      <c r="H769" s="6">
        <f>IF('FUENTE NO BORRAR'!H787="","",IF('FUENTE NO BORRAR'!$A787&lt;&gt;"Resultado total",('FUENTE NO BORRAR'!H787),""))</f>
        <v>15619.24</v>
      </c>
      <c r="I769" s="6">
        <f>IF('FUENTE NO BORRAR'!I787="","",IF('FUENTE NO BORRAR'!$A787&lt;&gt;"Resultado total",('FUENTE NO BORRAR'!I787),""))</f>
        <v>0</v>
      </c>
    </row>
    <row r="770" spans="1:9" x14ac:dyDescent="0.2">
      <c r="A770" s="5" t="str">
        <f>IF('FUENTE NO BORRAR'!A788="","",(IF('FUENTE NO BORRAR'!A788&lt;&gt;"Resultado total",'FUENTE NO BORRAR'!A788,"")))</f>
        <v/>
      </c>
      <c r="B770" s="5" t="str">
        <f>IF('FUENTE NO BORRAR'!B788="","",'FUENTE NO BORRAR'!B788)</f>
        <v/>
      </c>
      <c r="C770" s="5" t="str">
        <f>IF('FUENTE NO BORRAR'!C788="","",'FUENTE NO BORRAR'!C788)</f>
        <v/>
      </c>
      <c r="D770" s="5" t="str">
        <f>IF('FUENTE NO BORRAR'!D788="","",'FUENTE NO BORRAR'!D788)</f>
        <v/>
      </c>
      <c r="E770" s="5" t="str">
        <f>IF('FUENTE NO BORRAR'!E788="","",'FUENTE NO BORRAR'!E788)</f>
        <v/>
      </c>
      <c r="F770" s="6">
        <f>IF('FUENTE NO BORRAR'!F788="","",IF('FUENTE NO BORRAR'!$A788&lt;&gt;"Resultado total",('FUENTE NO BORRAR'!F788),""))</f>
        <v>5605.22</v>
      </c>
      <c r="G770" s="6">
        <f>IF('FUENTE NO BORRAR'!G788="","",IF('FUENTE NO BORRAR'!$A788&lt;&gt;"Resultado total",('FUENTE NO BORRAR'!G788),""))</f>
        <v>5605.22</v>
      </c>
      <c r="H770" s="6">
        <f>IF('FUENTE NO BORRAR'!H788="","",IF('FUENTE NO BORRAR'!$A788&lt;&gt;"Resultado total",('FUENTE NO BORRAR'!H788),""))</f>
        <v>5605.22</v>
      </c>
      <c r="I770" s="6">
        <f>IF('FUENTE NO BORRAR'!I788="","",IF('FUENTE NO BORRAR'!$A788&lt;&gt;"Resultado total",('FUENTE NO BORRAR'!I788),""))</f>
        <v>0</v>
      </c>
    </row>
    <row r="771" spans="1:9" x14ac:dyDescent="0.2">
      <c r="A771" s="5" t="str">
        <f>IF('FUENTE NO BORRAR'!A789="","",(IF('FUENTE NO BORRAR'!A789&lt;&gt;"Resultado total",'FUENTE NO BORRAR'!A789,"")))</f>
        <v/>
      </c>
      <c r="B771" s="5" t="str">
        <f>IF('FUENTE NO BORRAR'!B789="","",'FUENTE NO BORRAR'!B789)</f>
        <v/>
      </c>
      <c r="C771" s="5" t="str">
        <f>IF('FUENTE NO BORRAR'!C789="","",'FUENTE NO BORRAR'!C789)</f>
        <v/>
      </c>
      <c r="D771" s="5" t="str">
        <f>IF('FUENTE NO BORRAR'!D789="","",'FUENTE NO BORRAR'!D789)</f>
        <v/>
      </c>
      <c r="E771" s="5" t="str">
        <f>IF('FUENTE NO BORRAR'!E789="","",'FUENTE NO BORRAR'!E789)</f>
        <v/>
      </c>
      <c r="F771" s="6">
        <f>IF('FUENTE NO BORRAR'!F789="","",IF('FUENTE NO BORRAR'!$A789&lt;&gt;"Resultado total",('FUENTE NO BORRAR'!F789),""))</f>
        <v>24201.79</v>
      </c>
      <c r="G771" s="6">
        <f>IF('FUENTE NO BORRAR'!G789="","",IF('FUENTE NO BORRAR'!$A789&lt;&gt;"Resultado total",('FUENTE NO BORRAR'!G789),""))</f>
        <v>24201.79</v>
      </c>
      <c r="H771" s="6">
        <f>IF('FUENTE NO BORRAR'!H789="","",IF('FUENTE NO BORRAR'!$A789&lt;&gt;"Resultado total",('FUENTE NO BORRAR'!H789),""))</f>
        <v>23501.85</v>
      </c>
      <c r="I771" s="6">
        <f>IF('FUENTE NO BORRAR'!I789="","",IF('FUENTE NO BORRAR'!$A789&lt;&gt;"Resultado total",('FUENTE NO BORRAR'!I789),""))</f>
        <v>0</v>
      </c>
    </row>
    <row r="772" spans="1:9" x14ac:dyDescent="0.2">
      <c r="A772" s="5" t="str">
        <f>IF('FUENTE NO BORRAR'!A790="","",(IF('FUENTE NO BORRAR'!A790&lt;&gt;"Resultado total",'FUENTE NO BORRAR'!A790,"")))</f>
        <v/>
      </c>
      <c r="B772" s="5" t="str">
        <f>IF('FUENTE NO BORRAR'!B790="","",'FUENTE NO BORRAR'!B790)</f>
        <v/>
      </c>
      <c r="C772" s="5" t="str">
        <f>IF('FUENTE NO BORRAR'!C790="","",'FUENTE NO BORRAR'!C790)</f>
        <v/>
      </c>
      <c r="D772" s="5" t="str">
        <f>IF('FUENTE NO BORRAR'!D790="","",'FUENTE NO BORRAR'!D790)</f>
        <v/>
      </c>
      <c r="E772" s="5" t="str">
        <f>IF('FUENTE NO BORRAR'!E790="","",'FUENTE NO BORRAR'!E790)</f>
        <v/>
      </c>
      <c r="F772" s="6">
        <f>IF('FUENTE NO BORRAR'!F790="","",IF('FUENTE NO BORRAR'!$A790&lt;&gt;"Resultado total",('FUENTE NO BORRAR'!F790),""))</f>
        <v>0</v>
      </c>
      <c r="G772" s="6">
        <f>IF('FUENTE NO BORRAR'!G790="","",IF('FUENTE NO BORRAR'!$A790&lt;&gt;"Resultado total",('FUENTE NO BORRAR'!G790),""))</f>
        <v>0</v>
      </c>
      <c r="H772" s="6">
        <f>IF('FUENTE NO BORRAR'!H790="","",IF('FUENTE NO BORRAR'!$A790&lt;&gt;"Resultado total",('FUENTE NO BORRAR'!H790),""))</f>
        <v>0</v>
      </c>
      <c r="I772" s="6">
        <f>IF('FUENTE NO BORRAR'!I790="","",IF('FUENTE NO BORRAR'!$A790&lt;&gt;"Resultado total",('FUENTE NO BORRAR'!I790),""))</f>
        <v>0</v>
      </c>
    </row>
    <row r="773" spans="1:9" x14ac:dyDescent="0.2">
      <c r="A773" s="5" t="str">
        <f>IF('FUENTE NO BORRAR'!A791="","",(IF('FUENTE NO BORRAR'!A791&lt;&gt;"Resultado total",'FUENTE NO BORRAR'!A791,"")))</f>
        <v/>
      </c>
      <c r="B773" s="5" t="str">
        <f>IF('FUENTE NO BORRAR'!B791="","",'FUENTE NO BORRAR'!B791)</f>
        <v/>
      </c>
      <c r="C773" s="5" t="str">
        <f>IF('FUENTE NO BORRAR'!C791="","",'FUENTE NO BORRAR'!C791)</f>
        <v/>
      </c>
      <c r="D773" s="5" t="str">
        <f>IF('FUENTE NO BORRAR'!D791="","",'FUENTE NO BORRAR'!D791)</f>
        <v/>
      </c>
      <c r="E773" s="5" t="str">
        <f>IF('FUENTE NO BORRAR'!E791="","",'FUENTE NO BORRAR'!E791)</f>
        <v/>
      </c>
      <c r="F773" s="6">
        <f>IF('FUENTE NO BORRAR'!F791="","",IF('FUENTE NO BORRAR'!$A791&lt;&gt;"Resultado total",('FUENTE NO BORRAR'!F791),""))</f>
        <v>702.5</v>
      </c>
      <c r="G773" s="6">
        <f>IF('FUENTE NO BORRAR'!G791="","",IF('FUENTE NO BORRAR'!$A791&lt;&gt;"Resultado total",('FUENTE NO BORRAR'!G791),""))</f>
        <v>702.5</v>
      </c>
      <c r="H773" s="6">
        <f>IF('FUENTE NO BORRAR'!H791="","",IF('FUENTE NO BORRAR'!$A791&lt;&gt;"Resultado total",('FUENTE NO BORRAR'!H791),""))</f>
        <v>702.5</v>
      </c>
      <c r="I773" s="6">
        <f>IF('FUENTE NO BORRAR'!I791="","",IF('FUENTE NO BORRAR'!$A791&lt;&gt;"Resultado total",('FUENTE NO BORRAR'!I791),""))</f>
        <v>0</v>
      </c>
    </row>
    <row r="774" spans="1:9" x14ac:dyDescent="0.2">
      <c r="A774" s="5" t="str">
        <f>IF('FUENTE NO BORRAR'!A792="","",(IF('FUENTE NO BORRAR'!A792&lt;&gt;"Resultado total",'FUENTE NO BORRAR'!A792,"")))</f>
        <v/>
      </c>
      <c r="B774" s="5" t="str">
        <f>IF('FUENTE NO BORRAR'!B792="","",'FUENTE NO BORRAR'!B792)</f>
        <v/>
      </c>
      <c r="C774" s="5" t="str">
        <f>IF('FUENTE NO BORRAR'!C792="","",'FUENTE NO BORRAR'!C792)</f>
        <v/>
      </c>
      <c r="D774" s="5" t="str">
        <f>IF('FUENTE NO BORRAR'!D792="","",'FUENTE NO BORRAR'!D792)</f>
        <v/>
      </c>
      <c r="E774" s="5" t="str">
        <f>IF('FUENTE NO BORRAR'!E792="","",'FUENTE NO BORRAR'!E792)</f>
        <v/>
      </c>
      <c r="F774" s="6">
        <f>IF('FUENTE NO BORRAR'!F792="","",IF('FUENTE NO BORRAR'!$A792&lt;&gt;"Resultado total",('FUENTE NO BORRAR'!F792),""))</f>
        <v>0</v>
      </c>
      <c r="G774" s="6">
        <f>IF('FUENTE NO BORRAR'!G792="","",IF('FUENTE NO BORRAR'!$A792&lt;&gt;"Resultado total",('FUENTE NO BORRAR'!G792),""))</f>
        <v>0</v>
      </c>
      <c r="H774" s="6">
        <f>IF('FUENTE NO BORRAR'!H792="","",IF('FUENTE NO BORRAR'!$A792&lt;&gt;"Resultado total",('FUENTE NO BORRAR'!H792),""))</f>
        <v>0</v>
      </c>
      <c r="I774" s="6">
        <f>IF('FUENTE NO BORRAR'!I792="","",IF('FUENTE NO BORRAR'!$A792&lt;&gt;"Resultado total",('FUENTE NO BORRAR'!I792),""))</f>
        <v>0</v>
      </c>
    </row>
    <row r="775" spans="1:9" x14ac:dyDescent="0.2">
      <c r="A775" s="5" t="str">
        <f>IF('FUENTE NO BORRAR'!A793="","",(IF('FUENTE NO BORRAR'!A793&lt;&gt;"Resultado total",'FUENTE NO BORRAR'!A793,"")))</f>
        <v/>
      </c>
      <c r="B775" s="5" t="str">
        <f>IF('FUENTE NO BORRAR'!B793="","",'FUENTE NO BORRAR'!B793)</f>
        <v/>
      </c>
      <c r="C775" s="5" t="str">
        <f>IF('FUENTE NO BORRAR'!C793="","",'FUENTE NO BORRAR'!C793)</f>
        <v/>
      </c>
      <c r="D775" s="5" t="str">
        <f>IF('FUENTE NO BORRAR'!D793="","",'FUENTE NO BORRAR'!D793)</f>
        <v/>
      </c>
      <c r="E775" s="5" t="str">
        <f>IF('FUENTE NO BORRAR'!E793="","",'FUENTE NO BORRAR'!E793)</f>
        <v/>
      </c>
      <c r="F775" s="6">
        <f>IF('FUENTE NO BORRAR'!F793="","",IF('FUENTE NO BORRAR'!$A793&lt;&gt;"Resultado total",('FUENTE NO BORRAR'!F793),""))</f>
        <v>5535.18</v>
      </c>
      <c r="G775" s="6">
        <f>IF('FUENTE NO BORRAR'!G793="","",IF('FUENTE NO BORRAR'!$A793&lt;&gt;"Resultado total",('FUENTE NO BORRAR'!G793),""))</f>
        <v>5535.18</v>
      </c>
      <c r="H775" s="6">
        <f>IF('FUENTE NO BORRAR'!H793="","",IF('FUENTE NO BORRAR'!$A793&lt;&gt;"Resultado total",('FUENTE NO BORRAR'!H793),""))</f>
        <v>5535.18</v>
      </c>
      <c r="I775" s="6">
        <f>IF('FUENTE NO BORRAR'!I793="","",IF('FUENTE NO BORRAR'!$A793&lt;&gt;"Resultado total",('FUENTE NO BORRAR'!I793),""))</f>
        <v>0</v>
      </c>
    </row>
    <row r="776" spans="1:9" x14ac:dyDescent="0.2">
      <c r="A776" s="5" t="str">
        <f>IF('FUENTE NO BORRAR'!A794="","",(IF('FUENTE NO BORRAR'!A794&lt;&gt;"Resultado total",'FUENTE NO BORRAR'!A794,"")))</f>
        <v/>
      </c>
      <c r="B776" s="5" t="str">
        <f>IF('FUENTE NO BORRAR'!B794="","",'FUENTE NO BORRAR'!B794)</f>
        <v/>
      </c>
      <c r="C776" s="5" t="str">
        <f>IF('FUENTE NO BORRAR'!C794="","",'FUENTE NO BORRAR'!C794)</f>
        <v/>
      </c>
      <c r="D776" s="5" t="str">
        <f>IF('FUENTE NO BORRAR'!D794="","",'FUENTE NO BORRAR'!D794)</f>
        <v/>
      </c>
      <c r="E776" s="5" t="str">
        <f>IF('FUENTE NO BORRAR'!E794="","",'FUENTE NO BORRAR'!E794)</f>
        <v/>
      </c>
      <c r="F776" s="6">
        <f>IF('FUENTE NO BORRAR'!F794="","",IF('FUENTE NO BORRAR'!$A794&lt;&gt;"Resultado total",('FUENTE NO BORRAR'!F794),""))</f>
        <v>4396.12</v>
      </c>
      <c r="G776" s="6">
        <f>IF('FUENTE NO BORRAR'!G794="","",IF('FUENTE NO BORRAR'!$A794&lt;&gt;"Resultado total",('FUENTE NO BORRAR'!G794),""))</f>
        <v>4396.12</v>
      </c>
      <c r="H776" s="6">
        <f>IF('FUENTE NO BORRAR'!H794="","",IF('FUENTE NO BORRAR'!$A794&lt;&gt;"Resultado total",('FUENTE NO BORRAR'!H794),""))</f>
        <v>580.19000000000005</v>
      </c>
      <c r="I776" s="6">
        <f>IF('FUENTE NO BORRAR'!I794="","",IF('FUENTE NO BORRAR'!$A794&lt;&gt;"Resultado total",('FUENTE NO BORRAR'!I794),""))</f>
        <v>0</v>
      </c>
    </row>
    <row r="777" spans="1:9" x14ac:dyDescent="0.2">
      <c r="A777" s="5" t="str">
        <f>IF('FUENTE NO BORRAR'!A795="","",(IF('FUENTE NO BORRAR'!A795&lt;&gt;"Resultado total",'FUENTE NO BORRAR'!A795,"")))</f>
        <v/>
      </c>
      <c r="B777" s="5" t="str">
        <f>IF('FUENTE NO BORRAR'!B795="","",'FUENTE NO BORRAR'!B795)</f>
        <v/>
      </c>
      <c r="C777" s="5" t="str">
        <f>IF('FUENTE NO BORRAR'!C795="","",'FUENTE NO BORRAR'!C795)</f>
        <v/>
      </c>
      <c r="D777" s="5" t="str">
        <f>IF('FUENTE NO BORRAR'!D795="","",'FUENTE NO BORRAR'!D795)</f>
        <v/>
      </c>
      <c r="E777" s="5" t="str">
        <f>IF('FUENTE NO BORRAR'!E795="","",'FUENTE NO BORRAR'!E795)</f>
        <v/>
      </c>
      <c r="F777" s="6">
        <f>IF('FUENTE NO BORRAR'!F795="","",IF('FUENTE NO BORRAR'!$A795&lt;&gt;"Resultado total",('FUENTE NO BORRAR'!F795),""))</f>
        <v>5815863.8200000003</v>
      </c>
      <c r="G777" s="6">
        <f>IF('FUENTE NO BORRAR'!G795="","",IF('FUENTE NO BORRAR'!$A795&lt;&gt;"Resultado total",('FUENTE NO BORRAR'!G795),""))</f>
        <v>5815863.8200000003</v>
      </c>
      <c r="H777" s="6">
        <f>IF('FUENTE NO BORRAR'!H795="","",IF('FUENTE NO BORRAR'!$A795&lt;&gt;"Resultado total",('FUENTE NO BORRAR'!H795),""))</f>
        <v>5815863.8200000003</v>
      </c>
      <c r="I777" s="6">
        <f>IF('FUENTE NO BORRAR'!I795="","",IF('FUENTE NO BORRAR'!$A795&lt;&gt;"Resultado total",('FUENTE NO BORRAR'!I795),""))</f>
        <v>0</v>
      </c>
    </row>
    <row r="778" spans="1:9" x14ac:dyDescent="0.2">
      <c r="A778" s="5" t="str">
        <f>IF('FUENTE NO BORRAR'!A796="","",(IF('FUENTE NO BORRAR'!A796&lt;&gt;"Resultado total",'FUENTE NO BORRAR'!A796,"")))</f>
        <v/>
      </c>
      <c r="B778" s="5" t="str">
        <f>IF('FUENTE NO BORRAR'!B796="","",'FUENTE NO BORRAR'!B796)</f>
        <v/>
      </c>
      <c r="C778" s="5" t="str">
        <f>IF('FUENTE NO BORRAR'!C796="","",'FUENTE NO BORRAR'!C796)</f>
        <v/>
      </c>
      <c r="D778" s="5" t="str">
        <f>IF('FUENTE NO BORRAR'!D796="","",'FUENTE NO BORRAR'!D796)</f>
        <v/>
      </c>
      <c r="E778" s="5" t="str">
        <f>IF('FUENTE NO BORRAR'!E796="","",'FUENTE NO BORRAR'!E796)</f>
        <v/>
      </c>
      <c r="F778" s="6">
        <f>IF('FUENTE NO BORRAR'!F796="","",IF('FUENTE NO BORRAR'!$A796&lt;&gt;"Resultado total",('FUENTE NO BORRAR'!F796),""))</f>
        <v>41321.35</v>
      </c>
      <c r="G778" s="6">
        <f>IF('FUENTE NO BORRAR'!G796="","",IF('FUENTE NO BORRAR'!$A796&lt;&gt;"Resultado total",('FUENTE NO BORRAR'!G796),""))</f>
        <v>41321.35</v>
      </c>
      <c r="H778" s="6">
        <f>IF('FUENTE NO BORRAR'!H796="","",IF('FUENTE NO BORRAR'!$A796&lt;&gt;"Resultado total",('FUENTE NO BORRAR'!H796),""))</f>
        <v>36871.57</v>
      </c>
      <c r="I778" s="6">
        <f>IF('FUENTE NO BORRAR'!I796="","",IF('FUENTE NO BORRAR'!$A796&lt;&gt;"Resultado total",('FUENTE NO BORRAR'!I796),""))</f>
        <v>0</v>
      </c>
    </row>
    <row r="779" spans="1:9" x14ac:dyDescent="0.2">
      <c r="A779" s="5" t="str">
        <f>IF('FUENTE NO BORRAR'!A797="","",(IF('FUENTE NO BORRAR'!A797&lt;&gt;"Resultado total",'FUENTE NO BORRAR'!A797,"")))</f>
        <v/>
      </c>
      <c r="B779" s="5" t="str">
        <f>IF('FUENTE NO BORRAR'!B797="","",'FUENTE NO BORRAR'!B797)</f>
        <v/>
      </c>
      <c r="C779" s="5" t="str">
        <f>IF('FUENTE NO BORRAR'!C797="","",'FUENTE NO BORRAR'!C797)</f>
        <v/>
      </c>
      <c r="D779" s="5" t="str">
        <f>IF('FUENTE NO BORRAR'!D797="","",'FUENTE NO BORRAR'!D797)</f>
        <v/>
      </c>
      <c r="E779" s="5" t="str">
        <f>IF('FUENTE NO BORRAR'!E797="","",'FUENTE NO BORRAR'!E797)</f>
        <v/>
      </c>
      <c r="F779" s="6">
        <f>IF('FUENTE NO BORRAR'!F797="","",IF('FUENTE NO BORRAR'!$A797&lt;&gt;"Resultado total",('FUENTE NO BORRAR'!F797),""))</f>
        <v>51092.92</v>
      </c>
      <c r="G779" s="6">
        <f>IF('FUENTE NO BORRAR'!G797="","",IF('FUENTE NO BORRAR'!$A797&lt;&gt;"Resultado total",('FUENTE NO BORRAR'!G797),""))</f>
        <v>51092.92</v>
      </c>
      <c r="H779" s="6">
        <f>IF('FUENTE NO BORRAR'!H797="","",IF('FUENTE NO BORRAR'!$A797&lt;&gt;"Resultado total",('FUENTE NO BORRAR'!H797),""))</f>
        <v>51092.92</v>
      </c>
      <c r="I779" s="6">
        <f>IF('FUENTE NO BORRAR'!I797="","",IF('FUENTE NO BORRAR'!$A797&lt;&gt;"Resultado total",('FUENTE NO BORRAR'!I797),""))</f>
        <v>0</v>
      </c>
    </row>
    <row r="780" spans="1:9" x14ac:dyDescent="0.2">
      <c r="A780" s="5" t="str">
        <f>IF('FUENTE NO BORRAR'!A798="","",(IF('FUENTE NO BORRAR'!A798&lt;&gt;"Resultado total",'FUENTE NO BORRAR'!A798,"")))</f>
        <v/>
      </c>
      <c r="B780" s="5" t="str">
        <f>IF('FUENTE NO BORRAR'!B798="","",'FUENTE NO BORRAR'!B798)</f>
        <v/>
      </c>
      <c r="C780" s="5" t="str">
        <f>IF('FUENTE NO BORRAR'!C798="","",'FUENTE NO BORRAR'!C798)</f>
        <v/>
      </c>
      <c r="D780" s="5" t="str">
        <f>IF('FUENTE NO BORRAR'!D798="","",'FUENTE NO BORRAR'!D798)</f>
        <v/>
      </c>
      <c r="E780" s="5" t="str">
        <f>IF('FUENTE NO BORRAR'!E798="","",'FUENTE NO BORRAR'!E798)</f>
        <v/>
      </c>
      <c r="F780" s="6">
        <f>IF('FUENTE NO BORRAR'!F798="","",IF('FUENTE NO BORRAR'!$A798&lt;&gt;"Resultado total",('FUENTE NO BORRAR'!F798),""))</f>
        <v>860.02</v>
      </c>
      <c r="G780" s="6">
        <f>IF('FUENTE NO BORRAR'!G798="","",IF('FUENTE NO BORRAR'!$A798&lt;&gt;"Resultado total",('FUENTE NO BORRAR'!G798),""))</f>
        <v>860.02</v>
      </c>
      <c r="H780" s="6">
        <f>IF('FUENTE NO BORRAR'!H798="","",IF('FUENTE NO BORRAR'!$A798&lt;&gt;"Resultado total",('FUENTE NO BORRAR'!H798),""))</f>
        <v>0</v>
      </c>
      <c r="I780" s="6">
        <f>IF('FUENTE NO BORRAR'!I798="","",IF('FUENTE NO BORRAR'!$A798&lt;&gt;"Resultado total",('FUENTE NO BORRAR'!I798),""))</f>
        <v>0</v>
      </c>
    </row>
    <row r="781" spans="1:9" x14ac:dyDescent="0.2">
      <c r="A781" s="5" t="str">
        <f>IF('FUENTE NO BORRAR'!A799="","",(IF('FUENTE NO BORRAR'!A799&lt;&gt;"Resultado total",'FUENTE NO BORRAR'!A799,"")))</f>
        <v/>
      </c>
      <c r="B781" s="5" t="str">
        <f>IF('FUENTE NO BORRAR'!B799="","",'FUENTE NO BORRAR'!B799)</f>
        <v/>
      </c>
      <c r="C781" s="5" t="str">
        <f>IF('FUENTE NO BORRAR'!C799="","",'FUENTE NO BORRAR'!C799)</f>
        <v/>
      </c>
      <c r="D781" s="5" t="str">
        <f>IF('FUENTE NO BORRAR'!D799="","",'FUENTE NO BORRAR'!D799)</f>
        <v/>
      </c>
      <c r="E781" s="5" t="str">
        <f>IF('FUENTE NO BORRAR'!E799="","",'FUENTE NO BORRAR'!E799)</f>
        <v/>
      </c>
      <c r="F781" s="6">
        <f>IF('FUENTE NO BORRAR'!F799="","",IF('FUENTE NO BORRAR'!$A799&lt;&gt;"Resultado total",('FUENTE NO BORRAR'!F799),""))</f>
        <v>2320</v>
      </c>
      <c r="G781" s="6">
        <f>IF('FUENTE NO BORRAR'!G799="","",IF('FUENTE NO BORRAR'!$A799&lt;&gt;"Resultado total",('FUENTE NO BORRAR'!G799),""))</f>
        <v>2320</v>
      </c>
      <c r="H781" s="6">
        <f>IF('FUENTE NO BORRAR'!H799="","",IF('FUENTE NO BORRAR'!$A799&lt;&gt;"Resultado total",('FUENTE NO BORRAR'!H799),""))</f>
        <v>2320</v>
      </c>
      <c r="I781" s="6">
        <f>IF('FUENTE NO BORRAR'!I799="","",IF('FUENTE NO BORRAR'!$A799&lt;&gt;"Resultado total",('FUENTE NO BORRAR'!I799),""))</f>
        <v>0</v>
      </c>
    </row>
    <row r="782" spans="1:9" x14ac:dyDescent="0.2">
      <c r="A782" s="5" t="str">
        <f>IF('FUENTE NO BORRAR'!A800="","",(IF('FUENTE NO BORRAR'!A800&lt;&gt;"Resultado total",'FUENTE NO BORRAR'!A800,"")))</f>
        <v/>
      </c>
      <c r="B782" s="5" t="str">
        <f>IF('FUENTE NO BORRAR'!B800="","",'FUENTE NO BORRAR'!B800)</f>
        <v/>
      </c>
      <c r="C782" s="5" t="str">
        <f>IF('FUENTE NO BORRAR'!C800="","",'FUENTE NO BORRAR'!C800)</f>
        <v/>
      </c>
      <c r="D782" s="5" t="str">
        <f>IF('FUENTE NO BORRAR'!D800="","",'FUENTE NO BORRAR'!D800)</f>
        <v/>
      </c>
      <c r="E782" s="5" t="str">
        <f>IF('FUENTE NO BORRAR'!E800="","",'FUENTE NO BORRAR'!E800)</f>
        <v/>
      </c>
      <c r="F782" s="6">
        <f>IF('FUENTE NO BORRAR'!F800="","",IF('FUENTE NO BORRAR'!$A800&lt;&gt;"Resultado total",('FUENTE NO BORRAR'!F800),""))</f>
        <v>918.54</v>
      </c>
      <c r="G782" s="6">
        <f>IF('FUENTE NO BORRAR'!G800="","",IF('FUENTE NO BORRAR'!$A800&lt;&gt;"Resultado total",('FUENTE NO BORRAR'!G800),""))</f>
        <v>918.54</v>
      </c>
      <c r="H782" s="6">
        <f>IF('FUENTE NO BORRAR'!H800="","",IF('FUENTE NO BORRAR'!$A800&lt;&gt;"Resultado total",('FUENTE NO BORRAR'!H800),""))</f>
        <v>918.54</v>
      </c>
      <c r="I782" s="6">
        <f>IF('FUENTE NO BORRAR'!I800="","",IF('FUENTE NO BORRAR'!$A800&lt;&gt;"Resultado total",('FUENTE NO BORRAR'!I800),""))</f>
        <v>0</v>
      </c>
    </row>
    <row r="783" spans="1:9" x14ac:dyDescent="0.2">
      <c r="A783" s="5" t="str">
        <f>IF('FUENTE NO BORRAR'!A801="","",(IF('FUENTE NO BORRAR'!A801&lt;&gt;"Resultado total",'FUENTE NO BORRAR'!A801,"")))</f>
        <v/>
      </c>
      <c r="B783" s="5" t="str">
        <f>IF('FUENTE NO BORRAR'!B801="","",'FUENTE NO BORRAR'!B801)</f>
        <v/>
      </c>
      <c r="C783" s="5" t="str">
        <f>IF('FUENTE NO BORRAR'!C801="","",'FUENTE NO BORRAR'!C801)</f>
        <v/>
      </c>
      <c r="D783" s="5" t="str">
        <f>IF('FUENTE NO BORRAR'!D801="","",'FUENTE NO BORRAR'!D801)</f>
        <v/>
      </c>
      <c r="E783" s="5" t="str">
        <f>IF('FUENTE NO BORRAR'!E801="","",'FUENTE NO BORRAR'!E801)</f>
        <v/>
      </c>
      <c r="F783" s="6">
        <f>IF('FUENTE NO BORRAR'!F801="","",IF('FUENTE NO BORRAR'!$A801&lt;&gt;"Resultado total",('FUENTE NO BORRAR'!F801),""))</f>
        <v>118799.94</v>
      </c>
      <c r="G783" s="6">
        <f>IF('FUENTE NO BORRAR'!G801="","",IF('FUENTE NO BORRAR'!$A801&lt;&gt;"Resultado total",('FUENTE NO BORRAR'!G801),""))</f>
        <v>118799.94</v>
      </c>
      <c r="H783" s="6">
        <f>IF('FUENTE NO BORRAR'!H801="","",IF('FUENTE NO BORRAR'!$A801&lt;&gt;"Resultado total",('FUENTE NO BORRAR'!H801),""))</f>
        <v>118799.94</v>
      </c>
      <c r="I783" s="6">
        <f>IF('FUENTE NO BORRAR'!I801="","",IF('FUENTE NO BORRAR'!$A801&lt;&gt;"Resultado total",('FUENTE NO BORRAR'!I801),""))</f>
        <v>0</v>
      </c>
    </row>
    <row r="784" spans="1:9" x14ac:dyDescent="0.2">
      <c r="A784" s="5" t="str">
        <f>IF('FUENTE NO BORRAR'!A802="","",(IF('FUENTE NO BORRAR'!A802&lt;&gt;"Resultado total",'FUENTE NO BORRAR'!A802,"")))</f>
        <v/>
      </c>
      <c r="B784" s="5" t="str">
        <f>IF('FUENTE NO BORRAR'!B802="","",'FUENTE NO BORRAR'!B802)</f>
        <v/>
      </c>
      <c r="C784" s="5" t="str">
        <f>IF('FUENTE NO BORRAR'!C802="","",'FUENTE NO BORRAR'!C802)</f>
        <v/>
      </c>
      <c r="D784" s="5" t="str">
        <f>IF('FUENTE NO BORRAR'!D802="","",'FUENTE NO BORRAR'!D802)</f>
        <v/>
      </c>
      <c r="E784" s="5" t="str">
        <f>IF('FUENTE NO BORRAR'!E802="","",'FUENTE NO BORRAR'!E802)</f>
        <v/>
      </c>
      <c r="F784" s="6">
        <f>IF('FUENTE NO BORRAR'!F802="","",IF('FUENTE NO BORRAR'!$A802&lt;&gt;"Resultado total",('FUENTE NO BORRAR'!F802),""))</f>
        <v>1690</v>
      </c>
      <c r="G784" s="6">
        <f>IF('FUENTE NO BORRAR'!G802="","",IF('FUENTE NO BORRAR'!$A802&lt;&gt;"Resultado total",('FUENTE NO BORRAR'!G802),""))</f>
        <v>1690</v>
      </c>
      <c r="H784" s="6">
        <f>IF('FUENTE NO BORRAR'!H802="","",IF('FUENTE NO BORRAR'!$A802&lt;&gt;"Resultado total",('FUENTE NO BORRAR'!H802),""))</f>
        <v>1690</v>
      </c>
      <c r="I784" s="6">
        <f>IF('FUENTE NO BORRAR'!I802="","",IF('FUENTE NO BORRAR'!$A802&lt;&gt;"Resultado total",('FUENTE NO BORRAR'!I802),""))</f>
        <v>0</v>
      </c>
    </row>
    <row r="785" spans="1:9" x14ac:dyDescent="0.2">
      <c r="A785" s="5" t="str">
        <f>IF('FUENTE NO BORRAR'!A803="","",(IF('FUENTE NO BORRAR'!A803&lt;&gt;"Resultado total",'FUENTE NO BORRAR'!A803,"")))</f>
        <v/>
      </c>
      <c r="B785" s="5" t="str">
        <f>IF('FUENTE NO BORRAR'!B803="","",'FUENTE NO BORRAR'!B803)</f>
        <v/>
      </c>
      <c r="C785" s="5" t="str">
        <f>IF('FUENTE NO BORRAR'!C803="","",'FUENTE NO BORRAR'!C803)</f>
        <v/>
      </c>
      <c r="D785" s="5" t="str">
        <f>IF('FUENTE NO BORRAR'!D803="","",'FUENTE NO BORRAR'!D803)</f>
        <v/>
      </c>
      <c r="E785" s="5" t="str">
        <f>IF('FUENTE NO BORRAR'!E803="","",'FUENTE NO BORRAR'!E803)</f>
        <v/>
      </c>
      <c r="F785" s="6">
        <f>IF('FUENTE NO BORRAR'!F803="","",IF('FUENTE NO BORRAR'!$A803&lt;&gt;"Resultado total",('FUENTE NO BORRAR'!F803),""))</f>
        <v>2227.1999999999998</v>
      </c>
      <c r="G785" s="6">
        <f>IF('FUENTE NO BORRAR'!G803="","",IF('FUENTE NO BORRAR'!$A803&lt;&gt;"Resultado total",('FUENTE NO BORRAR'!G803),""))</f>
        <v>2227.1999999999998</v>
      </c>
      <c r="H785" s="6">
        <f>IF('FUENTE NO BORRAR'!H803="","",IF('FUENTE NO BORRAR'!$A803&lt;&gt;"Resultado total",('FUENTE NO BORRAR'!H803),""))</f>
        <v>2227.1999999999998</v>
      </c>
      <c r="I785" s="6">
        <f>IF('FUENTE NO BORRAR'!I803="","",IF('FUENTE NO BORRAR'!$A803&lt;&gt;"Resultado total",('FUENTE NO BORRAR'!I803),""))</f>
        <v>0</v>
      </c>
    </row>
    <row r="786" spans="1:9" x14ac:dyDescent="0.2">
      <c r="A786" s="5" t="str">
        <f>IF('FUENTE NO BORRAR'!A804="","",(IF('FUENTE NO BORRAR'!A804&lt;&gt;"Resultado total",'FUENTE NO BORRAR'!A804,"")))</f>
        <v/>
      </c>
      <c r="B786" s="5" t="str">
        <f>IF('FUENTE NO BORRAR'!B804="","",'FUENTE NO BORRAR'!B804)</f>
        <v/>
      </c>
      <c r="C786" s="5" t="str">
        <f>IF('FUENTE NO BORRAR'!C804="","",'FUENTE NO BORRAR'!C804)</f>
        <v/>
      </c>
      <c r="D786" s="5" t="str">
        <f>IF('FUENTE NO BORRAR'!D804="","",'FUENTE NO BORRAR'!D804)</f>
        <v/>
      </c>
      <c r="E786" s="5" t="str">
        <f>IF('FUENTE NO BORRAR'!E804="","",'FUENTE NO BORRAR'!E804)</f>
        <v/>
      </c>
      <c r="F786" s="6">
        <f>IF('FUENTE NO BORRAR'!F804="","",IF('FUENTE NO BORRAR'!$A804&lt;&gt;"Resultado total",('FUENTE NO BORRAR'!F804),""))</f>
        <v>57183.12</v>
      </c>
      <c r="G786" s="6">
        <f>IF('FUENTE NO BORRAR'!G804="","",IF('FUENTE NO BORRAR'!$A804&lt;&gt;"Resultado total",('FUENTE NO BORRAR'!G804),""))</f>
        <v>57183.12</v>
      </c>
      <c r="H786" s="6">
        <f>IF('FUENTE NO BORRAR'!H804="","",IF('FUENTE NO BORRAR'!$A804&lt;&gt;"Resultado total",('FUENTE NO BORRAR'!H804),""))</f>
        <v>16587.22</v>
      </c>
      <c r="I786" s="6">
        <f>IF('FUENTE NO BORRAR'!I804="","",IF('FUENTE NO BORRAR'!$A804&lt;&gt;"Resultado total",('FUENTE NO BORRAR'!I804),""))</f>
        <v>0</v>
      </c>
    </row>
    <row r="787" spans="1:9" x14ac:dyDescent="0.2">
      <c r="A787" s="5" t="str">
        <f>IF('FUENTE NO BORRAR'!A805="","",(IF('FUENTE NO BORRAR'!A805&lt;&gt;"Resultado total",'FUENTE NO BORRAR'!A805,"")))</f>
        <v/>
      </c>
      <c r="B787" s="5" t="str">
        <f>IF('FUENTE NO BORRAR'!B805="","",'FUENTE NO BORRAR'!B805)</f>
        <v/>
      </c>
      <c r="C787" s="5" t="str">
        <f>IF('FUENTE NO BORRAR'!C805="","",'FUENTE NO BORRAR'!C805)</f>
        <v/>
      </c>
      <c r="D787" s="5" t="str">
        <f>IF('FUENTE NO BORRAR'!D805="","",'FUENTE NO BORRAR'!D805)</f>
        <v/>
      </c>
      <c r="E787" s="5" t="str">
        <f>IF('FUENTE NO BORRAR'!E805="","",'FUENTE NO BORRAR'!E805)</f>
        <v/>
      </c>
      <c r="F787" s="6">
        <f>IF('FUENTE NO BORRAR'!F805="","",IF('FUENTE NO BORRAR'!$A805&lt;&gt;"Resultado total",('FUENTE NO BORRAR'!F805),""))</f>
        <v>232</v>
      </c>
      <c r="G787" s="6">
        <f>IF('FUENTE NO BORRAR'!G805="","",IF('FUENTE NO BORRAR'!$A805&lt;&gt;"Resultado total",('FUENTE NO BORRAR'!G805),""))</f>
        <v>232</v>
      </c>
      <c r="H787" s="6">
        <f>IF('FUENTE NO BORRAR'!H805="","",IF('FUENTE NO BORRAR'!$A805&lt;&gt;"Resultado total",('FUENTE NO BORRAR'!H805),""))</f>
        <v>232</v>
      </c>
      <c r="I787" s="6">
        <f>IF('FUENTE NO BORRAR'!I805="","",IF('FUENTE NO BORRAR'!$A805&lt;&gt;"Resultado total",('FUENTE NO BORRAR'!I805),""))</f>
        <v>0</v>
      </c>
    </row>
    <row r="788" spans="1:9" x14ac:dyDescent="0.2">
      <c r="A788" s="5" t="str">
        <f>IF('FUENTE NO BORRAR'!A806="","",(IF('FUENTE NO BORRAR'!A806&lt;&gt;"Resultado total",'FUENTE NO BORRAR'!A806,"")))</f>
        <v/>
      </c>
      <c r="B788" s="5" t="str">
        <f>IF('FUENTE NO BORRAR'!B806="","",'FUENTE NO BORRAR'!B806)</f>
        <v/>
      </c>
      <c r="C788" s="5" t="str">
        <f>IF('FUENTE NO BORRAR'!C806="","",'FUENTE NO BORRAR'!C806)</f>
        <v/>
      </c>
      <c r="D788" s="5" t="str">
        <f>IF('FUENTE NO BORRAR'!D806="","",'FUENTE NO BORRAR'!D806)</f>
        <v/>
      </c>
      <c r="E788" s="5" t="str">
        <f>IF('FUENTE NO BORRAR'!E806="","",'FUENTE NO BORRAR'!E806)</f>
        <v/>
      </c>
      <c r="F788" s="6">
        <f>IF('FUENTE NO BORRAR'!F806="","",IF('FUENTE NO BORRAR'!$A806&lt;&gt;"Resultado total",('FUENTE NO BORRAR'!F806),""))</f>
        <v>5394</v>
      </c>
      <c r="G788" s="6">
        <f>IF('FUENTE NO BORRAR'!G806="","",IF('FUENTE NO BORRAR'!$A806&lt;&gt;"Resultado total",('FUENTE NO BORRAR'!G806),""))</f>
        <v>5394</v>
      </c>
      <c r="H788" s="6">
        <f>IF('FUENTE NO BORRAR'!H806="","",IF('FUENTE NO BORRAR'!$A806&lt;&gt;"Resultado total",('FUENTE NO BORRAR'!H806),""))</f>
        <v>5394</v>
      </c>
      <c r="I788" s="6">
        <f>IF('FUENTE NO BORRAR'!I806="","",IF('FUENTE NO BORRAR'!$A806&lt;&gt;"Resultado total",('FUENTE NO BORRAR'!I806),""))</f>
        <v>0</v>
      </c>
    </row>
    <row r="789" spans="1:9" x14ac:dyDescent="0.2">
      <c r="A789" s="5" t="str">
        <f>IF('FUENTE NO BORRAR'!A807="","",(IF('FUENTE NO BORRAR'!A807&lt;&gt;"Resultado total",'FUENTE NO BORRAR'!A807,"")))</f>
        <v/>
      </c>
      <c r="B789" s="5" t="str">
        <f>IF('FUENTE NO BORRAR'!B807="","",'FUENTE NO BORRAR'!B807)</f>
        <v/>
      </c>
      <c r="C789" s="5" t="str">
        <f>IF('FUENTE NO BORRAR'!C807="","",'FUENTE NO BORRAR'!C807)</f>
        <v/>
      </c>
      <c r="D789" s="5" t="str">
        <f>IF('FUENTE NO BORRAR'!D807="","",'FUENTE NO BORRAR'!D807)</f>
        <v/>
      </c>
      <c r="E789" s="5" t="str">
        <f>IF('FUENTE NO BORRAR'!E807="","",'FUENTE NO BORRAR'!E807)</f>
        <v/>
      </c>
      <c r="F789" s="6">
        <f>IF('FUENTE NO BORRAR'!F807="","",IF('FUENTE NO BORRAR'!$A807&lt;&gt;"Resultado total",('FUENTE NO BORRAR'!F807),""))</f>
        <v>0</v>
      </c>
      <c r="G789" s="6">
        <f>IF('FUENTE NO BORRAR'!G807="","",IF('FUENTE NO BORRAR'!$A807&lt;&gt;"Resultado total",('FUENTE NO BORRAR'!G807),""))</f>
        <v>0</v>
      </c>
      <c r="H789" s="6">
        <f>IF('FUENTE NO BORRAR'!H807="","",IF('FUENTE NO BORRAR'!$A807&lt;&gt;"Resultado total",('FUENTE NO BORRAR'!H807),""))</f>
        <v>0</v>
      </c>
      <c r="I789" s="6">
        <f>IF('FUENTE NO BORRAR'!I807="","",IF('FUENTE NO BORRAR'!$A807&lt;&gt;"Resultado total",('FUENTE NO BORRAR'!I807),""))</f>
        <v>0</v>
      </c>
    </row>
    <row r="790" spans="1:9" x14ac:dyDescent="0.2">
      <c r="A790" s="5" t="str">
        <f>IF('FUENTE NO BORRAR'!A808="","",(IF('FUENTE NO BORRAR'!A808&lt;&gt;"Resultado total",'FUENTE NO BORRAR'!A808,"")))</f>
        <v/>
      </c>
      <c r="B790" s="5" t="str">
        <f>IF('FUENTE NO BORRAR'!B808="","",'FUENTE NO BORRAR'!B808)</f>
        <v/>
      </c>
      <c r="C790" s="5" t="str">
        <f>IF('FUENTE NO BORRAR'!C808="","",'FUENTE NO BORRAR'!C808)</f>
        <v/>
      </c>
      <c r="D790" s="5" t="str">
        <f>IF('FUENTE NO BORRAR'!D808="","",'FUENTE NO BORRAR'!D808)</f>
        <v/>
      </c>
      <c r="E790" s="5" t="str">
        <f>IF('FUENTE NO BORRAR'!E808="","",'FUENTE NO BORRAR'!E808)</f>
        <v/>
      </c>
      <c r="F790" s="6">
        <f>IF('FUENTE NO BORRAR'!F808="","",IF('FUENTE NO BORRAR'!$A808&lt;&gt;"Resultado total",('FUENTE NO BORRAR'!F808),""))</f>
        <v>146599.04000000001</v>
      </c>
      <c r="G790" s="6">
        <f>IF('FUENTE NO BORRAR'!G808="","",IF('FUENTE NO BORRAR'!$A808&lt;&gt;"Resultado total",('FUENTE NO BORRAR'!G808),""))</f>
        <v>146599.04000000001</v>
      </c>
      <c r="H790" s="6">
        <f>IF('FUENTE NO BORRAR'!H808="","",IF('FUENTE NO BORRAR'!$A808&lt;&gt;"Resultado total",('FUENTE NO BORRAR'!H808),""))</f>
        <v>72236.649999999994</v>
      </c>
      <c r="I790" s="6">
        <f>IF('FUENTE NO BORRAR'!I808="","",IF('FUENTE NO BORRAR'!$A808&lt;&gt;"Resultado total",('FUENTE NO BORRAR'!I808),""))</f>
        <v>0</v>
      </c>
    </row>
    <row r="791" spans="1:9" x14ac:dyDescent="0.2">
      <c r="A791" s="5" t="str">
        <f>IF('FUENTE NO BORRAR'!A809="","",(IF('FUENTE NO BORRAR'!A809&lt;&gt;"Resultado total",'FUENTE NO BORRAR'!A809,"")))</f>
        <v/>
      </c>
      <c r="B791" s="5" t="str">
        <f>IF('FUENTE NO BORRAR'!B809="","",'FUENTE NO BORRAR'!B809)</f>
        <v/>
      </c>
      <c r="C791" s="5" t="str">
        <f>IF('FUENTE NO BORRAR'!C809="","",'FUENTE NO BORRAR'!C809)</f>
        <v/>
      </c>
      <c r="D791" s="5" t="str">
        <f>IF('FUENTE NO BORRAR'!D809="","",'FUENTE NO BORRAR'!D809)</f>
        <v/>
      </c>
      <c r="E791" s="5" t="str">
        <f>IF('FUENTE NO BORRAR'!E809="","",'FUENTE NO BORRAR'!E809)</f>
        <v/>
      </c>
      <c r="F791" s="6">
        <f>IF('FUENTE NO BORRAR'!F809="","",IF('FUENTE NO BORRAR'!$A809&lt;&gt;"Resultado total",('FUENTE NO BORRAR'!F809),""))</f>
        <v>1856.46</v>
      </c>
      <c r="G791" s="6">
        <f>IF('FUENTE NO BORRAR'!G809="","",IF('FUENTE NO BORRAR'!$A809&lt;&gt;"Resultado total",('FUENTE NO BORRAR'!G809),""))</f>
        <v>1856.46</v>
      </c>
      <c r="H791" s="6">
        <f>IF('FUENTE NO BORRAR'!H809="","",IF('FUENTE NO BORRAR'!$A809&lt;&gt;"Resultado total",('FUENTE NO BORRAR'!H809),""))</f>
        <v>1856.46</v>
      </c>
      <c r="I791" s="6">
        <f>IF('FUENTE NO BORRAR'!I809="","",IF('FUENTE NO BORRAR'!$A809&lt;&gt;"Resultado total",('FUENTE NO BORRAR'!I809),""))</f>
        <v>0</v>
      </c>
    </row>
    <row r="792" spans="1:9" x14ac:dyDescent="0.2">
      <c r="A792" s="5" t="str">
        <f>IF('FUENTE NO BORRAR'!A810="","",(IF('FUENTE NO BORRAR'!A810&lt;&gt;"Resultado total",'FUENTE NO BORRAR'!A810,"")))</f>
        <v/>
      </c>
      <c r="B792" s="5" t="str">
        <f>IF('FUENTE NO BORRAR'!B810="","",'FUENTE NO BORRAR'!B810)</f>
        <v/>
      </c>
      <c r="C792" s="5" t="str">
        <f>IF('FUENTE NO BORRAR'!C810="","",'FUENTE NO BORRAR'!C810)</f>
        <v/>
      </c>
      <c r="D792" s="5" t="str">
        <f>IF('FUENTE NO BORRAR'!D810="","",'FUENTE NO BORRAR'!D810)</f>
        <v/>
      </c>
      <c r="E792" s="5" t="str">
        <f>IF('FUENTE NO BORRAR'!E810="","",'FUENTE NO BORRAR'!E810)</f>
        <v/>
      </c>
      <c r="F792" s="6">
        <f>IF('FUENTE NO BORRAR'!F810="","",IF('FUENTE NO BORRAR'!$A810&lt;&gt;"Resultado total",('FUENTE NO BORRAR'!F810),""))</f>
        <v>1740</v>
      </c>
      <c r="G792" s="6">
        <f>IF('FUENTE NO BORRAR'!G810="","",IF('FUENTE NO BORRAR'!$A810&lt;&gt;"Resultado total",('FUENTE NO BORRAR'!G810),""))</f>
        <v>1740</v>
      </c>
      <c r="H792" s="6">
        <f>IF('FUENTE NO BORRAR'!H810="","",IF('FUENTE NO BORRAR'!$A810&lt;&gt;"Resultado total",('FUENTE NO BORRAR'!H810),""))</f>
        <v>1740</v>
      </c>
      <c r="I792" s="6">
        <f>IF('FUENTE NO BORRAR'!I810="","",IF('FUENTE NO BORRAR'!$A810&lt;&gt;"Resultado total",('FUENTE NO BORRAR'!I810),""))</f>
        <v>0</v>
      </c>
    </row>
    <row r="793" spans="1:9" x14ac:dyDescent="0.2">
      <c r="A793" s="5" t="str">
        <f>IF('FUENTE NO BORRAR'!A811="","",(IF('FUENTE NO BORRAR'!A811&lt;&gt;"Resultado total",'FUENTE NO BORRAR'!A811,"")))</f>
        <v/>
      </c>
      <c r="B793" s="5" t="str">
        <f>IF('FUENTE NO BORRAR'!B811="","",'FUENTE NO BORRAR'!B811)</f>
        <v/>
      </c>
      <c r="C793" s="5" t="str">
        <f>IF('FUENTE NO BORRAR'!C811="","",'FUENTE NO BORRAR'!C811)</f>
        <v/>
      </c>
      <c r="D793" s="5" t="str">
        <f>IF('FUENTE NO BORRAR'!D811="","",'FUENTE NO BORRAR'!D811)</f>
        <v/>
      </c>
      <c r="E793" s="5" t="str">
        <f>IF('FUENTE NO BORRAR'!E811="","",'FUENTE NO BORRAR'!E811)</f>
        <v/>
      </c>
      <c r="F793" s="6">
        <f>IF('FUENTE NO BORRAR'!F811="","",IF('FUENTE NO BORRAR'!$A811&lt;&gt;"Resultado total",('FUENTE NO BORRAR'!F811),""))</f>
        <v>0</v>
      </c>
      <c r="G793" s="6">
        <f>IF('FUENTE NO BORRAR'!G811="","",IF('FUENTE NO BORRAR'!$A811&lt;&gt;"Resultado total",('FUENTE NO BORRAR'!G811),""))</f>
        <v>0</v>
      </c>
      <c r="H793" s="6">
        <f>IF('FUENTE NO BORRAR'!H811="","",IF('FUENTE NO BORRAR'!$A811&lt;&gt;"Resultado total",('FUENTE NO BORRAR'!H811),""))</f>
        <v>0</v>
      </c>
      <c r="I793" s="6">
        <f>IF('FUENTE NO BORRAR'!I811="","",IF('FUENTE NO BORRAR'!$A811&lt;&gt;"Resultado total",('FUENTE NO BORRAR'!I811),""))</f>
        <v>0</v>
      </c>
    </row>
    <row r="794" spans="1:9" x14ac:dyDescent="0.2">
      <c r="A794" s="5" t="str">
        <f>IF('FUENTE NO BORRAR'!A812="","",(IF('FUENTE NO BORRAR'!A812&lt;&gt;"Resultado total",'FUENTE NO BORRAR'!A812,"")))</f>
        <v/>
      </c>
      <c r="B794" s="5" t="str">
        <f>IF('FUENTE NO BORRAR'!B812="","",'FUENTE NO BORRAR'!B812)</f>
        <v/>
      </c>
      <c r="C794" s="5" t="str">
        <f>IF('FUENTE NO BORRAR'!C812="","",'FUENTE NO BORRAR'!C812)</f>
        <v/>
      </c>
      <c r="D794" s="5" t="str">
        <f>IF('FUENTE NO BORRAR'!D812="","",'FUENTE NO BORRAR'!D812)</f>
        <v/>
      </c>
      <c r="E794" s="5" t="str">
        <f>IF('FUENTE NO BORRAR'!E812="","",'FUENTE NO BORRAR'!E812)</f>
        <v/>
      </c>
      <c r="F794" s="6">
        <f>IF('FUENTE NO BORRAR'!F812="","",IF('FUENTE NO BORRAR'!$A812&lt;&gt;"Resultado total",('FUENTE NO BORRAR'!F812),""))</f>
        <v>659.98</v>
      </c>
      <c r="G794" s="6">
        <f>IF('FUENTE NO BORRAR'!G812="","",IF('FUENTE NO BORRAR'!$A812&lt;&gt;"Resultado total",('FUENTE NO BORRAR'!G812),""))</f>
        <v>659.98</v>
      </c>
      <c r="H794" s="6">
        <f>IF('FUENTE NO BORRAR'!H812="","",IF('FUENTE NO BORRAR'!$A812&lt;&gt;"Resultado total",('FUENTE NO BORRAR'!H812),""))</f>
        <v>659.98</v>
      </c>
      <c r="I794" s="6">
        <f>IF('FUENTE NO BORRAR'!I812="","",IF('FUENTE NO BORRAR'!$A812&lt;&gt;"Resultado total",('FUENTE NO BORRAR'!I812),""))</f>
        <v>0</v>
      </c>
    </row>
    <row r="795" spans="1:9" x14ac:dyDescent="0.2">
      <c r="A795" s="5" t="str">
        <f>IF('FUENTE NO BORRAR'!A813="","",(IF('FUENTE NO BORRAR'!A813&lt;&gt;"Resultado total",'FUENTE NO BORRAR'!A813,"")))</f>
        <v/>
      </c>
      <c r="B795" s="5" t="str">
        <f>IF('FUENTE NO BORRAR'!B813="","",'FUENTE NO BORRAR'!B813)</f>
        <v/>
      </c>
      <c r="C795" s="5" t="str">
        <f>IF('FUENTE NO BORRAR'!C813="","",'FUENTE NO BORRAR'!C813)</f>
        <v/>
      </c>
      <c r="D795" s="5" t="str">
        <f>IF('FUENTE NO BORRAR'!D813="","",'FUENTE NO BORRAR'!D813)</f>
        <v/>
      </c>
      <c r="E795" s="5" t="str">
        <f>IF('FUENTE NO BORRAR'!E813="","",'FUENTE NO BORRAR'!E813)</f>
        <v/>
      </c>
      <c r="F795" s="6">
        <f>IF('FUENTE NO BORRAR'!F813="","",IF('FUENTE NO BORRAR'!$A813&lt;&gt;"Resultado total",('FUENTE NO BORRAR'!F813),""))</f>
        <v>499</v>
      </c>
      <c r="G795" s="6">
        <f>IF('FUENTE NO BORRAR'!G813="","",IF('FUENTE NO BORRAR'!$A813&lt;&gt;"Resultado total",('FUENTE NO BORRAR'!G813),""))</f>
        <v>499</v>
      </c>
      <c r="H795" s="6">
        <f>IF('FUENTE NO BORRAR'!H813="","",IF('FUENTE NO BORRAR'!$A813&lt;&gt;"Resultado total",('FUENTE NO BORRAR'!H813),""))</f>
        <v>499</v>
      </c>
      <c r="I795" s="6">
        <f>IF('FUENTE NO BORRAR'!I813="","",IF('FUENTE NO BORRAR'!$A813&lt;&gt;"Resultado total",('FUENTE NO BORRAR'!I813),""))</f>
        <v>0</v>
      </c>
    </row>
    <row r="796" spans="1:9" x14ac:dyDescent="0.2">
      <c r="A796" s="5" t="str">
        <f>IF('FUENTE NO BORRAR'!A814="","",(IF('FUENTE NO BORRAR'!A814&lt;&gt;"Resultado total",'FUENTE NO BORRAR'!A814,"")))</f>
        <v/>
      </c>
      <c r="B796" s="5" t="str">
        <f>IF('FUENTE NO BORRAR'!B814="","",'FUENTE NO BORRAR'!B814)</f>
        <v/>
      </c>
      <c r="C796" s="5" t="str">
        <f>IF('FUENTE NO BORRAR'!C814="","",'FUENTE NO BORRAR'!C814)</f>
        <v/>
      </c>
      <c r="D796" s="5" t="str">
        <f>IF('FUENTE NO BORRAR'!D814="","",'FUENTE NO BORRAR'!D814)</f>
        <v/>
      </c>
      <c r="E796" s="5" t="str">
        <f>IF('FUENTE NO BORRAR'!E814="","",'FUENTE NO BORRAR'!E814)</f>
        <v/>
      </c>
      <c r="F796" s="6">
        <f>IF('FUENTE NO BORRAR'!F814="","",IF('FUENTE NO BORRAR'!$A814&lt;&gt;"Resultado total",('FUENTE NO BORRAR'!F814),""))</f>
        <v>1400</v>
      </c>
      <c r="G796" s="6">
        <f>IF('FUENTE NO BORRAR'!G814="","",IF('FUENTE NO BORRAR'!$A814&lt;&gt;"Resultado total",('FUENTE NO BORRAR'!G814),""))</f>
        <v>1400</v>
      </c>
      <c r="H796" s="6">
        <f>IF('FUENTE NO BORRAR'!H814="","",IF('FUENTE NO BORRAR'!$A814&lt;&gt;"Resultado total",('FUENTE NO BORRAR'!H814),""))</f>
        <v>1400</v>
      </c>
      <c r="I796" s="6">
        <f>IF('FUENTE NO BORRAR'!I814="","",IF('FUENTE NO BORRAR'!$A814&lt;&gt;"Resultado total",('FUENTE NO BORRAR'!I814),""))</f>
        <v>0</v>
      </c>
    </row>
    <row r="797" spans="1:9" x14ac:dyDescent="0.2">
      <c r="A797" s="5" t="str">
        <f>IF('FUENTE NO BORRAR'!A815="","",(IF('FUENTE NO BORRAR'!A815&lt;&gt;"Resultado total",'FUENTE NO BORRAR'!A815,"")))</f>
        <v/>
      </c>
      <c r="B797" s="5" t="str">
        <f>IF('FUENTE NO BORRAR'!B815="","",'FUENTE NO BORRAR'!B815)</f>
        <v/>
      </c>
      <c r="C797" s="5" t="str">
        <f>IF('FUENTE NO BORRAR'!C815="","",'FUENTE NO BORRAR'!C815)</f>
        <v/>
      </c>
      <c r="D797" s="5" t="str">
        <f>IF('FUENTE NO BORRAR'!D815="","",'FUENTE NO BORRAR'!D815)</f>
        <v/>
      </c>
      <c r="E797" s="5" t="str">
        <f>IF('FUENTE NO BORRAR'!E815="","",'FUENTE NO BORRAR'!E815)</f>
        <v/>
      </c>
      <c r="F797" s="6">
        <f>IF('FUENTE NO BORRAR'!F815="","",IF('FUENTE NO BORRAR'!$A815&lt;&gt;"Resultado total",('FUENTE NO BORRAR'!F815),""))</f>
        <v>759</v>
      </c>
      <c r="G797" s="6">
        <f>IF('FUENTE NO BORRAR'!G815="","",IF('FUENTE NO BORRAR'!$A815&lt;&gt;"Resultado total",('FUENTE NO BORRAR'!G815),""))</f>
        <v>759</v>
      </c>
      <c r="H797" s="6">
        <f>IF('FUENTE NO BORRAR'!H815="","",IF('FUENTE NO BORRAR'!$A815&lt;&gt;"Resultado total",('FUENTE NO BORRAR'!H815),""))</f>
        <v>759</v>
      </c>
      <c r="I797" s="6">
        <f>IF('FUENTE NO BORRAR'!I815="","",IF('FUENTE NO BORRAR'!$A815&lt;&gt;"Resultado total",('FUENTE NO BORRAR'!I815),""))</f>
        <v>0</v>
      </c>
    </row>
    <row r="798" spans="1:9" x14ac:dyDescent="0.2">
      <c r="A798" s="5" t="str">
        <f>IF('FUENTE NO BORRAR'!A816="","",(IF('FUENTE NO BORRAR'!A816&lt;&gt;"Resultado total",'FUENTE NO BORRAR'!A816,"")))</f>
        <v/>
      </c>
      <c r="B798" s="5" t="str">
        <f>IF('FUENTE NO BORRAR'!B816="","",'FUENTE NO BORRAR'!B816)</f>
        <v/>
      </c>
      <c r="C798" s="5" t="str">
        <f>IF('FUENTE NO BORRAR'!C816="","",'FUENTE NO BORRAR'!C816)</f>
        <v/>
      </c>
      <c r="D798" s="5" t="str">
        <f>IF('FUENTE NO BORRAR'!D816="","",'FUENTE NO BORRAR'!D816)</f>
        <v/>
      </c>
      <c r="E798" s="5" t="str">
        <f>IF('FUENTE NO BORRAR'!E816="","",'FUENTE NO BORRAR'!E816)</f>
        <v/>
      </c>
      <c r="F798" s="6">
        <f>IF('FUENTE NO BORRAR'!F816="","",IF('FUENTE NO BORRAR'!$A816&lt;&gt;"Resultado total",('FUENTE NO BORRAR'!F816),""))</f>
        <v>29548</v>
      </c>
      <c r="G798" s="6">
        <f>IF('FUENTE NO BORRAR'!G816="","",IF('FUENTE NO BORRAR'!$A816&lt;&gt;"Resultado total",('FUENTE NO BORRAR'!G816),""))</f>
        <v>29548</v>
      </c>
      <c r="H798" s="6">
        <f>IF('FUENTE NO BORRAR'!H816="","",IF('FUENTE NO BORRAR'!$A816&lt;&gt;"Resultado total",('FUENTE NO BORRAR'!H816),""))</f>
        <v>29548</v>
      </c>
      <c r="I798" s="6">
        <f>IF('FUENTE NO BORRAR'!I816="","",IF('FUENTE NO BORRAR'!$A816&lt;&gt;"Resultado total",('FUENTE NO BORRAR'!I816),""))</f>
        <v>0</v>
      </c>
    </row>
    <row r="799" spans="1:9" x14ac:dyDescent="0.2">
      <c r="A799" s="5" t="str">
        <f>IF('FUENTE NO BORRAR'!A817="","",(IF('FUENTE NO BORRAR'!A817&lt;&gt;"Resultado total",'FUENTE NO BORRAR'!A817,"")))</f>
        <v/>
      </c>
      <c r="B799" s="5" t="str">
        <f>IF('FUENTE NO BORRAR'!B817="","",'FUENTE NO BORRAR'!B817)</f>
        <v/>
      </c>
      <c r="C799" s="5" t="str">
        <f>IF('FUENTE NO BORRAR'!C817="","",'FUENTE NO BORRAR'!C817)</f>
        <v/>
      </c>
      <c r="D799" s="5" t="str">
        <f>IF('FUENTE NO BORRAR'!D817="","",'FUENTE NO BORRAR'!D817)</f>
        <v/>
      </c>
      <c r="E799" s="5" t="str">
        <f>IF('FUENTE NO BORRAR'!E817="","",'FUENTE NO BORRAR'!E817)</f>
        <v/>
      </c>
      <c r="F799" s="6">
        <f>IF('FUENTE NO BORRAR'!F817="","",IF('FUENTE NO BORRAR'!$A817&lt;&gt;"Resultado total",('FUENTE NO BORRAR'!F817),""))</f>
        <v>91325.08</v>
      </c>
      <c r="G799" s="6">
        <f>IF('FUENTE NO BORRAR'!G817="","",IF('FUENTE NO BORRAR'!$A817&lt;&gt;"Resultado total",('FUENTE NO BORRAR'!G817),""))</f>
        <v>91325.08</v>
      </c>
      <c r="H799" s="6">
        <f>IF('FUENTE NO BORRAR'!H817="","",IF('FUENTE NO BORRAR'!$A817&lt;&gt;"Resultado total",('FUENTE NO BORRAR'!H817),""))</f>
        <v>68364.91</v>
      </c>
      <c r="I799" s="6">
        <f>IF('FUENTE NO BORRAR'!I817="","",IF('FUENTE NO BORRAR'!$A817&lt;&gt;"Resultado total",('FUENTE NO BORRAR'!I817),""))</f>
        <v>0</v>
      </c>
    </row>
    <row r="800" spans="1:9" x14ac:dyDescent="0.2">
      <c r="A800" s="5" t="str">
        <f>IF('FUENTE NO BORRAR'!A818="","",(IF('FUENTE NO BORRAR'!A818&lt;&gt;"Resultado total",'FUENTE NO BORRAR'!A818,"")))</f>
        <v/>
      </c>
      <c r="B800" s="5" t="str">
        <f>IF('FUENTE NO BORRAR'!B818="","",'FUENTE NO BORRAR'!B818)</f>
        <v/>
      </c>
      <c r="C800" s="5" t="str">
        <f>IF('FUENTE NO BORRAR'!C818="","",'FUENTE NO BORRAR'!C818)</f>
        <v/>
      </c>
      <c r="D800" s="5" t="str">
        <f>IF('FUENTE NO BORRAR'!D818="","",'FUENTE NO BORRAR'!D818)</f>
        <v/>
      </c>
      <c r="E800" s="5" t="str">
        <f>IF('FUENTE NO BORRAR'!E818="","",'FUENTE NO BORRAR'!E818)</f>
        <v/>
      </c>
      <c r="F800" s="6">
        <f>IF('FUENTE NO BORRAR'!F818="","",IF('FUENTE NO BORRAR'!$A818&lt;&gt;"Resultado total",('FUENTE NO BORRAR'!F818),""))</f>
        <v>182816</v>
      </c>
      <c r="G800" s="6">
        <f>IF('FUENTE NO BORRAR'!G818="","",IF('FUENTE NO BORRAR'!$A818&lt;&gt;"Resultado total",('FUENTE NO BORRAR'!G818),""))</f>
        <v>182816</v>
      </c>
      <c r="H800" s="6">
        <f>IF('FUENTE NO BORRAR'!H818="","",IF('FUENTE NO BORRAR'!$A818&lt;&gt;"Resultado total",('FUENTE NO BORRAR'!H818),""))</f>
        <v>182816</v>
      </c>
      <c r="I800" s="6">
        <f>IF('FUENTE NO BORRAR'!I818="","",IF('FUENTE NO BORRAR'!$A818&lt;&gt;"Resultado total",('FUENTE NO BORRAR'!I818),""))</f>
        <v>0</v>
      </c>
    </row>
    <row r="801" spans="1:9" x14ac:dyDescent="0.2">
      <c r="A801" s="5" t="str">
        <f>IF('FUENTE NO BORRAR'!A819="","",(IF('FUENTE NO BORRAR'!A819&lt;&gt;"Resultado total",'FUENTE NO BORRAR'!A819,"")))</f>
        <v/>
      </c>
      <c r="B801" s="5" t="str">
        <f>IF('FUENTE NO BORRAR'!B819="","",'FUENTE NO BORRAR'!B819)</f>
        <v/>
      </c>
      <c r="C801" s="5" t="str">
        <f>IF('FUENTE NO BORRAR'!C819="","",'FUENTE NO BORRAR'!C819)</f>
        <v/>
      </c>
      <c r="D801" s="5" t="str">
        <f>IF('FUENTE NO BORRAR'!D819="","",'FUENTE NO BORRAR'!D819)</f>
        <v/>
      </c>
      <c r="E801" s="5" t="str">
        <f>IF('FUENTE NO BORRAR'!E819="","",'FUENTE NO BORRAR'!E819)</f>
        <v/>
      </c>
      <c r="F801" s="6">
        <f>IF('FUENTE NO BORRAR'!F819="","",IF('FUENTE NO BORRAR'!$A819&lt;&gt;"Resultado total",('FUENTE NO BORRAR'!F819),""))</f>
        <v>92744.57</v>
      </c>
      <c r="G801" s="6">
        <f>IF('FUENTE NO BORRAR'!G819="","",IF('FUENTE NO BORRAR'!$A819&lt;&gt;"Resultado total",('FUENTE NO BORRAR'!G819),""))</f>
        <v>92744.57</v>
      </c>
      <c r="H801" s="6">
        <f>IF('FUENTE NO BORRAR'!H819="","",IF('FUENTE NO BORRAR'!$A819&lt;&gt;"Resultado total",('FUENTE NO BORRAR'!H819),""))</f>
        <v>80113.19</v>
      </c>
      <c r="I801" s="6">
        <f>IF('FUENTE NO BORRAR'!I819="","",IF('FUENTE NO BORRAR'!$A819&lt;&gt;"Resultado total",('FUENTE NO BORRAR'!I819),""))</f>
        <v>0</v>
      </c>
    </row>
    <row r="802" spans="1:9" x14ac:dyDescent="0.2">
      <c r="A802" s="5" t="str">
        <f>IF('FUENTE NO BORRAR'!A820="","",(IF('FUENTE NO BORRAR'!A820&lt;&gt;"Resultado total",'FUENTE NO BORRAR'!A820,"")))</f>
        <v/>
      </c>
      <c r="B802" s="5" t="str">
        <f>IF('FUENTE NO BORRAR'!B820="","",'FUENTE NO BORRAR'!B820)</f>
        <v/>
      </c>
      <c r="C802" s="5" t="str">
        <f>IF('FUENTE NO BORRAR'!C820="","",'FUENTE NO BORRAR'!C820)</f>
        <v/>
      </c>
      <c r="D802" s="5" t="str">
        <f>IF('FUENTE NO BORRAR'!D820="","",'FUENTE NO BORRAR'!D820)</f>
        <v/>
      </c>
      <c r="E802" s="5" t="str">
        <f>IF('FUENTE NO BORRAR'!E820="","",'FUENTE NO BORRAR'!E820)</f>
        <v/>
      </c>
      <c r="F802" s="6">
        <f>IF('FUENTE NO BORRAR'!F820="","",IF('FUENTE NO BORRAR'!$A820&lt;&gt;"Resultado total",('FUENTE NO BORRAR'!F820),""))</f>
        <v>1554.99</v>
      </c>
      <c r="G802" s="6">
        <f>IF('FUENTE NO BORRAR'!G820="","",IF('FUENTE NO BORRAR'!$A820&lt;&gt;"Resultado total",('FUENTE NO BORRAR'!G820),""))</f>
        <v>1554.99</v>
      </c>
      <c r="H802" s="6">
        <f>IF('FUENTE NO BORRAR'!H820="","",IF('FUENTE NO BORRAR'!$A820&lt;&gt;"Resultado total",('FUENTE NO BORRAR'!H820),""))</f>
        <v>1554.99</v>
      </c>
      <c r="I802" s="6">
        <f>IF('FUENTE NO BORRAR'!I820="","",IF('FUENTE NO BORRAR'!$A820&lt;&gt;"Resultado total",('FUENTE NO BORRAR'!I820),""))</f>
        <v>0</v>
      </c>
    </row>
    <row r="803" spans="1:9" x14ac:dyDescent="0.2">
      <c r="A803" s="5" t="str">
        <f>IF('FUENTE NO BORRAR'!A821="","",(IF('FUENTE NO BORRAR'!A821&lt;&gt;"Resultado total",'FUENTE NO BORRAR'!A821,"")))</f>
        <v/>
      </c>
      <c r="B803" s="5" t="str">
        <f>IF('FUENTE NO BORRAR'!B821="","",'FUENTE NO BORRAR'!B821)</f>
        <v/>
      </c>
      <c r="C803" s="5" t="str">
        <f>IF('FUENTE NO BORRAR'!C821="","",'FUENTE NO BORRAR'!C821)</f>
        <v/>
      </c>
      <c r="D803" s="5" t="str">
        <f>IF('FUENTE NO BORRAR'!D821="","",'FUENTE NO BORRAR'!D821)</f>
        <v/>
      </c>
      <c r="E803" s="5" t="str">
        <f>IF('FUENTE NO BORRAR'!E821="","",'FUENTE NO BORRAR'!E821)</f>
        <v/>
      </c>
      <c r="F803" s="6">
        <f>IF('FUENTE NO BORRAR'!F821="","",IF('FUENTE NO BORRAR'!$A821&lt;&gt;"Resultado total",('FUENTE NO BORRAR'!F821),""))</f>
        <v>11310</v>
      </c>
      <c r="G803" s="6">
        <f>IF('FUENTE NO BORRAR'!G821="","",IF('FUENTE NO BORRAR'!$A821&lt;&gt;"Resultado total",('FUENTE NO BORRAR'!G821),""))</f>
        <v>11310</v>
      </c>
      <c r="H803" s="6">
        <f>IF('FUENTE NO BORRAR'!H821="","",IF('FUENTE NO BORRAR'!$A821&lt;&gt;"Resultado total",('FUENTE NO BORRAR'!H821),""))</f>
        <v>11310</v>
      </c>
      <c r="I803" s="6">
        <f>IF('FUENTE NO BORRAR'!I821="","",IF('FUENTE NO BORRAR'!$A821&lt;&gt;"Resultado total",('FUENTE NO BORRAR'!I821),""))</f>
        <v>0</v>
      </c>
    </row>
    <row r="804" spans="1:9" x14ac:dyDescent="0.2">
      <c r="A804" s="5" t="str">
        <f>IF('FUENTE NO BORRAR'!A822="","",(IF('FUENTE NO BORRAR'!A822&lt;&gt;"Resultado total",'FUENTE NO BORRAR'!A822,"")))</f>
        <v/>
      </c>
      <c r="B804" s="5" t="str">
        <f>IF('FUENTE NO BORRAR'!B822="","",'FUENTE NO BORRAR'!B822)</f>
        <v/>
      </c>
      <c r="C804" s="5" t="str">
        <f>IF('FUENTE NO BORRAR'!C822="","",'FUENTE NO BORRAR'!C822)</f>
        <v/>
      </c>
      <c r="D804" s="5" t="str">
        <f>IF('FUENTE NO BORRAR'!D822="","",'FUENTE NO BORRAR'!D822)</f>
        <v/>
      </c>
      <c r="E804" s="5" t="str">
        <f>IF('FUENTE NO BORRAR'!E822="","",'FUENTE NO BORRAR'!E822)</f>
        <v/>
      </c>
      <c r="F804" s="6">
        <f>IF('FUENTE NO BORRAR'!F822="","",IF('FUENTE NO BORRAR'!$A822&lt;&gt;"Resultado total",('FUENTE NO BORRAR'!F822),""))</f>
        <v>7540</v>
      </c>
      <c r="G804" s="6">
        <f>IF('FUENTE NO BORRAR'!G822="","",IF('FUENTE NO BORRAR'!$A822&lt;&gt;"Resultado total",('FUENTE NO BORRAR'!G822),""))</f>
        <v>7540</v>
      </c>
      <c r="H804" s="6">
        <f>IF('FUENTE NO BORRAR'!H822="","",IF('FUENTE NO BORRAR'!$A822&lt;&gt;"Resultado total",('FUENTE NO BORRAR'!H822),""))</f>
        <v>7540</v>
      </c>
      <c r="I804" s="6">
        <f>IF('FUENTE NO BORRAR'!I822="","",IF('FUENTE NO BORRAR'!$A822&lt;&gt;"Resultado total",('FUENTE NO BORRAR'!I822),""))</f>
        <v>0</v>
      </c>
    </row>
    <row r="805" spans="1:9" x14ac:dyDescent="0.2">
      <c r="A805" s="5" t="str">
        <f>IF('FUENTE NO BORRAR'!A823="","",(IF('FUENTE NO BORRAR'!A823&lt;&gt;"Resultado total",'FUENTE NO BORRAR'!A823,"")))</f>
        <v/>
      </c>
      <c r="B805" s="5" t="str">
        <f>IF('FUENTE NO BORRAR'!B823="","",'FUENTE NO BORRAR'!B823)</f>
        <v/>
      </c>
      <c r="C805" s="5" t="str">
        <f>IF('FUENTE NO BORRAR'!C823="","",'FUENTE NO BORRAR'!C823)</f>
        <v/>
      </c>
      <c r="D805" s="5" t="str">
        <f>IF('FUENTE NO BORRAR'!D823="","",'FUENTE NO BORRAR'!D823)</f>
        <v/>
      </c>
      <c r="E805" s="5" t="str">
        <f>IF('FUENTE NO BORRAR'!E823="","",'FUENTE NO BORRAR'!E823)</f>
        <v/>
      </c>
      <c r="F805" s="6">
        <f>IF('FUENTE NO BORRAR'!F823="","",IF('FUENTE NO BORRAR'!$A823&lt;&gt;"Resultado total",('FUENTE NO BORRAR'!F823),""))</f>
        <v>14594</v>
      </c>
      <c r="G805" s="6">
        <f>IF('FUENTE NO BORRAR'!G823="","",IF('FUENTE NO BORRAR'!$A823&lt;&gt;"Resultado total",('FUENTE NO BORRAR'!G823),""))</f>
        <v>14594</v>
      </c>
      <c r="H805" s="6">
        <f>IF('FUENTE NO BORRAR'!H823="","",IF('FUENTE NO BORRAR'!$A823&lt;&gt;"Resultado total",('FUENTE NO BORRAR'!H823),""))</f>
        <v>14594</v>
      </c>
      <c r="I805" s="6">
        <f>IF('FUENTE NO BORRAR'!I823="","",IF('FUENTE NO BORRAR'!$A823&lt;&gt;"Resultado total",('FUENTE NO BORRAR'!I823),""))</f>
        <v>0</v>
      </c>
    </row>
    <row r="806" spans="1:9" x14ac:dyDescent="0.2">
      <c r="A806" s="5" t="str">
        <f>IF('FUENTE NO BORRAR'!A824="","",(IF('FUENTE NO BORRAR'!A824&lt;&gt;"Resultado total",'FUENTE NO BORRAR'!A824,"")))</f>
        <v/>
      </c>
      <c r="B806" s="5" t="str">
        <f>IF('FUENTE NO BORRAR'!B824="","",'FUENTE NO BORRAR'!B824)</f>
        <v/>
      </c>
      <c r="C806" s="5" t="str">
        <f>IF('FUENTE NO BORRAR'!C824="","",'FUENTE NO BORRAR'!C824)</f>
        <v/>
      </c>
      <c r="D806" s="5" t="str">
        <f>IF('FUENTE NO BORRAR'!D824="","",'FUENTE NO BORRAR'!D824)</f>
        <v/>
      </c>
      <c r="E806" s="5" t="str">
        <f>IF('FUENTE NO BORRAR'!E824="","",'FUENTE NO BORRAR'!E824)</f>
        <v/>
      </c>
      <c r="F806" s="6">
        <f>IF('FUENTE NO BORRAR'!F824="","",IF('FUENTE NO BORRAR'!$A824&lt;&gt;"Resultado total",('FUENTE NO BORRAR'!F824),""))</f>
        <v>24000</v>
      </c>
      <c r="G806" s="6">
        <f>IF('FUENTE NO BORRAR'!G824="","",IF('FUENTE NO BORRAR'!$A824&lt;&gt;"Resultado total",('FUENTE NO BORRAR'!G824),""))</f>
        <v>24000</v>
      </c>
      <c r="H806" s="6">
        <f>IF('FUENTE NO BORRAR'!H824="","",IF('FUENTE NO BORRAR'!$A824&lt;&gt;"Resultado total",('FUENTE NO BORRAR'!H824),""))</f>
        <v>24000</v>
      </c>
      <c r="I806" s="6">
        <f>IF('FUENTE NO BORRAR'!I824="","",IF('FUENTE NO BORRAR'!$A824&lt;&gt;"Resultado total",('FUENTE NO BORRAR'!I824),""))</f>
        <v>0</v>
      </c>
    </row>
    <row r="807" spans="1:9" x14ac:dyDescent="0.2">
      <c r="A807" s="5" t="str">
        <f>IF('FUENTE NO BORRAR'!A825="","",(IF('FUENTE NO BORRAR'!A825&lt;&gt;"Resultado total",'FUENTE NO BORRAR'!A825,"")))</f>
        <v/>
      </c>
      <c r="B807" s="5" t="str">
        <f>IF('FUENTE NO BORRAR'!B825="","",'FUENTE NO BORRAR'!B825)</f>
        <v/>
      </c>
      <c r="C807" s="5" t="str">
        <f>IF('FUENTE NO BORRAR'!C825="","",'FUENTE NO BORRAR'!C825)</f>
        <v/>
      </c>
      <c r="D807" s="5" t="str">
        <f>IF('FUENTE NO BORRAR'!D825="","",'FUENTE NO BORRAR'!D825)</f>
        <v/>
      </c>
      <c r="E807" s="5" t="str">
        <f>IF('FUENTE NO BORRAR'!E825="","",'FUENTE NO BORRAR'!E825)</f>
        <v/>
      </c>
      <c r="F807" s="6">
        <f>IF('FUENTE NO BORRAR'!F825="","",IF('FUENTE NO BORRAR'!$A825&lt;&gt;"Resultado total",('FUENTE NO BORRAR'!F825),""))</f>
        <v>2320</v>
      </c>
      <c r="G807" s="6">
        <f>IF('FUENTE NO BORRAR'!G825="","",IF('FUENTE NO BORRAR'!$A825&lt;&gt;"Resultado total",('FUENTE NO BORRAR'!G825),""))</f>
        <v>2320</v>
      </c>
      <c r="H807" s="6">
        <f>IF('FUENTE NO BORRAR'!H825="","",IF('FUENTE NO BORRAR'!$A825&lt;&gt;"Resultado total",('FUENTE NO BORRAR'!H825),""))</f>
        <v>2320</v>
      </c>
      <c r="I807" s="6">
        <f>IF('FUENTE NO BORRAR'!I825="","",IF('FUENTE NO BORRAR'!$A825&lt;&gt;"Resultado total",('FUENTE NO BORRAR'!I825),""))</f>
        <v>0</v>
      </c>
    </row>
    <row r="808" spans="1:9" x14ac:dyDescent="0.2">
      <c r="A808" s="5" t="str">
        <f>IF('FUENTE NO BORRAR'!A826="","",(IF('FUENTE NO BORRAR'!A826&lt;&gt;"Resultado total",'FUENTE NO BORRAR'!A826,"")))</f>
        <v/>
      </c>
      <c r="B808" s="5" t="str">
        <f>IF('FUENTE NO BORRAR'!B826="","",'FUENTE NO BORRAR'!B826)</f>
        <v/>
      </c>
      <c r="C808" s="5" t="str">
        <f>IF('FUENTE NO BORRAR'!C826="","",'FUENTE NO BORRAR'!C826)</f>
        <v/>
      </c>
      <c r="D808" s="5" t="str">
        <f>IF('FUENTE NO BORRAR'!D826="","",'FUENTE NO BORRAR'!D826)</f>
        <v/>
      </c>
      <c r="E808" s="5" t="str">
        <f>IF('FUENTE NO BORRAR'!E826="","",'FUENTE NO BORRAR'!E826)</f>
        <v/>
      </c>
      <c r="F808" s="6">
        <f>IF('FUENTE NO BORRAR'!F826="","",IF('FUENTE NO BORRAR'!$A826&lt;&gt;"Resultado total",('FUENTE NO BORRAR'!F826),""))</f>
        <v>0</v>
      </c>
      <c r="G808" s="6">
        <f>IF('FUENTE NO BORRAR'!G826="","",IF('FUENTE NO BORRAR'!$A826&lt;&gt;"Resultado total",('FUENTE NO BORRAR'!G826),""))</f>
        <v>0</v>
      </c>
      <c r="H808" s="6">
        <f>IF('FUENTE NO BORRAR'!H826="","",IF('FUENTE NO BORRAR'!$A826&lt;&gt;"Resultado total",('FUENTE NO BORRAR'!H826),""))</f>
        <v>0</v>
      </c>
      <c r="I808" s="6">
        <f>IF('FUENTE NO BORRAR'!I826="","",IF('FUENTE NO BORRAR'!$A826&lt;&gt;"Resultado total",('FUENTE NO BORRAR'!I826),""))</f>
        <v>0</v>
      </c>
    </row>
    <row r="809" spans="1:9" x14ac:dyDescent="0.2">
      <c r="A809" s="5" t="str">
        <f>IF('FUENTE NO BORRAR'!A827="","",(IF('FUENTE NO BORRAR'!A827&lt;&gt;"Resultado total",'FUENTE NO BORRAR'!A827,"")))</f>
        <v/>
      </c>
      <c r="B809" s="5" t="str">
        <f>IF('FUENTE NO BORRAR'!B827="","",'FUENTE NO BORRAR'!B827)</f>
        <v/>
      </c>
      <c r="C809" s="5" t="str">
        <f>IF('FUENTE NO BORRAR'!C827="","",'FUENTE NO BORRAR'!C827)</f>
        <v/>
      </c>
      <c r="D809" s="5" t="str">
        <f>IF('FUENTE NO BORRAR'!D827="","",'FUENTE NO BORRAR'!D827)</f>
        <v/>
      </c>
      <c r="E809" s="5" t="str">
        <f>IF('FUENTE NO BORRAR'!E827="","",'FUENTE NO BORRAR'!E827)</f>
        <v/>
      </c>
      <c r="F809" s="6">
        <f>IF('FUENTE NO BORRAR'!F827="","",IF('FUENTE NO BORRAR'!$A827&lt;&gt;"Resultado total",('FUENTE NO BORRAR'!F827),""))</f>
        <v>5085892.08</v>
      </c>
      <c r="G809" s="6">
        <f>IF('FUENTE NO BORRAR'!G827="","",IF('FUENTE NO BORRAR'!$A827&lt;&gt;"Resultado total",('FUENTE NO BORRAR'!G827),""))</f>
        <v>5085892.08</v>
      </c>
      <c r="H809" s="6">
        <f>IF('FUENTE NO BORRAR'!H827="","",IF('FUENTE NO BORRAR'!$A827&lt;&gt;"Resultado total",('FUENTE NO BORRAR'!H827),""))</f>
        <v>5085892.08</v>
      </c>
      <c r="I809" s="6">
        <f>IF('FUENTE NO BORRAR'!I827="","",IF('FUENTE NO BORRAR'!$A827&lt;&gt;"Resultado total",('FUENTE NO BORRAR'!I827),""))</f>
        <v>0</v>
      </c>
    </row>
    <row r="810" spans="1:9" x14ac:dyDescent="0.2">
      <c r="A810" s="5" t="str">
        <f>IF('FUENTE NO BORRAR'!A828="","",(IF('FUENTE NO BORRAR'!A828&lt;&gt;"Resultado total",'FUENTE NO BORRAR'!A828,"")))</f>
        <v/>
      </c>
      <c r="B810" s="5" t="str">
        <f>IF('FUENTE NO BORRAR'!B828="","",'FUENTE NO BORRAR'!B828)</f>
        <v/>
      </c>
      <c r="C810" s="5" t="str">
        <f>IF('FUENTE NO BORRAR'!C828="","",'FUENTE NO BORRAR'!C828)</f>
        <v>17021031E103</v>
      </c>
      <c r="D810" s="5" t="str">
        <f>IF('FUENTE NO BORRAR'!D828="","",'FUENTE NO BORRAR'!D828)</f>
        <v>17021031E103</v>
      </c>
      <c r="E810" s="5" t="str">
        <f>IF('FUENTE NO BORRAR'!E828="","",'FUENTE NO BORRAR'!E828)</f>
        <v/>
      </c>
      <c r="F810" s="6">
        <f>IF('FUENTE NO BORRAR'!F828="","",IF('FUENTE NO BORRAR'!$A828&lt;&gt;"Resultado total",('FUENTE NO BORRAR'!F828),""))</f>
        <v>182971.08</v>
      </c>
      <c r="G810" s="6">
        <f>IF('FUENTE NO BORRAR'!G828="","",IF('FUENTE NO BORRAR'!$A828&lt;&gt;"Resultado total",('FUENTE NO BORRAR'!G828),""))</f>
        <v>182971.08</v>
      </c>
      <c r="H810" s="6">
        <f>IF('FUENTE NO BORRAR'!H828="","",IF('FUENTE NO BORRAR'!$A828&lt;&gt;"Resultado total",('FUENTE NO BORRAR'!H828),""))</f>
        <v>182971.08</v>
      </c>
      <c r="I810" s="6">
        <f>IF('FUENTE NO BORRAR'!I828="","",IF('FUENTE NO BORRAR'!$A828&lt;&gt;"Resultado total",('FUENTE NO BORRAR'!I828),""))</f>
        <v>0</v>
      </c>
    </row>
    <row r="811" spans="1:9" x14ac:dyDescent="0.2">
      <c r="A811" s="5" t="str">
        <f>IF('FUENTE NO BORRAR'!A829="","",(IF('FUENTE NO BORRAR'!A829&lt;&gt;"Resultado total",'FUENTE NO BORRAR'!A829,"")))</f>
        <v/>
      </c>
      <c r="B811" s="5" t="str">
        <f>IF('FUENTE NO BORRAR'!B829="","",'FUENTE NO BORRAR'!B829)</f>
        <v/>
      </c>
      <c r="C811" s="5" t="str">
        <f>IF('FUENTE NO BORRAR'!C829="","",'FUENTE NO BORRAR'!C829)</f>
        <v/>
      </c>
      <c r="D811" s="5" t="str">
        <f>IF('FUENTE NO BORRAR'!D829="","",'FUENTE NO BORRAR'!D829)</f>
        <v/>
      </c>
      <c r="E811" s="5" t="str">
        <f>IF('FUENTE NO BORRAR'!E829="","",'FUENTE NO BORRAR'!E829)</f>
        <v/>
      </c>
      <c r="F811" s="6">
        <f>IF('FUENTE NO BORRAR'!F829="","",IF('FUENTE NO BORRAR'!$A829&lt;&gt;"Resultado total",('FUENTE NO BORRAR'!F829),""))</f>
        <v>65791.960000000006</v>
      </c>
      <c r="G811" s="6">
        <f>IF('FUENTE NO BORRAR'!G829="","",IF('FUENTE NO BORRAR'!$A829&lt;&gt;"Resultado total",('FUENTE NO BORRAR'!G829),""))</f>
        <v>65791.960000000006</v>
      </c>
      <c r="H811" s="6">
        <f>IF('FUENTE NO BORRAR'!H829="","",IF('FUENTE NO BORRAR'!$A829&lt;&gt;"Resultado total",('FUENTE NO BORRAR'!H829),""))</f>
        <v>65791.960000000006</v>
      </c>
      <c r="I811" s="6">
        <f>IF('FUENTE NO BORRAR'!I829="","",IF('FUENTE NO BORRAR'!$A829&lt;&gt;"Resultado total",('FUENTE NO BORRAR'!I829),""))</f>
        <v>0</v>
      </c>
    </row>
    <row r="812" spans="1:9" x14ac:dyDescent="0.2">
      <c r="A812" s="5" t="str">
        <f>IF('FUENTE NO BORRAR'!A830="","",(IF('FUENTE NO BORRAR'!A830&lt;&gt;"Resultado total",'FUENTE NO BORRAR'!A830,"")))</f>
        <v/>
      </c>
      <c r="B812" s="5" t="str">
        <f>IF('FUENTE NO BORRAR'!B830="","",'FUENTE NO BORRAR'!B830)</f>
        <v/>
      </c>
      <c r="C812" s="5" t="str">
        <f>IF('FUENTE NO BORRAR'!C830="","",'FUENTE NO BORRAR'!C830)</f>
        <v/>
      </c>
      <c r="D812" s="5" t="str">
        <f>IF('FUENTE NO BORRAR'!D830="","",'FUENTE NO BORRAR'!D830)</f>
        <v/>
      </c>
      <c r="E812" s="5" t="str">
        <f>IF('FUENTE NO BORRAR'!E830="","",'FUENTE NO BORRAR'!E830)</f>
        <v/>
      </c>
      <c r="F812" s="6">
        <f>IF('FUENTE NO BORRAR'!F830="","",IF('FUENTE NO BORRAR'!$A830&lt;&gt;"Resultado total",('FUENTE NO BORRAR'!F830),""))</f>
        <v>288300.09999999998</v>
      </c>
      <c r="G812" s="6">
        <f>IF('FUENTE NO BORRAR'!G830="","",IF('FUENTE NO BORRAR'!$A830&lt;&gt;"Resultado total",('FUENTE NO BORRAR'!G830),""))</f>
        <v>288300.09999999998</v>
      </c>
      <c r="H812" s="6">
        <f>IF('FUENTE NO BORRAR'!H830="","",IF('FUENTE NO BORRAR'!$A830&lt;&gt;"Resultado total",('FUENTE NO BORRAR'!H830),""))</f>
        <v>288300.09999999998</v>
      </c>
      <c r="I812" s="6">
        <f>IF('FUENTE NO BORRAR'!I830="","",IF('FUENTE NO BORRAR'!$A830&lt;&gt;"Resultado total",('FUENTE NO BORRAR'!I830),""))</f>
        <v>0</v>
      </c>
    </row>
    <row r="813" spans="1:9" x14ac:dyDescent="0.2">
      <c r="A813" s="5" t="str">
        <f>IF('FUENTE NO BORRAR'!A831="","",(IF('FUENTE NO BORRAR'!A831&lt;&gt;"Resultado total",'FUENTE NO BORRAR'!A831,"")))</f>
        <v/>
      </c>
      <c r="B813" s="5" t="str">
        <f>IF('FUENTE NO BORRAR'!B831="","",'FUENTE NO BORRAR'!B831)</f>
        <v/>
      </c>
      <c r="C813" s="5" t="str">
        <f>IF('FUENTE NO BORRAR'!C831="","",'FUENTE NO BORRAR'!C831)</f>
        <v/>
      </c>
      <c r="D813" s="5" t="str">
        <f>IF('FUENTE NO BORRAR'!D831="","",'FUENTE NO BORRAR'!D831)</f>
        <v/>
      </c>
      <c r="E813" s="5" t="str">
        <f>IF('FUENTE NO BORRAR'!E831="","",'FUENTE NO BORRAR'!E831)</f>
        <v/>
      </c>
      <c r="F813" s="6">
        <f>IF('FUENTE NO BORRAR'!F831="","",IF('FUENTE NO BORRAR'!$A831&lt;&gt;"Resultado total",('FUENTE NO BORRAR'!F831),""))</f>
        <v>4657.99</v>
      </c>
      <c r="G813" s="6">
        <f>IF('FUENTE NO BORRAR'!G831="","",IF('FUENTE NO BORRAR'!$A831&lt;&gt;"Resultado total",('FUENTE NO BORRAR'!G831),""))</f>
        <v>4657.99</v>
      </c>
      <c r="H813" s="6">
        <f>IF('FUENTE NO BORRAR'!H831="","",IF('FUENTE NO BORRAR'!$A831&lt;&gt;"Resultado total",('FUENTE NO BORRAR'!H831),""))</f>
        <v>4657.99</v>
      </c>
      <c r="I813" s="6">
        <f>IF('FUENTE NO BORRAR'!I831="","",IF('FUENTE NO BORRAR'!$A831&lt;&gt;"Resultado total",('FUENTE NO BORRAR'!I831),""))</f>
        <v>0</v>
      </c>
    </row>
    <row r="814" spans="1:9" x14ac:dyDescent="0.2">
      <c r="A814" s="5" t="str">
        <f>IF('FUENTE NO BORRAR'!A832="","",(IF('FUENTE NO BORRAR'!A832&lt;&gt;"Resultado total",'FUENTE NO BORRAR'!A832,"")))</f>
        <v/>
      </c>
      <c r="B814" s="5" t="str">
        <f>IF('FUENTE NO BORRAR'!B832="","",'FUENTE NO BORRAR'!B832)</f>
        <v/>
      </c>
      <c r="C814" s="5" t="str">
        <f>IF('FUENTE NO BORRAR'!C832="","",'FUENTE NO BORRAR'!C832)</f>
        <v/>
      </c>
      <c r="D814" s="5" t="str">
        <f>IF('FUENTE NO BORRAR'!D832="","",'FUENTE NO BORRAR'!D832)</f>
        <v/>
      </c>
      <c r="E814" s="5" t="str">
        <f>IF('FUENTE NO BORRAR'!E832="","",'FUENTE NO BORRAR'!E832)</f>
        <v/>
      </c>
      <c r="F814" s="6">
        <f>IF('FUENTE NO BORRAR'!F832="","",IF('FUENTE NO BORRAR'!$A832&lt;&gt;"Resultado total",('FUENTE NO BORRAR'!F832),""))</f>
        <v>3646.26</v>
      </c>
      <c r="G814" s="6">
        <f>IF('FUENTE NO BORRAR'!G832="","",IF('FUENTE NO BORRAR'!$A832&lt;&gt;"Resultado total",('FUENTE NO BORRAR'!G832),""))</f>
        <v>3646.26</v>
      </c>
      <c r="H814" s="6">
        <f>IF('FUENTE NO BORRAR'!H832="","",IF('FUENTE NO BORRAR'!$A832&lt;&gt;"Resultado total",('FUENTE NO BORRAR'!H832),""))</f>
        <v>3646.26</v>
      </c>
      <c r="I814" s="6">
        <f>IF('FUENTE NO BORRAR'!I832="","",IF('FUENTE NO BORRAR'!$A832&lt;&gt;"Resultado total",('FUENTE NO BORRAR'!I832),""))</f>
        <v>0</v>
      </c>
    </row>
    <row r="815" spans="1:9" x14ac:dyDescent="0.2">
      <c r="A815" s="5" t="str">
        <f>IF('FUENTE NO BORRAR'!A833="","",(IF('FUENTE NO BORRAR'!A833&lt;&gt;"Resultado total",'FUENTE NO BORRAR'!A833,"")))</f>
        <v/>
      </c>
      <c r="B815" s="5" t="str">
        <f>IF('FUENTE NO BORRAR'!B833="","",'FUENTE NO BORRAR'!B833)</f>
        <v/>
      </c>
      <c r="C815" s="5" t="str">
        <f>IF('FUENTE NO BORRAR'!C833="","",'FUENTE NO BORRAR'!C833)</f>
        <v/>
      </c>
      <c r="D815" s="5" t="str">
        <f>IF('FUENTE NO BORRAR'!D833="","",'FUENTE NO BORRAR'!D833)</f>
        <v/>
      </c>
      <c r="E815" s="5" t="str">
        <f>IF('FUENTE NO BORRAR'!E833="","",'FUENTE NO BORRAR'!E833)</f>
        <v/>
      </c>
      <c r="F815" s="6">
        <f>IF('FUENTE NO BORRAR'!F833="","",IF('FUENTE NO BORRAR'!$A833&lt;&gt;"Resultado total",('FUENTE NO BORRAR'!F833),""))</f>
        <v>69119.59</v>
      </c>
      <c r="G815" s="6">
        <f>IF('FUENTE NO BORRAR'!G833="","",IF('FUENTE NO BORRAR'!$A833&lt;&gt;"Resultado total",('FUENTE NO BORRAR'!G833),""))</f>
        <v>69119.59</v>
      </c>
      <c r="H815" s="6">
        <f>IF('FUENTE NO BORRAR'!H833="","",IF('FUENTE NO BORRAR'!$A833&lt;&gt;"Resultado total",('FUENTE NO BORRAR'!H833),""))</f>
        <v>69119.59</v>
      </c>
      <c r="I815" s="6">
        <f>IF('FUENTE NO BORRAR'!I833="","",IF('FUENTE NO BORRAR'!$A833&lt;&gt;"Resultado total",('FUENTE NO BORRAR'!I833),""))</f>
        <v>0</v>
      </c>
    </row>
    <row r="816" spans="1:9" x14ac:dyDescent="0.2">
      <c r="A816" s="5" t="str">
        <f>IF('FUENTE NO BORRAR'!A834="","",(IF('FUENTE NO BORRAR'!A834&lt;&gt;"Resultado total",'FUENTE NO BORRAR'!A834,"")))</f>
        <v/>
      </c>
      <c r="B816" s="5" t="str">
        <f>IF('FUENTE NO BORRAR'!B834="","",'FUENTE NO BORRAR'!B834)</f>
        <v/>
      </c>
      <c r="C816" s="5" t="str">
        <f>IF('FUENTE NO BORRAR'!C834="","",'FUENTE NO BORRAR'!C834)</f>
        <v/>
      </c>
      <c r="D816" s="5" t="str">
        <f>IF('FUENTE NO BORRAR'!D834="","",'FUENTE NO BORRAR'!D834)</f>
        <v/>
      </c>
      <c r="E816" s="5" t="str">
        <f>IF('FUENTE NO BORRAR'!E834="","",'FUENTE NO BORRAR'!E834)</f>
        <v/>
      </c>
      <c r="F816" s="6">
        <f>IF('FUENTE NO BORRAR'!F834="","",IF('FUENTE NO BORRAR'!$A834&lt;&gt;"Resultado total",('FUENTE NO BORRAR'!F834),""))</f>
        <v>369547.92</v>
      </c>
      <c r="G816" s="6">
        <f>IF('FUENTE NO BORRAR'!G834="","",IF('FUENTE NO BORRAR'!$A834&lt;&gt;"Resultado total",('FUENTE NO BORRAR'!G834),""))</f>
        <v>369547.92</v>
      </c>
      <c r="H816" s="6">
        <f>IF('FUENTE NO BORRAR'!H834="","",IF('FUENTE NO BORRAR'!$A834&lt;&gt;"Resultado total",('FUENTE NO BORRAR'!H834),""))</f>
        <v>372742.22</v>
      </c>
      <c r="I816" s="6">
        <f>IF('FUENTE NO BORRAR'!I834="","",IF('FUENTE NO BORRAR'!$A834&lt;&gt;"Resultado total",('FUENTE NO BORRAR'!I834),""))</f>
        <v>0</v>
      </c>
    </row>
    <row r="817" spans="1:9" x14ac:dyDescent="0.2">
      <c r="A817" s="5" t="str">
        <f>IF('FUENTE NO BORRAR'!A835="","",(IF('FUENTE NO BORRAR'!A835&lt;&gt;"Resultado total",'FUENTE NO BORRAR'!A835,"")))</f>
        <v/>
      </c>
      <c r="B817" s="5" t="str">
        <f>IF('FUENTE NO BORRAR'!B835="","",'FUENTE NO BORRAR'!B835)</f>
        <v/>
      </c>
      <c r="C817" s="5" t="str">
        <f>IF('FUENTE NO BORRAR'!C835="","",'FUENTE NO BORRAR'!C835)</f>
        <v/>
      </c>
      <c r="D817" s="5" t="str">
        <f>IF('FUENTE NO BORRAR'!D835="","",'FUENTE NO BORRAR'!D835)</f>
        <v/>
      </c>
      <c r="E817" s="5" t="str">
        <f>IF('FUENTE NO BORRAR'!E835="","",'FUENTE NO BORRAR'!E835)</f>
        <v/>
      </c>
      <c r="F817" s="6">
        <f>IF('FUENTE NO BORRAR'!F835="","",IF('FUENTE NO BORRAR'!$A835&lt;&gt;"Resultado total",('FUENTE NO BORRAR'!F835),""))</f>
        <v>221420.64</v>
      </c>
      <c r="G817" s="6">
        <f>IF('FUENTE NO BORRAR'!G835="","",IF('FUENTE NO BORRAR'!$A835&lt;&gt;"Resultado total",('FUENTE NO BORRAR'!G835),""))</f>
        <v>221420.64</v>
      </c>
      <c r="H817" s="6">
        <f>IF('FUENTE NO BORRAR'!H835="","",IF('FUENTE NO BORRAR'!$A835&lt;&gt;"Resultado total",('FUENTE NO BORRAR'!H835),""))</f>
        <v>221420.64</v>
      </c>
      <c r="I817" s="6">
        <f>IF('FUENTE NO BORRAR'!I835="","",IF('FUENTE NO BORRAR'!$A835&lt;&gt;"Resultado total",('FUENTE NO BORRAR'!I835),""))</f>
        <v>0</v>
      </c>
    </row>
    <row r="818" spans="1:9" x14ac:dyDescent="0.2">
      <c r="A818" s="5" t="str">
        <f>IF('FUENTE NO BORRAR'!A836="","",(IF('FUENTE NO BORRAR'!A836&lt;&gt;"Resultado total",'FUENTE NO BORRAR'!A836,"")))</f>
        <v/>
      </c>
      <c r="B818" s="5" t="str">
        <f>IF('FUENTE NO BORRAR'!B836="","",'FUENTE NO BORRAR'!B836)</f>
        <v/>
      </c>
      <c r="C818" s="5" t="str">
        <f>IF('FUENTE NO BORRAR'!C836="","",'FUENTE NO BORRAR'!C836)</f>
        <v/>
      </c>
      <c r="D818" s="5" t="str">
        <f>IF('FUENTE NO BORRAR'!D836="","",'FUENTE NO BORRAR'!D836)</f>
        <v/>
      </c>
      <c r="E818" s="5" t="str">
        <f>IF('FUENTE NO BORRAR'!E836="","",'FUENTE NO BORRAR'!E836)</f>
        <v/>
      </c>
      <c r="F818" s="6">
        <f>IF('FUENTE NO BORRAR'!F836="","",IF('FUENTE NO BORRAR'!$A836&lt;&gt;"Resultado total",('FUENTE NO BORRAR'!F836),""))</f>
        <v>229152.52</v>
      </c>
      <c r="G818" s="6">
        <f>IF('FUENTE NO BORRAR'!G836="","",IF('FUENTE NO BORRAR'!$A836&lt;&gt;"Resultado total",('FUENTE NO BORRAR'!G836),""))</f>
        <v>229152.52</v>
      </c>
      <c r="H818" s="6">
        <f>IF('FUENTE NO BORRAR'!H836="","",IF('FUENTE NO BORRAR'!$A836&lt;&gt;"Resultado total",('FUENTE NO BORRAR'!H836),""))</f>
        <v>229152.52</v>
      </c>
      <c r="I818" s="6">
        <f>IF('FUENTE NO BORRAR'!I836="","",IF('FUENTE NO BORRAR'!$A836&lt;&gt;"Resultado total",('FUENTE NO BORRAR'!I836),""))</f>
        <v>0</v>
      </c>
    </row>
    <row r="819" spans="1:9" x14ac:dyDescent="0.2">
      <c r="A819" s="5" t="str">
        <f>IF('FUENTE NO BORRAR'!A837="","",(IF('FUENTE NO BORRAR'!A837&lt;&gt;"Resultado total",'FUENTE NO BORRAR'!A837,"")))</f>
        <v/>
      </c>
      <c r="B819" s="5" t="str">
        <f>IF('FUENTE NO BORRAR'!B837="","",'FUENTE NO BORRAR'!B837)</f>
        <v/>
      </c>
      <c r="C819" s="5" t="str">
        <f>IF('FUENTE NO BORRAR'!C837="","",'FUENTE NO BORRAR'!C837)</f>
        <v/>
      </c>
      <c r="D819" s="5" t="str">
        <f>IF('FUENTE NO BORRAR'!D837="","",'FUENTE NO BORRAR'!D837)</f>
        <v/>
      </c>
      <c r="E819" s="5" t="str">
        <f>IF('FUENTE NO BORRAR'!E837="","",'FUENTE NO BORRAR'!E837)</f>
        <v/>
      </c>
      <c r="F819" s="6">
        <f>IF('FUENTE NO BORRAR'!F837="","",IF('FUENTE NO BORRAR'!$A837&lt;&gt;"Resultado total",('FUENTE NO BORRAR'!F837),""))</f>
        <v>71352.03</v>
      </c>
      <c r="G819" s="6">
        <f>IF('FUENTE NO BORRAR'!G837="","",IF('FUENTE NO BORRAR'!$A837&lt;&gt;"Resultado total",('FUENTE NO BORRAR'!G837),""))</f>
        <v>71352.03</v>
      </c>
      <c r="H819" s="6">
        <f>IF('FUENTE NO BORRAR'!H837="","",IF('FUENTE NO BORRAR'!$A837&lt;&gt;"Resultado total",('FUENTE NO BORRAR'!H837),""))</f>
        <v>71352.03</v>
      </c>
      <c r="I819" s="6">
        <f>IF('FUENTE NO BORRAR'!I837="","",IF('FUENTE NO BORRAR'!$A837&lt;&gt;"Resultado total",('FUENTE NO BORRAR'!I837),""))</f>
        <v>0</v>
      </c>
    </row>
    <row r="820" spans="1:9" x14ac:dyDescent="0.2">
      <c r="A820" s="5" t="str">
        <f>IF('FUENTE NO BORRAR'!A838="","",(IF('FUENTE NO BORRAR'!A838&lt;&gt;"Resultado total",'FUENTE NO BORRAR'!A838,"")))</f>
        <v/>
      </c>
      <c r="B820" s="5" t="str">
        <f>IF('FUENTE NO BORRAR'!B838="","",'FUENTE NO BORRAR'!B838)</f>
        <v/>
      </c>
      <c r="C820" s="5" t="str">
        <f>IF('FUENTE NO BORRAR'!C838="","",'FUENTE NO BORRAR'!C838)</f>
        <v/>
      </c>
      <c r="D820" s="5" t="str">
        <f>IF('FUENTE NO BORRAR'!D838="","",'FUENTE NO BORRAR'!D838)</f>
        <v/>
      </c>
      <c r="E820" s="5" t="str">
        <f>IF('FUENTE NO BORRAR'!E838="","",'FUENTE NO BORRAR'!E838)</f>
        <v/>
      </c>
      <c r="F820" s="6">
        <f>IF('FUENTE NO BORRAR'!F838="","",IF('FUENTE NO BORRAR'!$A838&lt;&gt;"Resultado total",('FUENTE NO BORRAR'!F838),""))</f>
        <v>33995.800000000003</v>
      </c>
      <c r="G820" s="6">
        <f>IF('FUENTE NO BORRAR'!G838="","",IF('FUENTE NO BORRAR'!$A838&lt;&gt;"Resultado total",('FUENTE NO BORRAR'!G838),""))</f>
        <v>33995.800000000003</v>
      </c>
      <c r="H820" s="6">
        <f>IF('FUENTE NO BORRAR'!H838="","",IF('FUENTE NO BORRAR'!$A838&lt;&gt;"Resultado total",('FUENTE NO BORRAR'!H838),""))</f>
        <v>33995.800000000003</v>
      </c>
      <c r="I820" s="6">
        <f>IF('FUENTE NO BORRAR'!I838="","",IF('FUENTE NO BORRAR'!$A838&lt;&gt;"Resultado total",('FUENTE NO BORRAR'!I838),""))</f>
        <v>0</v>
      </c>
    </row>
    <row r="821" spans="1:9" x14ac:dyDescent="0.2">
      <c r="A821" s="5" t="str">
        <f>IF('FUENTE NO BORRAR'!A839="","",(IF('FUENTE NO BORRAR'!A839&lt;&gt;"Resultado total",'FUENTE NO BORRAR'!A839,"")))</f>
        <v/>
      </c>
      <c r="B821" s="5" t="str">
        <f>IF('FUENTE NO BORRAR'!B839="","",'FUENTE NO BORRAR'!B839)</f>
        <v/>
      </c>
      <c r="C821" s="5" t="str">
        <f>IF('FUENTE NO BORRAR'!C839="","",'FUENTE NO BORRAR'!C839)</f>
        <v/>
      </c>
      <c r="D821" s="5" t="str">
        <f>IF('FUENTE NO BORRAR'!D839="","",'FUENTE NO BORRAR'!D839)</f>
        <v/>
      </c>
      <c r="E821" s="5" t="str">
        <f>IF('FUENTE NO BORRAR'!E839="","",'FUENTE NO BORRAR'!E839)</f>
        <v/>
      </c>
      <c r="F821" s="6">
        <f>IF('FUENTE NO BORRAR'!F839="","",IF('FUENTE NO BORRAR'!$A839&lt;&gt;"Resultado total",('FUENTE NO BORRAR'!F839),""))</f>
        <v>7919.28</v>
      </c>
      <c r="G821" s="6">
        <f>IF('FUENTE NO BORRAR'!G839="","",IF('FUENTE NO BORRAR'!$A839&lt;&gt;"Resultado total",('FUENTE NO BORRAR'!G839),""))</f>
        <v>7919.28</v>
      </c>
      <c r="H821" s="6">
        <f>IF('FUENTE NO BORRAR'!H839="","",IF('FUENTE NO BORRAR'!$A839&lt;&gt;"Resultado total",('FUENTE NO BORRAR'!H839),""))</f>
        <v>7919.28</v>
      </c>
      <c r="I821" s="6">
        <f>IF('FUENTE NO BORRAR'!I839="","",IF('FUENTE NO BORRAR'!$A839&lt;&gt;"Resultado total",('FUENTE NO BORRAR'!I839),""))</f>
        <v>0</v>
      </c>
    </row>
    <row r="822" spans="1:9" x14ac:dyDescent="0.2">
      <c r="A822" s="5" t="str">
        <f>IF('FUENTE NO BORRAR'!A840="","",(IF('FUENTE NO BORRAR'!A840&lt;&gt;"Resultado total",'FUENTE NO BORRAR'!A840,"")))</f>
        <v/>
      </c>
      <c r="B822" s="5" t="str">
        <f>IF('FUENTE NO BORRAR'!B840="","",'FUENTE NO BORRAR'!B840)</f>
        <v/>
      </c>
      <c r="C822" s="5" t="str">
        <f>IF('FUENTE NO BORRAR'!C840="","",'FUENTE NO BORRAR'!C840)</f>
        <v/>
      </c>
      <c r="D822" s="5" t="str">
        <f>IF('FUENTE NO BORRAR'!D840="","",'FUENTE NO BORRAR'!D840)</f>
        <v/>
      </c>
      <c r="E822" s="5" t="str">
        <f>IF('FUENTE NO BORRAR'!E840="","",'FUENTE NO BORRAR'!E840)</f>
        <v/>
      </c>
      <c r="F822" s="6">
        <f>IF('FUENTE NO BORRAR'!F840="","",IF('FUENTE NO BORRAR'!$A840&lt;&gt;"Resultado total",('FUENTE NO BORRAR'!F840),""))</f>
        <v>50431.48</v>
      </c>
      <c r="G822" s="6">
        <f>IF('FUENTE NO BORRAR'!G840="","",IF('FUENTE NO BORRAR'!$A840&lt;&gt;"Resultado total",('FUENTE NO BORRAR'!G840),""))</f>
        <v>50431.48</v>
      </c>
      <c r="H822" s="6">
        <f>IF('FUENTE NO BORRAR'!H840="","",IF('FUENTE NO BORRAR'!$A840&lt;&gt;"Resultado total",('FUENTE NO BORRAR'!H840),""))</f>
        <v>50431.48</v>
      </c>
      <c r="I822" s="6">
        <f>IF('FUENTE NO BORRAR'!I840="","",IF('FUENTE NO BORRAR'!$A840&lt;&gt;"Resultado total",('FUENTE NO BORRAR'!I840),""))</f>
        <v>0</v>
      </c>
    </row>
    <row r="823" spans="1:9" x14ac:dyDescent="0.2">
      <c r="A823" s="5" t="str">
        <f>IF('FUENTE NO BORRAR'!A841="","",(IF('FUENTE NO BORRAR'!A841&lt;&gt;"Resultado total",'FUENTE NO BORRAR'!A841,"")))</f>
        <v/>
      </c>
      <c r="B823" s="5" t="str">
        <f>IF('FUENTE NO BORRAR'!B841="","",'FUENTE NO BORRAR'!B841)</f>
        <v/>
      </c>
      <c r="C823" s="5" t="str">
        <f>IF('FUENTE NO BORRAR'!C841="","",'FUENTE NO BORRAR'!C841)</f>
        <v/>
      </c>
      <c r="D823" s="5" t="str">
        <f>IF('FUENTE NO BORRAR'!D841="","",'FUENTE NO BORRAR'!D841)</f>
        <v/>
      </c>
      <c r="E823" s="5" t="str">
        <f>IF('FUENTE NO BORRAR'!E841="","",'FUENTE NO BORRAR'!E841)</f>
        <v/>
      </c>
      <c r="F823" s="6">
        <f>IF('FUENTE NO BORRAR'!F841="","",IF('FUENTE NO BORRAR'!$A841&lt;&gt;"Resultado total",('FUENTE NO BORRAR'!F841),""))</f>
        <v>31930.17</v>
      </c>
      <c r="G823" s="6">
        <f>IF('FUENTE NO BORRAR'!G841="","",IF('FUENTE NO BORRAR'!$A841&lt;&gt;"Resultado total",('FUENTE NO BORRAR'!G841),""))</f>
        <v>31930.17</v>
      </c>
      <c r="H823" s="6">
        <f>IF('FUENTE NO BORRAR'!H841="","",IF('FUENTE NO BORRAR'!$A841&lt;&gt;"Resultado total",('FUENTE NO BORRAR'!H841),""))</f>
        <v>31930.17</v>
      </c>
      <c r="I823" s="6">
        <f>IF('FUENTE NO BORRAR'!I841="","",IF('FUENTE NO BORRAR'!$A841&lt;&gt;"Resultado total",('FUENTE NO BORRAR'!I841),""))</f>
        <v>0</v>
      </c>
    </row>
    <row r="824" spans="1:9" x14ac:dyDescent="0.2">
      <c r="A824" s="5" t="str">
        <f>IF('FUENTE NO BORRAR'!A842="","",(IF('FUENTE NO BORRAR'!A842&lt;&gt;"Resultado total",'FUENTE NO BORRAR'!A842,"")))</f>
        <v/>
      </c>
      <c r="B824" s="5" t="str">
        <f>IF('FUENTE NO BORRAR'!B842="","",'FUENTE NO BORRAR'!B842)</f>
        <v/>
      </c>
      <c r="C824" s="5" t="str">
        <f>IF('FUENTE NO BORRAR'!C842="","",'FUENTE NO BORRAR'!C842)</f>
        <v/>
      </c>
      <c r="D824" s="5" t="str">
        <f>IF('FUENTE NO BORRAR'!D842="","",'FUENTE NO BORRAR'!D842)</f>
        <v/>
      </c>
      <c r="E824" s="5" t="str">
        <f>IF('FUENTE NO BORRAR'!E842="","",'FUENTE NO BORRAR'!E842)</f>
        <v/>
      </c>
      <c r="F824" s="6">
        <f>IF('FUENTE NO BORRAR'!F842="","",IF('FUENTE NO BORRAR'!$A842&lt;&gt;"Resultado total",('FUENTE NO BORRAR'!F842),""))</f>
        <v>7437.92</v>
      </c>
      <c r="G824" s="6">
        <f>IF('FUENTE NO BORRAR'!G842="","",IF('FUENTE NO BORRAR'!$A842&lt;&gt;"Resultado total",('FUENTE NO BORRAR'!G842),""))</f>
        <v>7437.92</v>
      </c>
      <c r="H824" s="6">
        <f>IF('FUENTE NO BORRAR'!H842="","",IF('FUENTE NO BORRAR'!$A842&lt;&gt;"Resultado total",('FUENTE NO BORRAR'!H842),""))</f>
        <v>7437.92</v>
      </c>
      <c r="I824" s="6">
        <f>IF('FUENTE NO BORRAR'!I842="","",IF('FUENTE NO BORRAR'!$A842&lt;&gt;"Resultado total",('FUENTE NO BORRAR'!I842),""))</f>
        <v>0</v>
      </c>
    </row>
    <row r="825" spans="1:9" x14ac:dyDescent="0.2">
      <c r="A825" s="5" t="str">
        <f>IF('FUENTE NO BORRAR'!A843="","",(IF('FUENTE NO BORRAR'!A843&lt;&gt;"Resultado total",'FUENTE NO BORRAR'!A843,"")))</f>
        <v/>
      </c>
      <c r="B825" s="5" t="str">
        <f>IF('FUENTE NO BORRAR'!B843="","",'FUENTE NO BORRAR'!B843)</f>
        <v/>
      </c>
      <c r="C825" s="5" t="str">
        <f>IF('FUENTE NO BORRAR'!C843="","",'FUENTE NO BORRAR'!C843)</f>
        <v/>
      </c>
      <c r="D825" s="5" t="str">
        <f>IF('FUENTE NO BORRAR'!D843="","",'FUENTE NO BORRAR'!D843)</f>
        <v/>
      </c>
      <c r="E825" s="5" t="str">
        <f>IF('FUENTE NO BORRAR'!E843="","",'FUENTE NO BORRAR'!E843)</f>
        <v/>
      </c>
      <c r="F825" s="6">
        <f>IF('FUENTE NO BORRAR'!F843="","",IF('FUENTE NO BORRAR'!$A843&lt;&gt;"Resultado total",('FUENTE NO BORRAR'!F843),""))</f>
        <v>20647.349999999999</v>
      </c>
      <c r="G825" s="6">
        <f>IF('FUENTE NO BORRAR'!G843="","",IF('FUENTE NO BORRAR'!$A843&lt;&gt;"Resultado total",('FUENTE NO BORRAR'!G843),""))</f>
        <v>20647.349999999999</v>
      </c>
      <c r="H825" s="6">
        <f>IF('FUENTE NO BORRAR'!H843="","",IF('FUENTE NO BORRAR'!$A843&lt;&gt;"Resultado total",('FUENTE NO BORRAR'!H843),""))</f>
        <v>20647.349999999999</v>
      </c>
      <c r="I825" s="6">
        <f>IF('FUENTE NO BORRAR'!I843="","",IF('FUENTE NO BORRAR'!$A843&lt;&gt;"Resultado total",('FUENTE NO BORRAR'!I843),""))</f>
        <v>0</v>
      </c>
    </row>
    <row r="826" spans="1:9" x14ac:dyDescent="0.2">
      <c r="A826" s="5" t="str">
        <f>IF('FUENTE NO BORRAR'!A844="","",(IF('FUENTE NO BORRAR'!A844&lt;&gt;"Resultado total",'FUENTE NO BORRAR'!A844,"")))</f>
        <v/>
      </c>
      <c r="B826" s="5" t="str">
        <f>IF('FUENTE NO BORRAR'!B844="","",'FUENTE NO BORRAR'!B844)</f>
        <v/>
      </c>
      <c r="C826" s="5" t="str">
        <f>IF('FUENTE NO BORRAR'!C844="","",'FUENTE NO BORRAR'!C844)</f>
        <v/>
      </c>
      <c r="D826" s="5" t="str">
        <f>IF('FUENTE NO BORRAR'!D844="","",'FUENTE NO BORRAR'!D844)</f>
        <v/>
      </c>
      <c r="E826" s="5" t="str">
        <f>IF('FUENTE NO BORRAR'!E844="","",'FUENTE NO BORRAR'!E844)</f>
        <v/>
      </c>
      <c r="F826" s="6">
        <f>IF('FUENTE NO BORRAR'!F844="","",IF('FUENTE NO BORRAR'!$A844&lt;&gt;"Resultado total",('FUENTE NO BORRAR'!F844),""))</f>
        <v>974.4</v>
      </c>
      <c r="G826" s="6">
        <f>IF('FUENTE NO BORRAR'!G844="","",IF('FUENTE NO BORRAR'!$A844&lt;&gt;"Resultado total",('FUENTE NO BORRAR'!G844),""))</f>
        <v>974.4</v>
      </c>
      <c r="H826" s="6">
        <f>IF('FUENTE NO BORRAR'!H844="","",IF('FUENTE NO BORRAR'!$A844&lt;&gt;"Resultado total",('FUENTE NO BORRAR'!H844),""))</f>
        <v>974.4</v>
      </c>
      <c r="I826" s="6">
        <f>IF('FUENTE NO BORRAR'!I844="","",IF('FUENTE NO BORRAR'!$A844&lt;&gt;"Resultado total",('FUENTE NO BORRAR'!I844),""))</f>
        <v>0</v>
      </c>
    </row>
    <row r="827" spans="1:9" x14ac:dyDescent="0.2">
      <c r="A827" s="5" t="str">
        <f>IF('FUENTE NO BORRAR'!A845="","",(IF('FUENTE NO BORRAR'!A845&lt;&gt;"Resultado total",'FUENTE NO BORRAR'!A845,"")))</f>
        <v/>
      </c>
      <c r="B827" s="5" t="str">
        <f>IF('FUENTE NO BORRAR'!B845="","",'FUENTE NO BORRAR'!B845)</f>
        <v/>
      </c>
      <c r="C827" s="5" t="str">
        <f>IF('FUENTE NO BORRAR'!C845="","",'FUENTE NO BORRAR'!C845)</f>
        <v/>
      </c>
      <c r="D827" s="5" t="str">
        <f>IF('FUENTE NO BORRAR'!D845="","",'FUENTE NO BORRAR'!D845)</f>
        <v/>
      </c>
      <c r="E827" s="5" t="str">
        <f>IF('FUENTE NO BORRAR'!E845="","",'FUENTE NO BORRAR'!E845)</f>
        <v/>
      </c>
      <c r="F827" s="6">
        <f>IF('FUENTE NO BORRAR'!F845="","",IF('FUENTE NO BORRAR'!$A845&lt;&gt;"Resultado total",('FUENTE NO BORRAR'!F845),""))</f>
        <v>58894.95</v>
      </c>
      <c r="G827" s="6">
        <f>IF('FUENTE NO BORRAR'!G845="","",IF('FUENTE NO BORRAR'!$A845&lt;&gt;"Resultado total",('FUENTE NO BORRAR'!G845),""))</f>
        <v>58894.95</v>
      </c>
      <c r="H827" s="6">
        <f>IF('FUENTE NO BORRAR'!H845="","",IF('FUENTE NO BORRAR'!$A845&lt;&gt;"Resultado total",('FUENTE NO BORRAR'!H845),""))</f>
        <v>58894.95</v>
      </c>
      <c r="I827" s="6">
        <f>IF('FUENTE NO BORRAR'!I845="","",IF('FUENTE NO BORRAR'!$A845&lt;&gt;"Resultado total",('FUENTE NO BORRAR'!I845),""))</f>
        <v>0</v>
      </c>
    </row>
    <row r="828" spans="1:9" x14ac:dyDescent="0.2">
      <c r="A828" s="5" t="str">
        <f>IF('FUENTE NO BORRAR'!A846="","",(IF('FUENTE NO BORRAR'!A846&lt;&gt;"Resultado total",'FUENTE NO BORRAR'!A846,"")))</f>
        <v/>
      </c>
      <c r="B828" s="5" t="str">
        <f>IF('FUENTE NO BORRAR'!B846="","",'FUENTE NO BORRAR'!B846)</f>
        <v/>
      </c>
      <c r="C828" s="5" t="str">
        <f>IF('FUENTE NO BORRAR'!C846="","",'FUENTE NO BORRAR'!C846)</f>
        <v/>
      </c>
      <c r="D828" s="5" t="str">
        <f>IF('FUENTE NO BORRAR'!D846="","",'FUENTE NO BORRAR'!D846)</f>
        <v/>
      </c>
      <c r="E828" s="5" t="str">
        <f>IF('FUENTE NO BORRAR'!E846="","",'FUENTE NO BORRAR'!E846)</f>
        <v/>
      </c>
      <c r="F828" s="6">
        <f>IF('FUENTE NO BORRAR'!F846="","",IF('FUENTE NO BORRAR'!$A846&lt;&gt;"Resultado total",('FUENTE NO BORRAR'!F846),""))</f>
        <v>340</v>
      </c>
      <c r="G828" s="6">
        <f>IF('FUENTE NO BORRAR'!G846="","",IF('FUENTE NO BORRAR'!$A846&lt;&gt;"Resultado total",('FUENTE NO BORRAR'!G846),""))</f>
        <v>340</v>
      </c>
      <c r="H828" s="6">
        <f>IF('FUENTE NO BORRAR'!H846="","",IF('FUENTE NO BORRAR'!$A846&lt;&gt;"Resultado total",('FUENTE NO BORRAR'!H846),""))</f>
        <v>340</v>
      </c>
      <c r="I828" s="6">
        <f>IF('FUENTE NO BORRAR'!I846="","",IF('FUENTE NO BORRAR'!$A846&lt;&gt;"Resultado total",('FUENTE NO BORRAR'!I846),""))</f>
        <v>0</v>
      </c>
    </row>
    <row r="829" spans="1:9" x14ac:dyDescent="0.2">
      <c r="A829" s="5" t="str">
        <f>IF('FUENTE NO BORRAR'!A847="","",(IF('FUENTE NO BORRAR'!A847&lt;&gt;"Resultado total",'FUENTE NO BORRAR'!A847,"")))</f>
        <v/>
      </c>
      <c r="B829" s="5" t="str">
        <f>IF('FUENTE NO BORRAR'!B847="","",'FUENTE NO BORRAR'!B847)</f>
        <v/>
      </c>
      <c r="C829" s="5" t="str">
        <f>IF('FUENTE NO BORRAR'!C847="","",'FUENTE NO BORRAR'!C847)</f>
        <v/>
      </c>
      <c r="D829" s="5" t="str">
        <f>IF('FUENTE NO BORRAR'!D847="","",'FUENTE NO BORRAR'!D847)</f>
        <v/>
      </c>
      <c r="E829" s="5" t="str">
        <f>IF('FUENTE NO BORRAR'!E847="","",'FUENTE NO BORRAR'!E847)</f>
        <v/>
      </c>
      <c r="F829" s="6">
        <f>IF('FUENTE NO BORRAR'!F847="","",IF('FUENTE NO BORRAR'!$A847&lt;&gt;"Resultado total",('FUENTE NO BORRAR'!F847),""))</f>
        <v>13107.5</v>
      </c>
      <c r="G829" s="6">
        <f>IF('FUENTE NO BORRAR'!G847="","",IF('FUENTE NO BORRAR'!$A847&lt;&gt;"Resultado total",('FUENTE NO BORRAR'!G847),""))</f>
        <v>13107.5</v>
      </c>
      <c r="H829" s="6">
        <f>IF('FUENTE NO BORRAR'!H847="","",IF('FUENTE NO BORRAR'!$A847&lt;&gt;"Resultado total",('FUENTE NO BORRAR'!H847),""))</f>
        <v>13107.5</v>
      </c>
      <c r="I829" s="6">
        <f>IF('FUENTE NO BORRAR'!I847="","",IF('FUENTE NO BORRAR'!$A847&lt;&gt;"Resultado total",('FUENTE NO BORRAR'!I847),""))</f>
        <v>0</v>
      </c>
    </row>
    <row r="830" spans="1:9" x14ac:dyDescent="0.2">
      <c r="A830" s="5" t="str">
        <f>IF('FUENTE NO BORRAR'!A848="","",(IF('FUENTE NO BORRAR'!A848&lt;&gt;"Resultado total",'FUENTE NO BORRAR'!A848,"")))</f>
        <v/>
      </c>
      <c r="B830" s="5" t="str">
        <f>IF('FUENTE NO BORRAR'!B848="","",'FUENTE NO BORRAR'!B848)</f>
        <v/>
      </c>
      <c r="C830" s="5" t="str">
        <f>IF('FUENTE NO BORRAR'!C848="","",'FUENTE NO BORRAR'!C848)</f>
        <v/>
      </c>
      <c r="D830" s="5" t="str">
        <f>IF('FUENTE NO BORRAR'!D848="","",'FUENTE NO BORRAR'!D848)</f>
        <v/>
      </c>
      <c r="E830" s="5" t="str">
        <f>IF('FUENTE NO BORRAR'!E848="","",'FUENTE NO BORRAR'!E848)</f>
        <v/>
      </c>
      <c r="F830" s="6">
        <f>IF('FUENTE NO BORRAR'!F848="","",IF('FUENTE NO BORRAR'!$A848&lt;&gt;"Resultado total",('FUENTE NO BORRAR'!F848),""))</f>
        <v>16656</v>
      </c>
      <c r="G830" s="6">
        <f>IF('FUENTE NO BORRAR'!G848="","",IF('FUENTE NO BORRAR'!$A848&lt;&gt;"Resultado total",('FUENTE NO BORRAR'!G848),""))</f>
        <v>16656</v>
      </c>
      <c r="H830" s="6">
        <f>IF('FUENTE NO BORRAR'!H848="","",IF('FUENTE NO BORRAR'!$A848&lt;&gt;"Resultado total",('FUENTE NO BORRAR'!H848),""))</f>
        <v>16656</v>
      </c>
      <c r="I830" s="6">
        <f>IF('FUENTE NO BORRAR'!I848="","",IF('FUENTE NO BORRAR'!$A848&lt;&gt;"Resultado total",('FUENTE NO BORRAR'!I848),""))</f>
        <v>0</v>
      </c>
    </row>
    <row r="831" spans="1:9" x14ac:dyDescent="0.2">
      <c r="A831" s="5" t="str">
        <f>IF('FUENTE NO BORRAR'!A849="","",(IF('FUENTE NO BORRAR'!A849&lt;&gt;"Resultado total",'FUENTE NO BORRAR'!A849,"")))</f>
        <v/>
      </c>
      <c r="B831" s="5" t="str">
        <f>IF('FUENTE NO BORRAR'!B849="","",'FUENTE NO BORRAR'!B849)</f>
        <v/>
      </c>
      <c r="C831" s="5" t="str">
        <f>IF('FUENTE NO BORRAR'!C849="","",'FUENTE NO BORRAR'!C849)</f>
        <v/>
      </c>
      <c r="D831" s="5" t="str">
        <f>IF('FUENTE NO BORRAR'!D849="","",'FUENTE NO BORRAR'!D849)</f>
        <v/>
      </c>
      <c r="E831" s="5" t="str">
        <f>IF('FUENTE NO BORRAR'!E849="","",'FUENTE NO BORRAR'!E849)</f>
        <v/>
      </c>
      <c r="F831" s="6">
        <f>IF('FUENTE NO BORRAR'!F849="","",IF('FUENTE NO BORRAR'!$A849&lt;&gt;"Resultado total",('FUENTE NO BORRAR'!F849),""))</f>
        <v>4500.8</v>
      </c>
      <c r="G831" s="6">
        <f>IF('FUENTE NO BORRAR'!G849="","",IF('FUENTE NO BORRAR'!$A849&lt;&gt;"Resultado total",('FUENTE NO BORRAR'!G849),""))</f>
        <v>4500.8</v>
      </c>
      <c r="H831" s="6">
        <f>IF('FUENTE NO BORRAR'!H849="","",IF('FUENTE NO BORRAR'!$A849&lt;&gt;"Resultado total",('FUENTE NO BORRAR'!H849),""))</f>
        <v>4500.8</v>
      </c>
      <c r="I831" s="6">
        <f>IF('FUENTE NO BORRAR'!I849="","",IF('FUENTE NO BORRAR'!$A849&lt;&gt;"Resultado total",('FUENTE NO BORRAR'!I849),""))</f>
        <v>0</v>
      </c>
    </row>
    <row r="832" spans="1:9" x14ac:dyDescent="0.2">
      <c r="A832" s="5" t="str">
        <f>IF('FUENTE NO BORRAR'!A850="","",(IF('FUENTE NO BORRAR'!A850&lt;&gt;"Resultado total",'FUENTE NO BORRAR'!A850,"")))</f>
        <v/>
      </c>
      <c r="B832" s="5" t="str">
        <f>IF('FUENTE NO BORRAR'!B850="","",'FUENTE NO BORRAR'!B850)</f>
        <v/>
      </c>
      <c r="C832" s="5" t="str">
        <f>IF('FUENTE NO BORRAR'!C850="","",'FUENTE NO BORRAR'!C850)</f>
        <v/>
      </c>
      <c r="D832" s="5" t="str">
        <f>IF('FUENTE NO BORRAR'!D850="","",'FUENTE NO BORRAR'!D850)</f>
        <v/>
      </c>
      <c r="E832" s="5" t="str">
        <f>IF('FUENTE NO BORRAR'!E850="","",'FUENTE NO BORRAR'!E850)</f>
        <v/>
      </c>
      <c r="F832" s="6">
        <f>IF('FUENTE NO BORRAR'!F850="","",IF('FUENTE NO BORRAR'!$A850&lt;&gt;"Resultado total",('FUENTE NO BORRAR'!F850),""))</f>
        <v>1361.88</v>
      </c>
      <c r="G832" s="6">
        <f>IF('FUENTE NO BORRAR'!G850="","",IF('FUENTE NO BORRAR'!$A850&lt;&gt;"Resultado total",('FUENTE NO BORRAR'!G850),""))</f>
        <v>1361.88</v>
      </c>
      <c r="H832" s="6">
        <f>IF('FUENTE NO BORRAR'!H850="","",IF('FUENTE NO BORRAR'!$A850&lt;&gt;"Resultado total",('FUENTE NO BORRAR'!H850),""))</f>
        <v>1361.88</v>
      </c>
      <c r="I832" s="6">
        <f>IF('FUENTE NO BORRAR'!I850="","",IF('FUENTE NO BORRAR'!$A850&lt;&gt;"Resultado total",('FUENTE NO BORRAR'!I850),""))</f>
        <v>0</v>
      </c>
    </row>
    <row r="833" spans="1:9" x14ac:dyDescent="0.2">
      <c r="A833" s="5" t="str">
        <f>IF('FUENTE NO BORRAR'!A851="","",(IF('FUENTE NO BORRAR'!A851&lt;&gt;"Resultado total",'FUENTE NO BORRAR'!A851,"")))</f>
        <v/>
      </c>
      <c r="B833" s="5" t="str">
        <f>IF('FUENTE NO BORRAR'!B851="","",'FUENTE NO BORRAR'!B851)</f>
        <v/>
      </c>
      <c r="C833" s="5" t="str">
        <f>IF('FUENTE NO BORRAR'!C851="","",'FUENTE NO BORRAR'!C851)</f>
        <v/>
      </c>
      <c r="D833" s="5" t="str">
        <f>IF('FUENTE NO BORRAR'!D851="","",'FUENTE NO BORRAR'!D851)</f>
        <v/>
      </c>
      <c r="E833" s="5" t="str">
        <f>IF('FUENTE NO BORRAR'!E851="","",'FUENTE NO BORRAR'!E851)</f>
        <v/>
      </c>
      <c r="F833" s="6">
        <f>IF('FUENTE NO BORRAR'!F851="","",IF('FUENTE NO BORRAR'!$A851&lt;&gt;"Resultado total",('FUENTE NO BORRAR'!F851),""))</f>
        <v>367.2</v>
      </c>
      <c r="G833" s="6">
        <f>IF('FUENTE NO BORRAR'!G851="","",IF('FUENTE NO BORRAR'!$A851&lt;&gt;"Resultado total",('FUENTE NO BORRAR'!G851),""))</f>
        <v>367.2</v>
      </c>
      <c r="H833" s="6">
        <f>IF('FUENTE NO BORRAR'!H851="","",IF('FUENTE NO BORRAR'!$A851&lt;&gt;"Resultado total",('FUENTE NO BORRAR'!H851),""))</f>
        <v>367.2</v>
      </c>
      <c r="I833" s="6">
        <f>IF('FUENTE NO BORRAR'!I851="","",IF('FUENTE NO BORRAR'!$A851&lt;&gt;"Resultado total",('FUENTE NO BORRAR'!I851),""))</f>
        <v>0</v>
      </c>
    </row>
    <row r="834" spans="1:9" x14ac:dyDescent="0.2">
      <c r="A834" s="5" t="str">
        <f>IF('FUENTE NO BORRAR'!A852="","",(IF('FUENTE NO BORRAR'!A852&lt;&gt;"Resultado total",'FUENTE NO BORRAR'!A852,"")))</f>
        <v/>
      </c>
      <c r="B834" s="5" t="str">
        <f>IF('FUENTE NO BORRAR'!B852="","",'FUENTE NO BORRAR'!B852)</f>
        <v/>
      </c>
      <c r="C834" s="5" t="str">
        <f>IF('FUENTE NO BORRAR'!C852="","",'FUENTE NO BORRAR'!C852)</f>
        <v/>
      </c>
      <c r="D834" s="5" t="str">
        <f>IF('FUENTE NO BORRAR'!D852="","",'FUENTE NO BORRAR'!D852)</f>
        <v/>
      </c>
      <c r="E834" s="5" t="str">
        <f>IF('FUENTE NO BORRAR'!E852="","",'FUENTE NO BORRAR'!E852)</f>
        <v/>
      </c>
      <c r="F834" s="6">
        <f>IF('FUENTE NO BORRAR'!F852="","",IF('FUENTE NO BORRAR'!$A852&lt;&gt;"Resultado total",('FUENTE NO BORRAR'!F852),""))</f>
        <v>0</v>
      </c>
      <c r="G834" s="6">
        <f>IF('FUENTE NO BORRAR'!G852="","",IF('FUENTE NO BORRAR'!$A852&lt;&gt;"Resultado total",('FUENTE NO BORRAR'!G852),""))</f>
        <v>0</v>
      </c>
      <c r="H834" s="6">
        <f>IF('FUENTE NO BORRAR'!H852="","",IF('FUENTE NO BORRAR'!$A852&lt;&gt;"Resultado total",('FUENTE NO BORRAR'!H852),""))</f>
        <v>0</v>
      </c>
      <c r="I834" s="6">
        <f>IF('FUENTE NO BORRAR'!I852="","",IF('FUENTE NO BORRAR'!$A852&lt;&gt;"Resultado total",('FUENTE NO BORRAR'!I852),""))</f>
        <v>0</v>
      </c>
    </row>
    <row r="835" spans="1:9" x14ac:dyDescent="0.2">
      <c r="A835" s="5" t="str">
        <f>IF('FUENTE NO BORRAR'!A853="","",(IF('FUENTE NO BORRAR'!A853&lt;&gt;"Resultado total",'FUENTE NO BORRAR'!A853,"")))</f>
        <v/>
      </c>
      <c r="B835" s="5" t="str">
        <f>IF('FUENTE NO BORRAR'!B853="","",'FUENTE NO BORRAR'!B853)</f>
        <v/>
      </c>
      <c r="C835" s="5" t="str">
        <f>IF('FUENTE NO BORRAR'!C853="","",'FUENTE NO BORRAR'!C853)</f>
        <v/>
      </c>
      <c r="D835" s="5" t="str">
        <f>IF('FUENTE NO BORRAR'!D853="","",'FUENTE NO BORRAR'!D853)</f>
        <v/>
      </c>
      <c r="E835" s="5" t="str">
        <f>IF('FUENTE NO BORRAR'!E853="","",'FUENTE NO BORRAR'!E853)</f>
        <v/>
      </c>
      <c r="F835" s="6">
        <f>IF('FUENTE NO BORRAR'!F853="","",IF('FUENTE NO BORRAR'!$A853&lt;&gt;"Resultado total",('FUENTE NO BORRAR'!F853),""))</f>
        <v>6282.36</v>
      </c>
      <c r="G835" s="6">
        <f>IF('FUENTE NO BORRAR'!G853="","",IF('FUENTE NO BORRAR'!$A853&lt;&gt;"Resultado total",('FUENTE NO BORRAR'!G853),""))</f>
        <v>6282.36</v>
      </c>
      <c r="H835" s="6">
        <f>IF('FUENTE NO BORRAR'!H853="","",IF('FUENTE NO BORRAR'!$A853&lt;&gt;"Resultado total",('FUENTE NO BORRAR'!H853),""))</f>
        <v>6282.36</v>
      </c>
      <c r="I835" s="6">
        <f>IF('FUENTE NO BORRAR'!I853="","",IF('FUENTE NO BORRAR'!$A853&lt;&gt;"Resultado total",('FUENTE NO BORRAR'!I853),""))</f>
        <v>0</v>
      </c>
    </row>
    <row r="836" spans="1:9" x14ac:dyDescent="0.2">
      <c r="A836" s="5" t="str">
        <f>IF('FUENTE NO BORRAR'!A854="","",(IF('FUENTE NO BORRAR'!A854&lt;&gt;"Resultado total",'FUENTE NO BORRAR'!A854,"")))</f>
        <v/>
      </c>
      <c r="B836" s="5" t="str">
        <f>IF('FUENTE NO BORRAR'!B854="","",'FUENTE NO BORRAR'!B854)</f>
        <v/>
      </c>
      <c r="C836" s="5" t="str">
        <f>IF('FUENTE NO BORRAR'!C854="","",'FUENTE NO BORRAR'!C854)</f>
        <v/>
      </c>
      <c r="D836" s="5" t="str">
        <f>IF('FUENTE NO BORRAR'!D854="","",'FUENTE NO BORRAR'!D854)</f>
        <v/>
      </c>
      <c r="E836" s="5" t="str">
        <f>IF('FUENTE NO BORRAR'!E854="","",'FUENTE NO BORRAR'!E854)</f>
        <v/>
      </c>
      <c r="F836" s="6">
        <f>IF('FUENTE NO BORRAR'!F854="","",IF('FUENTE NO BORRAR'!$A854&lt;&gt;"Resultado total",('FUENTE NO BORRAR'!F854),""))</f>
        <v>27391.24</v>
      </c>
      <c r="G836" s="6">
        <f>IF('FUENTE NO BORRAR'!G854="","",IF('FUENTE NO BORRAR'!$A854&lt;&gt;"Resultado total",('FUENTE NO BORRAR'!G854),""))</f>
        <v>27391.24</v>
      </c>
      <c r="H836" s="6">
        <f>IF('FUENTE NO BORRAR'!H854="","",IF('FUENTE NO BORRAR'!$A854&lt;&gt;"Resultado total",('FUENTE NO BORRAR'!H854),""))</f>
        <v>27391.24</v>
      </c>
      <c r="I836" s="6">
        <f>IF('FUENTE NO BORRAR'!I854="","",IF('FUENTE NO BORRAR'!$A854&lt;&gt;"Resultado total",('FUENTE NO BORRAR'!I854),""))</f>
        <v>0</v>
      </c>
    </row>
    <row r="837" spans="1:9" x14ac:dyDescent="0.2">
      <c r="A837" s="5" t="str">
        <f>IF('FUENTE NO BORRAR'!A855="","",(IF('FUENTE NO BORRAR'!A855&lt;&gt;"Resultado total",'FUENTE NO BORRAR'!A855,"")))</f>
        <v/>
      </c>
      <c r="B837" s="5" t="str">
        <f>IF('FUENTE NO BORRAR'!B855="","",'FUENTE NO BORRAR'!B855)</f>
        <v/>
      </c>
      <c r="C837" s="5" t="str">
        <f>IF('FUENTE NO BORRAR'!C855="","",'FUENTE NO BORRAR'!C855)</f>
        <v/>
      </c>
      <c r="D837" s="5" t="str">
        <f>IF('FUENTE NO BORRAR'!D855="","",'FUENTE NO BORRAR'!D855)</f>
        <v/>
      </c>
      <c r="E837" s="5" t="str">
        <f>IF('FUENTE NO BORRAR'!E855="","",'FUENTE NO BORRAR'!E855)</f>
        <v/>
      </c>
      <c r="F837" s="6">
        <f>IF('FUENTE NO BORRAR'!F855="","",IF('FUENTE NO BORRAR'!$A855&lt;&gt;"Resultado total",('FUENTE NO BORRAR'!F855),""))</f>
        <v>1543.38</v>
      </c>
      <c r="G837" s="6">
        <f>IF('FUENTE NO BORRAR'!G855="","",IF('FUENTE NO BORRAR'!$A855&lt;&gt;"Resultado total",('FUENTE NO BORRAR'!G855),""))</f>
        <v>1543.38</v>
      </c>
      <c r="H837" s="6">
        <f>IF('FUENTE NO BORRAR'!H855="","",IF('FUENTE NO BORRAR'!$A855&lt;&gt;"Resultado total",('FUENTE NO BORRAR'!H855),""))</f>
        <v>1543.38</v>
      </c>
      <c r="I837" s="6">
        <f>IF('FUENTE NO BORRAR'!I855="","",IF('FUENTE NO BORRAR'!$A855&lt;&gt;"Resultado total",('FUENTE NO BORRAR'!I855),""))</f>
        <v>0</v>
      </c>
    </row>
    <row r="838" spans="1:9" x14ac:dyDescent="0.2">
      <c r="A838" s="5" t="str">
        <f>IF('FUENTE NO BORRAR'!A856="","",(IF('FUENTE NO BORRAR'!A856&lt;&gt;"Resultado total",'FUENTE NO BORRAR'!A856,"")))</f>
        <v/>
      </c>
      <c r="B838" s="5" t="str">
        <f>IF('FUENTE NO BORRAR'!B856="","",'FUENTE NO BORRAR'!B856)</f>
        <v/>
      </c>
      <c r="C838" s="5" t="str">
        <f>IF('FUENTE NO BORRAR'!C856="","",'FUENTE NO BORRAR'!C856)</f>
        <v/>
      </c>
      <c r="D838" s="5" t="str">
        <f>IF('FUENTE NO BORRAR'!D856="","",'FUENTE NO BORRAR'!D856)</f>
        <v/>
      </c>
      <c r="E838" s="5" t="str">
        <f>IF('FUENTE NO BORRAR'!E856="","",'FUENTE NO BORRAR'!E856)</f>
        <v/>
      </c>
      <c r="F838" s="6">
        <f>IF('FUENTE NO BORRAR'!F856="","",IF('FUENTE NO BORRAR'!$A856&lt;&gt;"Resultado total",('FUENTE NO BORRAR'!F856),""))</f>
        <v>4888.24</v>
      </c>
      <c r="G838" s="6">
        <f>IF('FUENTE NO BORRAR'!G856="","",IF('FUENTE NO BORRAR'!$A856&lt;&gt;"Resultado total",('FUENTE NO BORRAR'!G856),""))</f>
        <v>4888.24</v>
      </c>
      <c r="H838" s="6">
        <f>IF('FUENTE NO BORRAR'!H856="","",IF('FUENTE NO BORRAR'!$A856&lt;&gt;"Resultado total",('FUENTE NO BORRAR'!H856),""))</f>
        <v>4888.24</v>
      </c>
      <c r="I838" s="6">
        <f>IF('FUENTE NO BORRAR'!I856="","",IF('FUENTE NO BORRAR'!$A856&lt;&gt;"Resultado total",('FUENTE NO BORRAR'!I856),""))</f>
        <v>0</v>
      </c>
    </row>
    <row r="839" spans="1:9" x14ac:dyDescent="0.2">
      <c r="A839" s="5" t="str">
        <f>IF('FUENTE NO BORRAR'!A857="","",(IF('FUENTE NO BORRAR'!A857&lt;&gt;"Resultado total",'FUENTE NO BORRAR'!A857,"")))</f>
        <v/>
      </c>
      <c r="B839" s="5" t="str">
        <f>IF('FUENTE NO BORRAR'!B857="","",'FUENTE NO BORRAR'!B857)</f>
        <v/>
      </c>
      <c r="C839" s="5" t="str">
        <f>IF('FUENTE NO BORRAR'!C857="","",'FUENTE NO BORRAR'!C857)</f>
        <v/>
      </c>
      <c r="D839" s="5" t="str">
        <f>IF('FUENTE NO BORRAR'!D857="","",'FUENTE NO BORRAR'!D857)</f>
        <v/>
      </c>
      <c r="E839" s="5" t="str">
        <f>IF('FUENTE NO BORRAR'!E857="","",'FUENTE NO BORRAR'!E857)</f>
        <v/>
      </c>
      <c r="F839" s="6">
        <f>IF('FUENTE NO BORRAR'!F857="","",IF('FUENTE NO BORRAR'!$A857&lt;&gt;"Resultado total",('FUENTE NO BORRAR'!F857),""))</f>
        <v>145303.35999999999</v>
      </c>
      <c r="G839" s="6">
        <f>IF('FUENTE NO BORRAR'!G857="","",IF('FUENTE NO BORRAR'!$A857&lt;&gt;"Resultado total",('FUENTE NO BORRAR'!G857),""))</f>
        <v>145303.35999999999</v>
      </c>
      <c r="H839" s="6">
        <f>IF('FUENTE NO BORRAR'!H857="","",IF('FUENTE NO BORRAR'!$A857&lt;&gt;"Resultado total",('FUENTE NO BORRAR'!H857),""))</f>
        <v>129703.36</v>
      </c>
      <c r="I839" s="6">
        <f>IF('FUENTE NO BORRAR'!I857="","",IF('FUENTE NO BORRAR'!$A857&lt;&gt;"Resultado total",('FUENTE NO BORRAR'!I857),""))</f>
        <v>0</v>
      </c>
    </row>
    <row r="840" spans="1:9" x14ac:dyDescent="0.2">
      <c r="A840" s="5" t="str">
        <f>IF('FUENTE NO BORRAR'!A858="","",(IF('FUENTE NO BORRAR'!A858&lt;&gt;"Resultado total",'FUENTE NO BORRAR'!A858,"")))</f>
        <v/>
      </c>
      <c r="B840" s="5" t="str">
        <f>IF('FUENTE NO BORRAR'!B858="","",'FUENTE NO BORRAR'!B858)</f>
        <v/>
      </c>
      <c r="C840" s="5" t="str">
        <f>IF('FUENTE NO BORRAR'!C858="","",'FUENTE NO BORRAR'!C858)</f>
        <v/>
      </c>
      <c r="D840" s="5" t="str">
        <f>IF('FUENTE NO BORRAR'!D858="","",'FUENTE NO BORRAR'!D858)</f>
        <v/>
      </c>
      <c r="E840" s="5" t="str">
        <f>IF('FUENTE NO BORRAR'!E858="","",'FUENTE NO BORRAR'!E858)</f>
        <v/>
      </c>
      <c r="F840" s="6">
        <f>IF('FUENTE NO BORRAR'!F858="","",IF('FUENTE NO BORRAR'!$A858&lt;&gt;"Resultado total",('FUENTE NO BORRAR'!F858),""))</f>
        <v>6705.58</v>
      </c>
      <c r="G840" s="6">
        <f>IF('FUENTE NO BORRAR'!G858="","",IF('FUENTE NO BORRAR'!$A858&lt;&gt;"Resultado total",('FUENTE NO BORRAR'!G858),""))</f>
        <v>6705.58</v>
      </c>
      <c r="H840" s="6">
        <f>IF('FUENTE NO BORRAR'!H858="","",IF('FUENTE NO BORRAR'!$A858&lt;&gt;"Resultado total",('FUENTE NO BORRAR'!H858),""))</f>
        <v>6705.58</v>
      </c>
      <c r="I840" s="6">
        <f>IF('FUENTE NO BORRAR'!I858="","",IF('FUENTE NO BORRAR'!$A858&lt;&gt;"Resultado total",('FUENTE NO BORRAR'!I858),""))</f>
        <v>0</v>
      </c>
    </row>
    <row r="841" spans="1:9" x14ac:dyDescent="0.2">
      <c r="A841" s="5" t="str">
        <f>IF('FUENTE NO BORRAR'!A859="","",(IF('FUENTE NO BORRAR'!A859&lt;&gt;"Resultado total",'FUENTE NO BORRAR'!A859,"")))</f>
        <v/>
      </c>
      <c r="B841" s="5" t="str">
        <f>IF('FUENTE NO BORRAR'!B859="","",'FUENTE NO BORRAR'!B859)</f>
        <v/>
      </c>
      <c r="C841" s="5" t="str">
        <f>IF('FUENTE NO BORRAR'!C859="","",'FUENTE NO BORRAR'!C859)</f>
        <v/>
      </c>
      <c r="D841" s="5" t="str">
        <f>IF('FUENTE NO BORRAR'!D859="","",'FUENTE NO BORRAR'!D859)</f>
        <v/>
      </c>
      <c r="E841" s="5" t="str">
        <f>IF('FUENTE NO BORRAR'!E859="","",'FUENTE NO BORRAR'!E859)</f>
        <v/>
      </c>
      <c r="F841" s="6">
        <f>IF('FUENTE NO BORRAR'!F859="","",IF('FUENTE NO BORRAR'!$A859&lt;&gt;"Resultado total",('FUENTE NO BORRAR'!F859),""))</f>
        <v>18339.599999999999</v>
      </c>
      <c r="G841" s="6">
        <f>IF('FUENTE NO BORRAR'!G859="","",IF('FUENTE NO BORRAR'!$A859&lt;&gt;"Resultado total",('FUENTE NO BORRAR'!G859),""))</f>
        <v>18339.599999999999</v>
      </c>
      <c r="H841" s="6">
        <f>IF('FUENTE NO BORRAR'!H859="","",IF('FUENTE NO BORRAR'!$A859&lt;&gt;"Resultado total",('FUENTE NO BORRAR'!H859),""))</f>
        <v>18339.599999999999</v>
      </c>
      <c r="I841" s="6">
        <f>IF('FUENTE NO BORRAR'!I859="","",IF('FUENTE NO BORRAR'!$A859&lt;&gt;"Resultado total",('FUENTE NO BORRAR'!I859),""))</f>
        <v>0</v>
      </c>
    </row>
    <row r="842" spans="1:9" x14ac:dyDescent="0.2">
      <c r="A842" s="5" t="str">
        <f>IF('FUENTE NO BORRAR'!A860="","",(IF('FUENTE NO BORRAR'!A860&lt;&gt;"Resultado total",'FUENTE NO BORRAR'!A860,"")))</f>
        <v/>
      </c>
      <c r="B842" s="5" t="str">
        <f>IF('FUENTE NO BORRAR'!B860="","",'FUENTE NO BORRAR'!B860)</f>
        <v/>
      </c>
      <c r="C842" s="5" t="str">
        <f>IF('FUENTE NO BORRAR'!C860="","",'FUENTE NO BORRAR'!C860)</f>
        <v/>
      </c>
      <c r="D842" s="5" t="str">
        <f>IF('FUENTE NO BORRAR'!D860="","",'FUENTE NO BORRAR'!D860)</f>
        <v/>
      </c>
      <c r="E842" s="5" t="str">
        <f>IF('FUENTE NO BORRAR'!E860="","",'FUENTE NO BORRAR'!E860)</f>
        <v/>
      </c>
      <c r="F842" s="6">
        <f>IF('FUENTE NO BORRAR'!F860="","",IF('FUENTE NO BORRAR'!$A860&lt;&gt;"Resultado total",('FUENTE NO BORRAR'!F860),""))</f>
        <v>18317.66</v>
      </c>
      <c r="G842" s="6">
        <f>IF('FUENTE NO BORRAR'!G860="","",IF('FUENTE NO BORRAR'!$A860&lt;&gt;"Resultado total",('FUENTE NO BORRAR'!G860),""))</f>
        <v>18317.66</v>
      </c>
      <c r="H842" s="6">
        <f>IF('FUENTE NO BORRAR'!H860="","",IF('FUENTE NO BORRAR'!$A860&lt;&gt;"Resultado total",('FUENTE NO BORRAR'!H860),""))</f>
        <v>18317.66</v>
      </c>
      <c r="I842" s="6">
        <f>IF('FUENTE NO BORRAR'!I860="","",IF('FUENTE NO BORRAR'!$A860&lt;&gt;"Resultado total",('FUENTE NO BORRAR'!I860),""))</f>
        <v>0</v>
      </c>
    </row>
    <row r="843" spans="1:9" x14ac:dyDescent="0.2">
      <c r="A843" s="5" t="str">
        <f>IF('FUENTE NO BORRAR'!A861="","",(IF('FUENTE NO BORRAR'!A861&lt;&gt;"Resultado total",'FUENTE NO BORRAR'!A861,"")))</f>
        <v/>
      </c>
      <c r="B843" s="5" t="str">
        <f>IF('FUENTE NO BORRAR'!B861="","",'FUENTE NO BORRAR'!B861)</f>
        <v/>
      </c>
      <c r="C843" s="5" t="str">
        <f>IF('FUENTE NO BORRAR'!C861="","",'FUENTE NO BORRAR'!C861)</f>
        <v/>
      </c>
      <c r="D843" s="5" t="str">
        <f>IF('FUENTE NO BORRAR'!D861="","",'FUENTE NO BORRAR'!D861)</f>
        <v/>
      </c>
      <c r="E843" s="5" t="str">
        <f>IF('FUENTE NO BORRAR'!E861="","",'FUENTE NO BORRAR'!E861)</f>
        <v/>
      </c>
      <c r="F843" s="6">
        <f>IF('FUENTE NO BORRAR'!F861="","",IF('FUENTE NO BORRAR'!$A861&lt;&gt;"Resultado total",('FUENTE NO BORRAR'!F861),""))</f>
        <v>109.96</v>
      </c>
      <c r="G843" s="6">
        <f>IF('FUENTE NO BORRAR'!G861="","",IF('FUENTE NO BORRAR'!$A861&lt;&gt;"Resultado total",('FUENTE NO BORRAR'!G861),""))</f>
        <v>109.96</v>
      </c>
      <c r="H843" s="6">
        <f>IF('FUENTE NO BORRAR'!H861="","",IF('FUENTE NO BORRAR'!$A861&lt;&gt;"Resultado total",('FUENTE NO BORRAR'!H861),""))</f>
        <v>109.96</v>
      </c>
      <c r="I843" s="6">
        <f>IF('FUENTE NO BORRAR'!I861="","",IF('FUENTE NO BORRAR'!$A861&lt;&gt;"Resultado total",('FUENTE NO BORRAR'!I861),""))</f>
        <v>0</v>
      </c>
    </row>
    <row r="844" spans="1:9" x14ac:dyDescent="0.2">
      <c r="A844" s="5" t="str">
        <f>IF('FUENTE NO BORRAR'!A862="","",(IF('FUENTE NO BORRAR'!A862&lt;&gt;"Resultado total",'FUENTE NO BORRAR'!A862,"")))</f>
        <v/>
      </c>
      <c r="B844" s="5" t="str">
        <f>IF('FUENTE NO BORRAR'!B862="","",'FUENTE NO BORRAR'!B862)</f>
        <v/>
      </c>
      <c r="C844" s="5" t="str">
        <f>IF('FUENTE NO BORRAR'!C862="","",'FUENTE NO BORRAR'!C862)</f>
        <v/>
      </c>
      <c r="D844" s="5" t="str">
        <f>IF('FUENTE NO BORRAR'!D862="","",'FUENTE NO BORRAR'!D862)</f>
        <v/>
      </c>
      <c r="E844" s="5" t="str">
        <f>IF('FUENTE NO BORRAR'!E862="","",'FUENTE NO BORRAR'!E862)</f>
        <v/>
      </c>
      <c r="F844" s="6">
        <f>IF('FUENTE NO BORRAR'!F862="","",IF('FUENTE NO BORRAR'!$A862&lt;&gt;"Resultado total",('FUENTE NO BORRAR'!F862),""))</f>
        <v>9860.02</v>
      </c>
      <c r="G844" s="6">
        <f>IF('FUENTE NO BORRAR'!G862="","",IF('FUENTE NO BORRAR'!$A862&lt;&gt;"Resultado total",('FUENTE NO BORRAR'!G862),""))</f>
        <v>9860.02</v>
      </c>
      <c r="H844" s="6">
        <f>IF('FUENTE NO BORRAR'!H862="","",IF('FUENTE NO BORRAR'!$A862&lt;&gt;"Resultado total",('FUENTE NO BORRAR'!H862),""))</f>
        <v>9860.02</v>
      </c>
      <c r="I844" s="6">
        <f>IF('FUENTE NO BORRAR'!I862="","",IF('FUENTE NO BORRAR'!$A862&lt;&gt;"Resultado total",('FUENTE NO BORRAR'!I862),""))</f>
        <v>0</v>
      </c>
    </row>
    <row r="845" spans="1:9" x14ac:dyDescent="0.2">
      <c r="A845" s="5" t="str">
        <f>IF('FUENTE NO BORRAR'!A863="","",(IF('FUENTE NO BORRAR'!A863&lt;&gt;"Resultado total",'FUENTE NO BORRAR'!A863,"")))</f>
        <v/>
      </c>
      <c r="B845" s="5" t="str">
        <f>IF('FUENTE NO BORRAR'!B863="","",'FUENTE NO BORRAR'!B863)</f>
        <v/>
      </c>
      <c r="C845" s="5" t="str">
        <f>IF('FUENTE NO BORRAR'!C863="","",'FUENTE NO BORRAR'!C863)</f>
        <v/>
      </c>
      <c r="D845" s="5" t="str">
        <f>IF('FUENTE NO BORRAR'!D863="","",'FUENTE NO BORRAR'!D863)</f>
        <v/>
      </c>
      <c r="E845" s="5" t="str">
        <f>IF('FUENTE NO BORRAR'!E863="","",'FUENTE NO BORRAR'!E863)</f>
        <v/>
      </c>
      <c r="F845" s="6">
        <f>IF('FUENTE NO BORRAR'!F863="","",IF('FUENTE NO BORRAR'!$A863&lt;&gt;"Resultado total",('FUENTE NO BORRAR'!F863),""))</f>
        <v>2415.12</v>
      </c>
      <c r="G845" s="6">
        <f>IF('FUENTE NO BORRAR'!G863="","",IF('FUENTE NO BORRAR'!$A863&lt;&gt;"Resultado total",('FUENTE NO BORRAR'!G863),""))</f>
        <v>2415.12</v>
      </c>
      <c r="H845" s="6">
        <f>IF('FUENTE NO BORRAR'!H863="","",IF('FUENTE NO BORRAR'!$A863&lt;&gt;"Resultado total",('FUENTE NO BORRAR'!H863),""))</f>
        <v>2415.12</v>
      </c>
      <c r="I845" s="6">
        <f>IF('FUENTE NO BORRAR'!I863="","",IF('FUENTE NO BORRAR'!$A863&lt;&gt;"Resultado total",('FUENTE NO BORRAR'!I863),""))</f>
        <v>0</v>
      </c>
    </row>
    <row r="846" spans="1:9" x14ac:dyDescent="0.2">
      <c r="A846" s="5" t="str">
        <f>IF('FUENTE NO BORRAR'!A864="","",(IF('FUENTE NO BORRAR'!A864&lt;&gt;"Resultado total",'FUENTE NO BORRAR'!A864,"")))</f>
        <v/>
      </c>
      <c r="B846" s="5" t="str">
        <f>IF('FUENTE NO BORRAR'!B864="","",'FUENTE NO BORRAR'!B864)</f>
        <v/>
      </c>
      <c r="C846" s="5" t="str">
        <f>IF('FUENTE NO BORRAR'!C864="","",'FUENTE NO BORRAR'!C864)</f>
        <v/>
      </c>
      <c r="D846" s="5" t="str">
        <f>IF('FUENTE NO BORRAR'!D864="","",'FUENTE NO BORRAR'!D864)</f>
        <v/>
      </c>
      <c r="E846" s="5" t="str">
        <f>IF('FUENTE NO BORRAR'!E864="","",'FUENTE NO BORRAR'!E864)</f>
        <v/>
      </c>
      <c r="F846" s="6">
        <f>IF('FUENTE NO BORRAR'!F864="","",IF('FUENTE NO BORRAR'!$A864&lt;&gt;"Resultado total",('FUENTE NO BORRAR'!F864),""))</f>
        <v>2450</v>
      </c>
      <c r="G846" s="6">
        <f>IF('FUENTE NO BORRAR'!G864="","",IF('FUENTE NO BORRAR'!$A864&lt;&gt;"Resultado total",('FUENTE NO BORRAR'!G864),""))</f>
        <v>2450</v>
      </c>
      <c r="H846" s="6">
        <f>IF('FUENTE NO BORRAR'!H864="","",IF('FUENTE NO BORRAR'!$A864&lt;&gt;"Resultado total",('FUENTE NO BORRAR'!H864),""))</f>
        <v>2450</v>
      </c>
      <c r="I846" s="6">
        <f>IF('FUENTE NO BORRAR'!I864="","",IF('FUENTE NO BORRAR'!$A864&lt;&gt;"Resultado total",('FUENTE NO BORRAR'!I864),""))</f>
        <v>0</v>
      </c>
    </row>
    <row r="847" spans="1:9" x14ac:dyDescent="0.2">
      <c r="A847" s="5" t="str">
        <f>IF('FUENTE NO BORRAR'!A865="","",(IF('FUENTE NO BORRAR'!A865&lt;&gt;"Resultado total",'FUENTE NO BORRAR'!A865,"")))</f>
        <v/>
      </c>
      <c r="B847" s="5" t="str">
        <f>IF('FUENTE NO BORRAR'!B865="","",'FUENTE NO BORRAR'!B865)</f>
        <v/>
      </c>
      <c r="C847" s="5" t="str">
        <f>IF('FUENTE NO BORRAR'!C865="","",'FUENTE NO BORRAR'!C865)</f>
        <v/>
      </c>
      <c r="D847" s="5" t="str">
        <f>IF('FUENTE NO BORRAR'!D865="","",'FUENTE NO BORRAR'!D865)</f>
        <v/>
      </c>
      <c r="E847" s="5" t="str">
        <f>IF('FUENTE NO BORRAR'!E865="","",'FUENTE NO BORRAR'!E865)</f>
        <v/>
      </c>
      <c r="F847" s="6">
        <f>IF('FUENTE NO BORRAR'!F865="","",IF('FUENTE NO BORRAR'!$A865&lt;&gt;"Resultado total",('FUENTE NO BORRAR'!F865),""))</f>
        <v>243.6</v>
      </c>
      <c r="G847" s="6">
        <f>IF('FUENTE NO BORRAR'!G865="","",IF('FUENTE NO BORRAR'!$A865&lt;&gt;"Resultado total",('FUENTE NO BORRAR'!G865),""))</f>
        <v>243.6</v>
      </c>
      <c r="H847" s="6">
        <f>IF('FUENTE NO BORRAR'!H865="","",IF('FUENTE NO BORRAR'!$A865&lt;&gt;"Resultado total",('FUENTE NO BORRAR'!H865),""))</f>
        <v>243.6</v>
      </c>
      <c r="I847" s="6">
        <f>IF('FUENTE NO BORRAR'!I865="","",IF('FUENTE NO BORRAR'!$A865&lt;&gt;"Resultado total",('FUENTE NO BORRAR'!I865),""))</f>
        <v>0</v>
      </c>
    </row>
    <row r="848" spans="1:9" x14ac:dyDescent="0.2">
      <c r="A848" s="5" t="str">
        <f>IF('FUENTE NO BORRAR'!A866="","",(IF('FUENTE NO BORRAR'!A866&lt;&gt;"Resultado total",'FUENTE NO BORRAR'!A866,"")))</f>
        <v/>
      </c>
      <c r="B848" s="5" t="str">
        <f>IF('FUENTE NO BORRAR'!B866="","",'FUENTE NO BORRAR'!B866)</f>
        <v/>
      </c>
      <c r="C848" s="5" t="str">
        <f>IF('FUENTE NO BORRAR'!C866="","",'FUENTE NO BORRAR'!C866)</f>
        <v/>
      </c>
      <c r="D848" s="5" t="str">
        <f>IF('FUENTE NO BORRAR'!D866="","",'FUENTE NO BORRAR'!D866)</f>
        <v/>
      </c>
      <c r="E848" s="5" t="str">
        <f>IF('FUENTE NO BORRAR'!E866="","",'FUENTE NO BORRAR'!E866)</f>
        <v/>
      </c>
      <c r="F848" s="6">
        <f>IF('FUENTE NO BORRAR'!F866="","",IF('FUENTE NO BORRAR'!$A866&lt;&gt;"Resultado total",('FUENTE NO BORRAR'!F866),""))</f>
        <v>30450.02</v>
      </c>
      <c r="G848" s="6">
        <f>IF('FUENTE NO BORRAR'!G866="","",IF('FUENTE NO BORRAR'!$A866&lt;&gt;"Resultado total",('FUENTE NO BORRAR'!G866),""))</f>
        <v>30450.02</v>
      </c>
      <c r="H848" s="6">
        <f>IF('FUENTE NO BORRAR'!H866="","",IF('FUENTE NO BORRAR'!$A866&lt;&gt;"Resultado total",('FUENTE NO BORRAR'!H866),""))</f>
        <v>30450.02</v>
      </c>
      <c r="I848" s="6">
        <f>IF('FUENTE NO BORRAR'!I866="","",IF('FUENTE NO BORRAR'!$A866&lt;&gt;"Resultado total",('FUENTE NO BORRAR'!I866),""))</f>
        <v>0</v>
      </c>
    </row>
    <row r="849" spans="1:9" x14ac:dyDescent="0.2">
      <c r="A849" s="5" t="str">
        <f>IF('FUENTE NO BORRAR'!A867="","",(IF('FUENTE NO BORRAR'!A867&lt;&gt;"Resultado total",'FUENTE NO BORRAR'!A867,"")))</f>
        <v/>
      </c>
      <c r="B849" s="5" t="str">
        <f>IF('FUENTE NO BORRAR'!B867="","",'FUENTE NO BORRAR'!B867)</f>
        <v/>
      </c>
      <c r="C849" s="5" t="str">
        <f>IF('FUENTE NO BORRAR'!C867="","",'FUENTE NO BORRAR'!C867)</f>
        <v/>
      </c>
      <c r="D849" s="5" t="str">
        <f>IF('FUENTE NO BORRAR'!D867="","",'FUENTE NO BORRAR'!D867)</f>
        <v/>
      </c>
      <c r="E849" s="5" t="str">
        <f>IF('FUENTE NO BORRAR'!E867="","",'FUENTE NO BORRAR'!E867)</f>
        <v/>
      </c>
      <c r="F849" s="6">
        <f>IF('FUENTE NO BORRAR'!F867="","",IF('FUENTE NO BORRAR'!$A867&lt;&gt;"Resultado total",('FUENTE NO BORRAR'!F867),""))</f>
        <v>0</v>
      </c>
      <c r="G849" s="6">
        <f>IF('FUENTE NO BORRAR'!G867="","",IF('FUENTE NO BORRAR'!$A867&lt;&gt;"Resultado total",('FUENTE NO BORRAR'!G867),""))</f>
        <v>0</v>
      </c>
      <c r="H849" s="6">
        <f>IF('FUENTE NO BORRAR'!H867="","",IF('FUENTE NO BORRAR'!$A867&lt;&gt;"Resultado total",('FUENTE NO BORRAR'!H867),""))</f>
        <v>0</v>
      </c>
      <c r="I849" s="6">
        <f>IF('FUENTE NO BORRAR'!I867="","",IF('FUENTE NO BORRAR'!$A867&lt;&gt;"Resultado total",('FUENTE NO BORRAR'!I867),""))</f>
        <v>0</v>
      </c>
    </row>
    <row r="850" spans="1:9" x14ac:dyDescent="0.2">
      <c r="A850" s="5" t="str">
        <f>IF('FUENTE NO BORRAR'!A868="","",(IF('FUENTE NO BORRAR'!A868&lt;&gt;"Resultado total",'FUENTE NO BORRAR'!A868,"")))</f>
        <v/>
      </c>
      <c r="B850" s="5" t="str">
        <f>IF('FUENTE NO BORRAR'!B868="","",'FUENTE NO BORRAR'!B868)</f>
        <v/>
      </c>
      <c r="C850" s="5" t="str">
        <f>IF('FUENTE NO BORRAR'!C868="","",'FUENTE NO BORRAR'!C868)</f>
        <v/>
      </c>
      <c r="D850" s="5" t="str">
        <f>IF('FUENTE NO BORRAR'!D868="","",'FUENTE NO BORRAR'!D868)</f>
        <v/>
      </c>
      <c r="E850" s="5" t="str">
        <f>IF('FUENTE NO BORRAR'!E868="","",'FUENTE NO BORRAR'!E868)</f>
        <v/>
      </c>
      <c r="F850" s="6">
        <f>IF('FUENTE NO BORRAR'!F868="","",IF('FUENTE NO BORRAR'!$A868&lt;&gt;"Resultado total",('FUENTE NO BORRAR'!F868),""))</f>
        <v>8179</v>
      </c>
      <c r="G850" s="6">
        <f>IF('FUENTE NO BORRAR'!G868="","",IF('FUENTE NO BORRAR'!$A868&lt;&gt;"Resultado total",('FUENTE NO BORRAR'!G868),""))</f>
        <v>8179</v>
      </c>
      <c r="H850" s="6">
        <f>IF('FUENTE NO BORRAR'!H868="","",IF('FUENTE NO BORRAR'!$A868&lt;&gt;"Resultado total",('FUENTE NO BORRAR'!H868),""))</f>
        <v>8179</v>
      </c>
      <c r="I850" s="6">
        <f>IF('FUENTE NO BORRAR'!I868="","",IF('FUENTE NO BORRAR'!$A868&lt;&gt;"Resultado total",('FUENTE NO BORRAR'!I868),""))</f>
        <v>0</v>
      </c>
    </row>
    <row r="851" spans="1:9" x14ac:dyDescent="0.2">
      <c r="A851" s="5" t="str">
        <f>IF('FUENTE NO BORRAR'!A869="","",(IF('FUENTE NO BORRAR'!A869&lt;&gt;"Resultado total",'FUENTE NO BORRAR'!A869,"")))</f>
        <v/>
      </c>
      <c r="B851" s="5" t="str">
        <f>IF('FUENTE NO BORRAR'!B869="","",'FUENTE NO BORRAR'!B869)</f>
        <v/>
      </c>
      <c r="C851" s="5" t="str">
        <f>IF('FUENTE NO BORRAR'!C869="","",'FUENTE NO BORRAR'!C869)</f>
        <v/>
      </c>
      <c r="D851" s="5" t="str">
        <f>IF('FUENTE NO BORRAR'!D869="","",'FUENTE NO BORRAR'!D869)</f>
        <v/>
      </c>
      <c r="E851" s="5" t="str">
        <f>IF('FUENTE NO BORRAR'!E869="","",'FUENTE NO BORRAR'!E869)</f>
        <v/>
      </c>
      <c r="F851" s="6">
        <f>IF('FUENTE NO BORRAR'!F869="","",IF('FUENTE NO BORRAR'!$A869&lt;&gt;"Resultado total",('FUENTE NO BORRAR'!F869),""))</f>
        <v>480</v>
      </c>
      <c r="G851" s="6">
        <f>IF('FUENTE NO BORRAR'!G869="","",IF('FUENTE NO BORRAR'!$A869&lt;&gt;"Resultado total",('FUENTE NO BORRAR'!G869),""))</f>
        <v>480</v>
      </c>
      <c r="H851" s="6">
        <f>IF('FUENTE NO BORRAR'!H869="","",IF('FUENTE NO BORRAR'!$A869&lt;&gt;"Resultado total",('FUENTE NO BORRAR'!H869),""))</f>
        <v>480</v>
      </c>
      <c r="I851" s="6">
        <f>IF('FUENTE NO BORRAR'!I869="","",IF('FUENTE NO BORRAR'!$A869&lt;&gt;"Resultado total",('FUENTE NO BORRAR'!I869),""))</f>
        <v>0</v>
      </c>
    </row>
    <row r="852" spans="1:9" x14ac:dyDescent="0.2">
      <c r="A852" s="5" t="str">
        <f>IF('FUENTE NO BORRAR'!A870="","",(IF('FUENTE NO BORRAR'!A870&lt;&gt;"Resultado total",'FUENTE NO BORRAR'!A870,"")))</f>
        <v/>
      </c>
      <c r="B852" s="5" t="str">
        <f>IF('FUENTE NO BORRAR'!B870="","",'FUENTE NO BORRAR'!B870)</f>
        <v/>
      </c>
      <c r="C852" s="5" t="str">
        <f>IF('FUENTE NO BORRAR'!C870="","",'FUENTE NO BORRAR'!C870)</f>
        <v/>
      </c>
      <c r="D852" s="5" t="str">
        <f>IF('FUENTE NO BORRAR'!D870="","",'FUENTE NO BORRAR'!D870)</f>
        <v/>
      </c>
      <c r="E852" s="5" t="str">
        <f>IF('FUENTE NO BORRAR'!E870="","",'FUENTE NO BORRAR'!E870)</f>
        <v/>
      </c>
      <c r="F852" s="6">
        <f>IF('FUENTE NO BORRAR'!F870="","",IF('FUENTE NO BORRAR'!$A870&lt;&gt;"Resultado total",('FUENTE NO BORRAR'!F870),""))</f>
        <v>18729.12</v>
      </c>
      <c r="G852" s="6">
        <f>IF('FUENTE NO BORRAR'!G870="","",IF('FUENTE NO BORRAR'!$A870&lt;&gt;"Resultado total",('FUENTE NO BORRAR'!G870),""))</f>
        <v>18729.12</v>
      </c>
      <c r="H852" s="6">
        <f>IF('FUENTE NO BORRAR'!H870="","",IF('FUENTE NO BORRAR'!$A870&lt;&gt;"Resultado total",('FUENTE NO BORRAR'!H870),""))</f>
        <v>18729.12</v>
      </c>
      <c r="I852" s="6">
        <f>IF('FUENTE NO BORRAR'!I870="","",IF('FUENTE NO BORRAR'!$A870&lt;&gt;"Resultado total",('FUENTE NO BORRAR'!I870),""))</f>
        <v>0</v>
      </c>
    </row>
    <row r="853" spans="1:9" x14ac:dyDescent="0.2">
      <c r="A853" s="5" t="str">
        <f>IF('FUENTE NO BORRAR'!A871="","",(IF('FUENTE NO BORRAR'!A871&lt;&gt;"Resultado total",'FUENTE NO BORRAR'!A871,"")))</f>
        <v/>
      </c>
      <c r="B853" s="5" t="str">
        <f>IF('FUENTE NO BORRAR'!B871="","",'FUENTE NO BORRAR'!B871)</f>
        <v/>
      </c>
      <c r="C853" s="5" t="str">
        <f>IF('FUENTE NO BORRAR'!C871="","",'FUENTE NO BORRAR'!C871)</f>
        <v/>
      </c>
      <c r="D853" s="5" t="str">
        <f>IF('FUENTE NO BORRAR'!D871="","",'FUENTE NO BORRAR'!D871)</f>
        <v/>
      </c>
      <c r="E853" s="5" t="str">
        <f>IF('FUENTE NO BORRAR'!E871="","",'FUENTE NO BORRAR'!E871)</f>
        <v/>
      </c>
      <c r="F853" s="6">
        <f>IF('FUENTE NO BORRAR'!F871="","",IF('FUENTE NO BORRAR'!$A871&lt;&gt;"Resultado total",('FUENTE NO BORRAR'!F871),""))</f>
        <v>12016</v>
      </c>
      <c r="G853" s="6">
        <f>IF('FUENTE NO BORRAR'!G871="","",IF('FUENTE NO BORRAR'!$A871&lt;&gt;"Resultado total",('FUENTE NO BORRAR'!G871),""))</f>
        <v>12016</v>
      </c>
      <c r="H853" s="6">
        <f>IF('FUENTE NO BORRAR'!H871="","",IF('FUENTE NO BORRAR'!$A871&lt;&gt;"Resultado total",('FUENTE NO BORRAR'!H871),""))</f>
        <v>12016</v>
      </c>
      <c r="I853" s="6">
        <f>IF('FUENTE NO BORRAR'!I871="","",IF('FUENTE NO BORRAR'!$A871&lt;&gt;"Resultado total",('FUENTE NO BORRAR'!I871),""))</f>
        <v>0</v>
      </c>
    </row>
    <row r="854" spans="1:9" x14ac:dyDescent="0.2">
      <c r="A854" s="5" t="str">
        <f>IF('FUENTE NO BORRAR'!A872="","",(IF('FUENTE NO BORRAR'!A872&lt;&gt;"Resultado total",'FUENTE NO BORRAR'!A872,"")))</f>
        <v/>
      </c>
      <c r="B854" s="5" t="str">
        <f>IF('FUENTE NO BORRAR'!B872="","",'FUENTE NO BORRAR'!B872)</f>
        <v/>
      </c>
      <c r="C854" s="5" t="str">
        <f>IF('FUENTE NO BORRAR'!C872="","",'FUENTE NO BORRAR'!C872)</f>
        <v/>
      </c>
      <c r="D854" s="5" t="str">
        <f>IF('FUENTE NO BORRAR'!D872="","",'FUENTE NO BORRAR'!D872)</f>
        <v/>
      </c>
      <c r="E854" s="5" t="str">
        <f>IF('FUENTE NO BORRAR'!E872="","",'FUENTE NO BORRAR'!E872)</f>
        <v/>
      </c>
      <c r="F854" s="6">
        <f>IF('FUENTE NO BORRAR'!F872="","",IF('FUENTE NO BORRAR'!$A872&lt;&gt;"Resultado total",('FUENTE NO BORRAR'!F872),""))</f>
        <v>13200.49</v>
      </c>
      <c r="G854" s="6">
        <f>IF('FUENTE NO BORRAR'!G872="","",IF('FUENTE NO BORRAR'!$A872&lt;&gt;"Resultado total",('FUENTE NO BORRAR'!G872),""))</f>
        <v>13200.49</v>
      </c>
      <c r="H854" s="6">
        <f>IF('FUENTE NO BORRAR'!H872="","",IF('FUENTE NO BORRAR'!$A872&lt;&gt;"Resultado total",('FUENTE NO BORRAR'!H872),""))</f>
        <v>13200.49</v>
      </c>
      <c r="I854" s="6">
        <f>IF('FUENTE NO BORRAR'!I872="","",IF('FUENTE NO BORRAR'!$A872&lt;&gt;"Resultado total",('FUENTE NO BORRAR'!I872),""))</f>
        <v>0</v>
      </c>
    </row>
    <row r="855" spans="1:9" x14ac:dyDescent="0.2">
      <c r="A855" s="5" t="str">
        <f>IF('FUENTE NO BORRAR'!A873="","",(IF('FUENTE NO BORRAR'!A873&lt;&gt;"Resultado total",'FUENTE NO BORRAR'!A873,"")))</f>
        <v/>
      </c>
      <c r="B855" s="5" t="str">
        <f>IF('FUENTE NO BORRAR'!B873="","",'FUENTE NO BORRAR'!B873)</f>
        <v/>
      </c>
      <c r="C855" s="5" t="str">
        <f>IF('FUENTE NO BORRAR'!C873="","",'FUENTE NO BORRAR'!C873)</f>
        <v/>
      </c>
      <c r="D855" s="5" t="str">
        <f>IF('FUENTE NO BORRAR'!D873="","",'FUENTE NO BORRAR'!D873)</f>
        <v/>
      </c>
      <c r="E855" s="5" t="str">
        <f>IF('FUENTE NO BORRAR'!E873="","",'FUENTE NO BORRAR'!E873)</f>
        <v/>
      </c>
      <c r="F855" s="6">
        <f>IF('FUENTE NO BORRAR'!F873="","",IF('FUENTE NO BORRAR'!$A873&lt;&gt;"Resultado total",('FUENTE NO BORRAR'!F873),""))</f>
        <v>328278.8</v>
      </c>
      <c r="G855" s="6">
        <f>IF('FUENTE NO BORRAR'!G873="","",IF('FUENTE NO BORRAR'!$A873&lt;&gt;"Resultado total",('FUENTE NO BORRAR'!G873),""))</f>
        <v>328278.8</v>
      </c>
      <c r="H855" s="6">
        <f>IF('FUENTE NO BORRAR'!H873="","",IF('FUENTE NO BORRAR'!$A873&lt;&gt;"Resultado total",('FUENTE NO BORRAR'!H873),""))</f>
        <v>300920.3</v>
      </c>
      <c r="I855" s="6">
        <f>IF('FUENTE NO BORRAR'!I873="","",IF('FUENTE NO BORRAR'!$A873&lt;&gt;"Resultado total",('FUENTE NO BORRAR'!I873),""))</f>
        <v>0</v>
      </c>
    </row>
    <row r="856" spans="1:9" x14ac:dyDescent="0.2">
      <c r="A856" s="5" t="str">
        <f>IF('FUENTE NO BORRAR'!A874="","",(IF('FUENTE NO BORRAR'!A874&lt;&gt;"Resultado total",'FUENTE NO BORRAR'!A874,"")))</f>
        <v/>
      </c>
      <c r="B856" s="5" t="str">
        <f>IF('FUENTE NO BORRAR'!B874="","",'FUENTE NO BORRAR'!B874)</f>
        <v/>
      </c>
      <c r="C856" s="5" t="str">
        <f>IF('FUENTE NO BORRAR'!C874="","",'FUENTE NO BORRAR'!C874)</f>
        <v/>
      </c>
      <c r="D856" s="5" t="str">
        <f>IF('FUENTE NO BORRAR'!D874="","",'FUENTE NO BORRAR'!D874)</f>
        <v/>
      </c>
      <c r="E856" s="5" t="str">
        <f>IF('FUENTE NO BORRAR'!E874="","",'FUENTE NO BORRAR'!E874)</f>
        <v/>
      </c>
      <c r="F856" s="6">
        <f>IF('FUENTE NO BORRAR'!F874="","",IF('FUENTE NO BORRAR'!$A874&lt;&gt;"Resultado total",('FUENTE NO BORRAR'!F874),""))</f>
        <v>15707.27</v>
      </c>
      <c r="G856" s="6">
        <f>IF('FUENTE NO BORRAR'!G874="","",IF('FUENTE NO BORRAR'!$A874&lt;&gt;"Resultado total",('FUENTE NO BORRAR'!G874),""))</f>
        <v>15707.27</v>
      </c>
      <c r="H856" s="6">
        <f>IF('FUENTE NO BORRAR'!H874="","",IF('FUENTE NO BORRAR'!$A874&lt;&gt;"Resultado total",('FUENTE NO BORRAR'!H874),""))</f>
        <v>13387.27</v>
      </c>
      <c r="I856" s="6">
        <f>IF('FUENTE NO BORRAR'!I874="","",IF('FUENTE NO BORRAR'!$A874&lt;&gt;"Resultado total",('FUENTE NO BORRAR'!I874),""))</f>
        <v>0</v>
      </c>
    </row>
    <row r="857" spans="1:9" x14ac:dyDescent="0.2">
      <c r="A857" s="5" t="str">
        <f>IF('FUENTE NO BORRAR'!A875="","",(IF('FUENTE NO BORRAR'!A875&lt;&gt;"Resultado total",'FUENTE NO BORRAR'!A875,"")))</f>
        <v/>
      </c>
      <c r="B857" s="5" t="str">
        <f>IF('FUENTE NO BORRAR'!B875="","",'FUENTE NO BORRAR'!B875)</f>
        <v/>
      </c>
      <c r="C857" s="5" t="str">
        <f>IF('FUENTE NO BORRAR'!C875="","",'FUENTE NO BORRAR'!C875)</f>
        <v/>
      </c>
      <c r="D857" s="5" t="str">
        <f>IF('FUENTE NO BORRAR'!D875="","",'FUENTE NO BORRAR'!D875)</f>
        <v/>
      </c>
      <c r="E857" s="5" t="str">
        <f>IF('FUENTE NO BORRAR'!E875="","",'FUENTE NO BORRAR'!E875)</f>
        <v/>
      </c>
      <c r="F857" s="6">
        <f>IF('FUENTE NO BORRAR'!F875="","",IF('FUENTE NO BORRAR'!$A875&lt;&gt;"Resultado total",('FUENTE NO BORRAR'!F875),""))</f>
        <v>1392</v>
      </c>
      <c r="G857" s="6">
        <f>IF('FUENTE NO BORRAR'!G875="","",IF('FUENTE NO BORRAR'!$A875&lt;&gt;"Resultado total",('FUENTE NO BORRAR'!G875),""))</f>
        <v>1392</v>
      </c>
      <c r="H857" s="6">
        <f>IF('FUENTE NO BORRAR'!H875="","",IF('FUENTE NO BORRAR'!$A875&lt;&gt;"Resultado total",('FUENTE NO BORRAR'!H875),""))</f>
        <v>1392</v>
      </c>
      <c r="I857" s="6">
        <f>IF('FUENTE NO BORRAR'!I875="","",IF('FUENTE NO BORRAR'!$A875&lt;&gt;"Resultado total",('FUENTE NO BORRAR'!I875),""))</f>
        <v>0</v>
      </c>
    </row>
    <row r="858" spans="1:9" x14ac:dyDescent="0.2">
      <c r="A858" s="5" t="str">
        <f>IF('FUENTE NO BORRAR'!A876="","",(IF('FUENTE NO BORRAR'!A876&lt;&gt;"Resultado total",'FUENTE NO BORRAR'!A876,"")))</f>
        <v/>
      </c>
      <c r="B858" s="5" t="str">
        <f>IF('FUENTE NO BORRAR'!B876="","",'FUENTE NO BORRAR'!B876)</f>
        <v/>
      </c>
      <c r="C858" s="5" t="str">
        <f>IF('FUENTE NO BORRAR'!C876="","",'FUENTE NO BORRAR'!C876)</f>
        <v/>
      </c>
      <c r="D858" s="5" t="str">
        <f>IF('FUENTE NO BORRAR'!D876="","",'FUENTE NO BORRAR'!D876)</f>
        <v/>
      </c>
      <c r="E858" s="5" t="str">
        <f>IF('FUENTE NO BORRAR'!E876="","",'FUENTE NO BORRAR'!E876)</f>
        <v/>
      </c>
      <c r="F858" s="6">
        <f>IF('FUENTE NO BORRAR'!F876="","",IF('FUENTE NO BORRAR'!$A876&lt;&gt;"Resultado total",('FUENTE NO BORRAR'!F876),""))</f>
        <v>101741.46</v>
      </c>
      <c r="G858" s="6">
        <f>IF('FUENTE NO BORRAR'!G876="","",IF('FUENTE NO BORRAR'!$A876&lt;&gt;"Resultado total",('FUENTE NO BORRAR'!G876),""))</f>
        <v>101741.46</v>
      </c>
      <c r="H858" s="6">
        <f>IF('FUENTE NO BORRAR'!H876="","",IF('FUENTE NO BORRAR'!$A876&lt;&gt;"Resultado total",('FUENTE NO BORRAR'!H876),""))</f>
        <v>95230.38</v>
      </c>
      <c r="I858" s="6">
        <f>IF('FUENTE NO BORRAR'!I876="","",IF('FUENTE NO BORRAR'!$A876&lt;&gt;"Resultado total",('FUENTE NO BORRAR'!I876),""))</f>
        <v>0</v>
      </c>
    </row>
    <row r="859" spans="1:9" x14ac:dyDescent="0.2">
      <c r="A859" s="5" t="str">
        <f>IF('FUENTE NO BORRAR'!A877="","",(IF('FUENTE NO BORRAR'!A877&lt;&gt;"Resultado total",'FUENTE NO BORRAR'!A877,"")))</f>
        <v/>
      </c>
      <c r="B859" s="5" t="str">
        <f>IF('FUENTE NO BORRAR'!B877="","",'FUENTE NO BORRAR'!B877)</f>
        <v/>
      </c>
      <c r="C859" s="5" t="str">
        <f>IF('FUENTE NO BORRAR'!C877="","",'FUENTE NO BORRAR'!C877)</f>
        <v/>
      </c>
      <c r="D859" s="5" t="str">
        <f>IF('FUENTE NO BORRAR'!D877="","",'FUENTE NO BORRAR'!D877)</f>
        <v/>
      </c>
      <c r="E859" s="5" t="str">
        <f>IF('FUENTE NO BORRAR'!E877="","",'FUENTE NO BORRAR'!E877)</f>
        <v/>
      </c>
      <c r="F859" s="6">
        <f>IF('FUENTE NO BORRAR'!F877="","",IF('FUENTE NO BORRAR'!$A877&lt;&gt;"Resultado total",('FUENTE NO BORRAR'!F877),""))</f>
        <v>0</v>
      </c>
      <c r="G859" s="6">
        <f>IF('FUENTE NO BORRAR'!G877="","",IF('FUENTE NO BORRAR'!$A877&lt;&gt;"Resultado total",('FUENTE NO BORRAR'!G877),""))</f>
        <v>0</v>
      </c>
      <c r="H859" s="6">
        <f>IF('FUENTE NO BORRAR'!H877="","",IF('FUENTE NO BORRAR'!$A877&lt;&gt;"Resultado total",('FUENTE NO BORRAR'!H877),""))</f>
        <v>0</v>
      </c>
      <c r="I859" s="6">
        <f>IF('FUENTE NO BORRAR'!I877="","",IF('FUENTE NO BORRAR'!$A877&lt;&gt;"Resultado total",('FUENTE NO BORRAR'!I877),""))</f>
        <v>0</v>
      </c>
    </row>
    <row r="860" spans="1:9" x14ac:dyDescent="0.2">
      <c r="A860" s="5" t="str">
        <f>IF('FUENTE NO BORRAR'!A878="","",(IF('FUENTE NO BORRAR'!A878&lt;&gt;"Resultado total",'FUENTE NO BORRAR'!A878,"")))</f>
        <v/>
      </c>
      <c r="B860" s="5" t="str">
        <f>IF('FUENTE NO BORRAR'!B878="","",'FUENTE NO BORRAR'!B878)</f>
        <v/>
      </c>
      <c r="C860" s="5" t="str">
        <f>IF('FUENTE NO BORRAR'!C878="","",'FUENTE NO BORRAR'!C878)</f>
        <v/>
      </c>
      <c r="D860" s="5" t="str">
        <f>IF('FUENTE NO BORRAR'!D878="","",'FUENTE NO BORRAR'!D878)</f>
        <v/>
      </c>
      <c r="E860" s="5" t="str">
        <f>IF('FUENTE NO BORRAR'!E878="","",'FUENTE NO BORRAR'!E878)</f>
        <v/>
      </c>
      <c r="F860" s="6">
        <f>IF('FUENTE NO BORRAR'!F878="","",IF('FUENTE NO BORRAR'!$A878&lt;&gt;"Resultado total",('FUENTE NO BORRAR'!F878),""))</f>
        <v>4633</v>
      </c>
      <c r="G860" s="6">
        <f>IF('FUENTE NO BORRAR'!G878="","",IF('FUENTE NO BORRAR'!$A878&lt;&gt;"Resultado total",('FUENTE NO BORRAR'!G878),""))</f>
        <v>4633</v>
      </c>
      <c r="H860" s="6">
        <f>IF('FUENTE NO BORRAR'!H878="","",IF('FUENTE NO BORRAR'!$A878&lt;&gt;"Resultado total",('FUENTE NO BORRAR'!H878),""))</f>
        <v>4633</v>
      </c>
      <c r="I860" s="6">
        <f>IF('FUENTE NO BORRAR'!I878="","",IF('FUENTE NO BORRAR'!$A878&lt;&gt;"Resultado total",('FUENTE NO BORRAR'!I878),""))</f>
        <v>0</v>
      </c>
    </row>
    <row r="861" spans="1:9" x14ac:dyDescent="0.2">
      <c r="A861" s="5" t="str">
        <f>IF('FUENTE NO BORRAR'!A879="","",(IF('FUENTE NO BORRAR'!A879&lt;&gt;"Resultado total",'FUENTE NO BORRAR'!A879,"")))</f>
        <v/>
      </c>
      <c r="B861" s="5" t="str">
        <f>IF('FUENTE NO BORRAR'!B879="","",'FUENTE NO BORRAR'!B879)</f>
        <v/>
      </c>
      <c r="C861" s="5" t="str">
        <f>IF('FUENTE NO BORRAR'!C879="","",'FUENTE NO BORRAR'!C879)</f>
        <v/>
      </c>
      <c r="D861" s="5" t="str">
        <f>IF('FUENTE NO BORRAR'!D879="","",'FUENTE NO BORRAR'!D879)</f>
        <v/>
      </c>
      <c r="E861" s="5" t="str">
        <f>IF('FUENTE NO BORRAR'!E879="","",'FUENTE NO BORRAR'!E879)</f>
        <v/>
      </c>
      <c r="F861" s="6">
        <f>IF('FUENTE NO BORRAR'!F879="","",IF('FUENTE NO BORRAR'!$A879&lt;&gt;"Resultado total",('FUENTE NO BORRAR'!F879),""))</f>
        <v>3060</v>
      </c>
      <c r="G861" s="6">
        <f>IF('FUENTE NO BORRAR'!G879="","",IF('FUENTE NO BORRAR'!$A879&lt;&gt;"Resultado total",('FUENTE NO BORRAR'!G879),""))</f>
        <v>3060</v>
      </c>
      <c r="H861" s="6">
        <f>IF('FUENTE NO BORRAR'!H879="","",IF('FUENTE NO BORRAR'!$A879&lt;&gt;"Resultado total",('FUENTE NO BORRAR'!H879),""))</f>
        <v>3060</v>
      </c>
      <c r="I861" s="6">
        <f>IF('FUENTE NO BORRAR'!I879="","",IF('FUENTE NO BORRAR'!$A879&lt;&gt;"Resultado total",('FUENTE NO BORRAR'!I879),""))</f>
        <v>0</v>
      </c>
    </row>
    <row r="862" spans="1:9" x14ac:dyDescent="0.2">
      <c r="A862" s="5" t="str">
        <f>IF('FUENTE NO BORRAR'!A880="","",(IF('FUENTE NO BORRAR'!A880&lt;&gt;"Resultado total",'FUENTE NO BORRAR'!A880,"")))</f>
        <v/>
      </c>
      <c r="B862" s="5" t="str">
        <f>IF('FUENTE NO BORRAR'!B880="","",'FUENTE NO BORRAR'!B880)</f>
        <v/>
      </c>
      <c r="C862" s="5" t="str">
        <f>IF('FUENTE NO BORRAR'!C880="","",'FUENTE NO BORRAR'!C880)</f>
        <v/>
      </c>
      <c r="D862" s="5" t="str">
        <f>IF('FUENTE NO BORRAR'!D880="","",'FUENTE NO BORRAR'!D880)</f>
        <v/>
      </c>
      <c r="E862" s="5" t="str">
        <f>IF('FUENTE NO BORRAR'!E880="","",'FUENTE NO BORRAR'!E880)</f>
        <v/>
      </c>
      <c r="F862" s="6">
        <f>IF('FUENTE NO BORRAR'!F880="","",IF('FUENTE NO BORRAR'!$A880&lt;&gt;"Resultado total",('FUENTE NO BORRAR'!F880),""))</f>
        <v>5454.96</v>
      </c>
      <c r="G862" s="6">
        <f>IF('FUENTE NO BORRAR'!G880="","",IF('FUENTE NO BORRAR'!$A880&lt;&gt;"Resultado total",('FUENTE NO BORRAR'!G880),""))</f>
        <v>5454.96</v>
      </c>
      <c r="H862" s="6">
        <f>IF('FUENTE NO BORRAR'!H880="","",IF('FUENTE NO BORRAR'!$A880&lt;&gt;"Resultado total",('FUENTE NO BORRAR'!H880),""))</f>
        <v>5454.96</v>
      </c>
      <c r="I862" s="6">
        <f>IF('FUENTE NO BORRAR'!I880="","",IF('FUENTE NO BORRAR'!$A880&lt;&gt;"Resultado total",('FUENTE NO BORRAR'!I880),""))</f>
        <v>0</v>
      </c>
    </row>
    <row r="863" spans="1:9" x14ac:dyDescent="0.2">
      <c r="A863" s="5" t="str">
        <f>IF('FUENTE NO BORRAR'!A881="","",(IF('FUENTE NO BORRAR'!A881&lt;&gt;"Resultado total",'FUENTE NO BORRAR'!A881,"")))</f>
        <v/>
      </c>
      <c r="B863" s="5" t="str">
        <f>IF('FUENTE NO BORRAR'!B881="","",'FUENTE NO BORRAR'!B881)</f>
        <v/>
      </c>
      <c r="C863" s="5" t="str">
        <f>IF('FUENTE NO BORRAR'!C881="","",'FUENTE NO BORRAR'!C881)</f>
        <v/>
      </c>
      <c r="D863" s="5" t="str">
        <f>IF('FUENTE NO BORRAR'!D881="","",'FUENTE NO BORRAR'!D881)</f>
        <v/>
      </c>
      <c r="E863" s="5" t="str">
        <f>IF('FUENTE NO BORRAR'!E881="","",'FUENTE NO BORRAR'!E881)</f>
        <v/>
      </c>
      <c r="F863" s="6">
        <f>IF('FUENTE NO BORRAR'!F881="","",IF('FUENTE NO BORRAR'!$A881&lt;&gt;"Resultado total",('FUENTE NO BORRAR'!F881),""))</f>
        <v>2697</v>
      </c>
      <c r="G863" s="6">
        <f>IF('FUENTE NO BORRAR'!G881="","",IF('FUENTE NO BORRAR'!$A881&lt;&gt;"Resultado total",('FUENTE NO BORRAR'!G881),""))</f>
        <v>2697</v>
      </c>
      <c r="H863" s="6">
        <f>IF('FUENTE NO BORRAR'!H881="","",IF('FUENTE NO BORRAR'!$A881&lt;&gt;"Resultado total",('FUENTE NO BORRAR'!H881),""))</f>
        <v>2697</v>
      </c>
      <c r="I863" s="6">
        <f>IF('FUENTE NO BORRAR'!I881="","",IF('FUENTE NO BORRAR'!$A881&lt;&gt;"Resultado total",('FUENTE NO BORRAR'!I881),""))</f>
        <v>0</v>
      </c>
    </row>
    <row r="864" spans="1:9" x14ac:dyDescent="0.2">
      <c r="A864" s="5" t="str">
        <f>IF('FUENTE NO BORRAR'!A882="","",(IF('FUENTE NO BORRAR'!A882&lt;&gt;"Resultado total",'FUENTE NO BORRAR'!A882,"")))</f>
        <v/>
      </c>
      <c r="B864" s="5" t="str">
        <f>IF('FUENTE NO BORRAR'!B882="","",'FUENTE NO BORRAR'!B882)</f>
        <v/>
      </c>
      <c r="C864" s="5" t="str">
        <f>IF('FUENTE NO BORRAR'!C882="","",'FUENTE NO BORRAR'!C882)</f>
        <v/>
      </c>
      <c r="D864" s="5" t="str">
        <f>IF('FUENTE NO BORRAR'!D882="","",'FUENTE NO BORRAR'!D882)</f>
        <v/>
      </c>
      <c r="E864" s="5" t="str">
        <f>IF('FUENTE NO BORRAR'!E882="","",'FUENTE NO BORRAR'!E882)</f>
        <v/>
      </c>
      <c r="F864" s="6">
        <f>IF('FUENTE NO BORRAR'!F882="","",IF('FUENTE NO BORRAR'!$A882&lt;&gt;"Resultado total",('FUENTE NO BORRAR'!F882),""))</f>
        <v>5278</v>
      </c>
      <c r="G864" s="6">
        <f>IF('FUENTE NO BORRAR'!G882="","",IF('FUENTE NO BORRAR'!$A882&lt;&gt;"Resultado total",('FUENTE NO BORRAR'!G882),""))</f>
        <v>5278</v>
      </c>
      <c r="H864" s="6">
        <f>IF('FUENTE NO BORRAR'!H882="","",IF('FUENTE NO BORRAR'!$A882&lt;&gt;"Resultado total",('FUENTE NO BORRAR'!H882),""))</f>
        <v>5278</v>
      </c>
      <c r="I864" s="6">
        <f>IF('FUENTE NO BORRAR'!I882="","",IF('FUENTE NO BORRAR'!$A882&lt;&gt;"Resultado total",('FUENTE NO BORRAR'!I882),""))</f>
        <v>0</v>
      </c>
    </row>
    <row r="865" spans="1:9" x14ac:dyDescent="0.2">
      <c r="A865" s="5" t="str">
        <f>IF('FUENTE NO BORRAR'!A883="","",(IF('FUENTE NO BORRAR'!A883&lt;&gt;"Resultado total",'FUENTE NO BORRAR'!A883,"")))</f>
        <v/>
      </c>
      <c r="B865" s="5" t="str">
        <f>IF('FUENTE NO BORRAR'!B883="","",'FUENTE NO BORRAR'!B883)</f>
        <v/>
      </c>
      <c r="C865" s="5" t="str">
        <f>IF('FUENTE NO BORRAR'!C883="","",'FUENTE NO BORRAR'!C883)</f>
        <v/>
      </c>
      <c r="D865" s="5" t="str">
        <f>IF('FUENTE NO BORRAR'!D883="","",'FUENTE NO BORRAR'!D883)</f>
        <v/>
      </c>
      <c r="E865" s="5" t="str">
        <f>IF('FUENTE NO BORRAR'!E883="","",'FUENTE NO BORRAR'!E883)</f>
        <v/>
      </c>
      <c r="F865" s="6">
        <f>IF('FUENTE NO BORRAR'!F883="","",IF('FUENTE NO BORRAR'!$A883&lt;&gt;"Resultado total",('FUENTE NO BORRAR'!F883),""))</f>
        <v>0</v>
      </c>
      <c r="G865" s="6">
        <f>IF('FUENTE NO BORRAR'!G883="","",IF('FUENTE NO BORRAR'!$A883&lt;&gt;"Resultado total",('FUENTE NO BORRAR'!G883),""))</f>
        <v>0</v>
      </c>
      <c r="H865" s="6">
        <f>IF('FUENTE NO BORRAR'!H883="","",IF('FUENTE NO BORRAR'!$A883&lt;&gt;"Resultado total",('FUENTE NO BORRAR'!H883),""))</f>
        <v>0</v>
      </c>
      <c r="I865" s="6">
        <f>IF('FUENTE NO BORRAR'!I883="","",IF('FUENTE NO BORRAR'!$A883&lt;&gt;"Resultado total",('FUENTE NO BORRAR'!I883),""))</f>
        <v>0</v>
      </c>
    </row>
    <row r="866" spans="1:9" x14ac:dyDescent="0.2">
      <c r="A866" s="5" t="str">
        <f>IF('FUENTE NO BORRAR'!A884="","",(IF('FUENTE NO BORRAR'!A884&lt;&gt;"Resultado total",'FUENTE NO BORRAR'!A884,"")))</f>
        <v/>
      </c>
      <c r="B866" s="5" t="str">
        <f>IF('FUENTE NO BORRAR'!B884="","",'FUENTE NO BORRAR'!B884)</f>
        <v/>
      </c>
      <c r="C866" s="5" t="str">
        <f>IF('FUENTE NO BORRAR'!C884="","",'FUENTE NO BORRAR'!C884)</f>
        <v/>
      </c>
      <c r="D866" s="5" t="str">
        <f>IF('FUENTE NO BORRAR'!D884="","",'FUENTE NO BORRAR'!D884)</f>
        <v/>
      </c>
      <c r="E866" s="5" t="str">
        <f>IF('FUENTE NO BORRAR'!E884="","",'FUENTE NO BORRAR'!E884)</f>
        <v/>
      </c>
      <c r="F866" s="6">
        <f>IF('FUENTE NO BORRAR'!F884="","",IF('FUENTE NO BORRAR'!$A884&lt;&gt;"Resultado total",('FUENTE NO BORRAR'!F884),""))</f>
        <v>6344.03</v>
      </c>
      <c r="G866" s="6">
        <f>IF('FUENTE NO BORRAR'!G884="","",IF('FUENTE NO BORRAR'!$A884&lt;&gt;"Resultado total",('FUENTE NO BORRAR'!G884),""))</f>
        <v>6344.03</v>
      </c>
      <c r="H866" s="6">
        <f>IF('FUENTE NO BORRAR'!H884="","",IF('FUENTE NO BORRAR'!$A884&lt;&gt;"Resultado total",('FUENTE NO BORRAR'!H884),""))</f>
        <v>6344.03</v>
      </c>
      <c r="I866" s="6">
        <f>IF('FUENTE NO BORRAR'!I884="","",IF('FUENTE NO BORRAR'!$A884&lt;&gt;"Resultado total",('FUENTE NO BORRAR'!I884),""))</f>
        <v>0</v>
      </c>
    </row>
    <row r="867" spans="1:9" x14ac:dyDescent="0.2">
      <c r="A867" s="5" t="str">
        <f>IF('FUENTE NO BORRAR'!A885="","",(IF('FUENTE NO BORRAR'!A885&lt;&gt;"Resultado total",'FUENTE NO BORRAR'!A885,"")))</f>
        <v/>
      </c>
      <c r="B867" s="5" t="str">
        <f>IF('FUENTE NO BORRAR'!B885="","",'FUENTE NO BORRAR'!B885)</f>
        <v/>
      </c>
      <c r="C867" s="5" t="str">
        <f>IF('FUENTE NO BORRAR'!C885="","",'FUENTE NO BORRAR'!C885)</f>
        <v/>
      </c>
      <c r="D867" s="5" t="str">
        <f>IF('FUENTE NO BORRAR'!D885="","",'FUENTE NO BORRAR'!D885)</f>
        <v/>
      </c>
      <c r="E867" s="5" t="str">
        <f>IF('FUENTE NO BORRAR'!E885="","",'FUENTE NO BORRAR'!E885)</f>
        <v/>
      </c>
      <c r="F867" s="6">
        <f>IF('FUENTE NO BORRAR'!F885="","",IF('FUENTE NO BORRAR'!$A885&lt;&gt;"Resultado total",('FUENTE NO BORRAR'!F885),""))</f>
        <v>0</v>
      </c>
      <c r="G867" s="6">
        <f>IF('FUENTE NO BORRAR'!G885="","",IF('FUENTE NO BORRAR'!$A885&lt;&gt;"Resultado total",('FUENTE NO BORRAR'!G885),""))</f>
        <v>0</v>
      </c>
      <c r="H867" s="6">
        <f>IF('FUENTE NO BORRAR'!H885="","",IF('FUENTE NO BORRAR'!$A885&lt;&gt;"Resultado total",('FUENTE NO BORRAR'!H885),""))</f>
        <v>0</v>
      </c>
      <c r="I867" s="6">
        <f>IF('FUENTE NO BORRAR'!I885="","",IF('FUENTE NO BORRAR'!$A885&lt;&gt;"Resultado total",('FUENTE NO BORRAR'!I885),""))</f>
        <v>0</v>
      </c>
    </row>
    <row r="868" spans="1:9" x14ac:dyDescent="0.2">
      <c r="A868" s="5" t="str">
        <f>IF('FUENTE NO BORRAR'!A886="","",(IF('FUENTE NO BORRAR'!A886&lt;&gt;"Resultado total",'FUENTE NO BORRAR'!A886,"")))</f>
        <v/>
      </c>
      <c r="B868" s="5" t="str">
        <f>IF('FUENTE NO BORRAR'!B886="","",'FUENTE NO BORRAR'!B886)</f>
        <v/>
      </c>
      <c r="C868" s="5" t="str">
        <f>IF('FUENTE NO BORRAR'!C886="","",'FUENTE NO BORRAR'!C886)</f>
        <v/>
      </c>
      <c r="D868" s="5" t="str">
        <f>IF('FUENTE NO BORRAR'!D886="","",'FUENTE NO BORRAR'!D886)</f>
        <v/>
      </c>
      <c r="E868" s="5" t="str">
        <f>IF('FUENTE NO BORRAR'!E886="","",'FUENTE NO BORRAR'!E886)</f>
        <v/>
      </c>
      <c r="F868" s="6">
        <f>IF('FUENTE NO BORRAR'!F886="","",IF('FUENTE NO BORRAR'!$A886&lt;&gt;"Resultado total",('FUENTE NO BORRAR'!F886),""))</f>
        <v>29577</v>
      </c>
      <c r="G868" s="6">
        <f>IF('FUENTE NO BORRAR'!G886="","",IF('FUENTE NO BORRAR'!$A886&lt;&gt;"Resultado total",('FUENTE NO BORRAR'!G886),""))</f>
        <v>29577</v>
      </c>
      <c r="H868" s="6">
        <f>IF('FUENTE NO BORRAR'!H886="","",IF('FUENTE NO BORRAR'!$A886&lt;&gt;"Resultado total",('FUENTE NO BORRAR'!H886),""))</f>
        <v>0</v>
      </c>
      <c r="I868" s="6">
        <f>IF('FUENTE NO BORRAR'!I886="","",IF('FUENTE NO BORRAR'!$A886&lt;&gt;"Resultado total",('FUENTE NO BORRAR'!I886),""))</f>
        <v>0</v>
      </c>
    </row>
    <row r="869" spans="1:9" x14ac:dyDescent="0.2">
      <c r="A869" s="5" t="str">
        <f>IF('FUENTE NO BORRAR'!A887="","",(IF('FUENTE NO BORRAR'!A887&lt;&gt;"Resultado total",'FUENTE NO BORRAR'!A887,"")))</f>
        <v/>
      </c>
      <c r="B869" s="5" t="str">
        <f>IF('FUENTE NO BORRAR'!B887="","",'FUENTE NO BORRAR'!B887)</f>
        <v/>
      </c>
      <c r="C869" s="5" t="str">
        <f>IF('FUENTE NO BORRAR'!C887="","",'FUENTE NO BORRAR'!C887)</f>
        <v>17031011E101</v>
      </c>
      <c r="D869" s="5" t="str">
        <f>IF('FUENTE NO BORRAR'!D887="","",'FUENTE NO BORRAR'!D887)</f>
        <v>SEG. INT. COMISARÍA</v>
      </c>
      <c r="E869" s="5" t="str">
        <f>IF('FUENTE NO BORRAR'!E887="","",'FUENTE NO BORRAR'!E887)</f>
        <v/>
      </c>
      <c r="F869" s="6" t="str">
        <f>IF('FUENTE NO BORRAR'!F887="","",IF('FUENTE NO BORRAR'!$A887&lt;&gt;"Resultado total",('FUENTE NO BORRAR'!F887),""))</f>
        <v/>
      </c>
      <c r="G869" s="6">
        <f>IF('FUENTE NO BORRAR'!G887="","",IF('FUENTE NO BORRAR'!$A887&lt;&gt;"Resultado total",('FUENTE NO BORRAR'!G887),""))</f>
        <v>0</v>
      </c>
      <c r="H869" s="6">
        <f>IF('FUENTE NO BORRAR'!H887="","",IF('FUENTE NO BORRAR'!$A887&lt;&gt;"Resultado total",('FUENTE NO BORRAR'!H887),""))</f>
        <v>0</v>
      </c>
      <c r="I869" s="6">
        <f>IF('FUENTE NO BORRAR'!I887="","",IF('FUENTE NO BORRAR'!$A887&lt;&gt;"Resultado total",('FUENTE NO BORRAR'!I887),""))</f>
        <v>0</v>
      </c>
    </row>
    <row r="870" spans="1:9" x14ac:dyDescent="0.2">
      <c r="A870" s="5" t="str">
        <f>IF('FUENTE NO BORRAR'!A888="","",(IF('FUENTE NO BORRAR'!A888&lt;&gt;"Resultado total",'FUENTE NO BORRAR'!A888,"")))</f>
        <v/>
      </c>
      <c r="B870" s="5" t="str">
        <f>IF('FUENTE NO BORRAR'!B888="","",'FUENTE NO BORRAR'!B888)</f>
        <v/>
      </c>
      <c r="C870" s="5" t="str">
        <f>IF('FUENTE NO BORRAR'!C888="","",'FUENTE NO BORRAR'!C888)</f>
        <v>17031011E103</v>
      </c>
      <c r="D870" s="5" t="str">
        <f>IF('FUENTE NO BORRAR'!D888="","",'FUENTE NO BORRAR'!D888)</f>
        <v>17031011E103</v>
      </c>
      <c r="E870" s="5" t="str">
        <f>IF('FUENTE NO BORRAR'!E888="","",'FUENTE NO BORRAR'!E888)</f>
        <v/>
      </c>
      <c r="F870" s="6">
        <f>IF('FUENTE NO BORRAR'!F888="","",IF('FUENTE NO BORRAR'!$A888&lt;&gt;"Resultado total",('FUENTE NO BORRAR'!F888),""))</f>
        <v>0</v>
      </c>
      <c r="G870" s="6">
        <f>IF('FUENTE NO BORRAR'!G888="","",IF('FUENTE NO BORRAR'!$A888&lt;&gt;"Resultado total",('FUENTE NO BORRAR'!G888),""))</f>
        <v>0</v>
      </c>
      <c r="H870" s="6">
        <f>IF('FUENTE NO BORRAR'!H888="","",IF('FUENTE NO BORRAR'!$A888&lt;&gt;"Resultado total",('FUENTE NO BORRAR'!H888),""))</f>
        <v>0</v>
      </c>
      <c r="I870" s="6">
        <f>IF('FUENTE NO BORRAR'!I888="","",IF('FUENTE NO BORRAR'!$A888&lt;&gt;"Resultado total",('FUENTE NO BORRAR'!I888),""))</f>
        <v>-1.0000000000000001E-9</v>
      </c>
    </row>
    <row r="871" spans="1:9" x14ac:dyDescent="0.2">
      <c r="A871" s="5" t="str">
        <f>IF('FUENTE NO BORRAR'!A889="","",(IF('FUENTE NO BORRAR'!A889&lt;&gt;"Resultado total",'FUENTE NO BORRAR'!A889,"")))</f>
        <v/>
      </c>
      <c r="B871" s="5" t="str">
        <f>IF('FUENTE NO BORRAR'!B889="","",'FUENTE NO BORRAR'!B889)</f>
        <v/>
      </c>
      <c r="C871" s="5" t="str">
        <f>IF('FUENTE NO BORRAR'!C889="","",'FUENTE NO BORRAR'!C889)</f>
        <v/>
      </c>
      <c r="D871" s="5" t="str">
        <f>IF('FUENTE NO BORRAR'!D889="","",'FUENTE NO BORRAR'!D889)</f>
        <v/>
      </c>
      <c r="E871" s="5" t="str">
        <f>IF('FUENTE NO BORRAR'!E889="","",'FUENTE NO BORRAR'!E889)</f>
        <v/>
      </c>
      <c r="F871" s="6">
        <f>IF('FUENTE NO BORRAR'!F889="","",IF('FUENTE NO BORRAR'!$A889&lt;&gt;"Resultado total",('FUENTE NO BORRAR'!F889),""))</f>
        <v>2071</v>
      </c>
      <c r="G871" s="6">
        <f>IF('FUENTE NO BORRAR'!G889="","",IF('FUENTE NO BORRAR'!$A889&lt;&gt;"Resultado total",('FUENTE NO BORRAR'!G889),""))</f>
        <v>2071</v>
      </c>
      <c r="H871" s="6">
        <f>IF('FUENTE NO BORRAR'!H889="","",IF('FUENTE NO BORRAR'!$A889&lt;&gt;"Resultado total",('FUENTE NO BORRAR'!H889),""))</f>
        <v>2071</v>
      </c>
      <c r="I871" s="6">
        <f>IF('FUENTE NO BORRAR'!I889="","",IF('FUENTE NO BORRAR'!$A889&lt;&gt;"Resultado total",('FUENTE NO BORRAR'!I889),""))</f>
        <v>0</v>
      </c>
    </row>
    <row r="872" spans="1:9" x14ac:dyDescent="0.2">
      <c r="A872" s="5" t="str">
        <f>IF('FUENTE NO BORRAR'!A890="","",(IF('FUENTE NO BORRAR'!A890&lt;&gt;"Resultado total",'FUENTE NO BORRAR'!A890,"")))</f>
        <v/>
      </c>
      <c r="B872" s="5" t="str">
        <f>IF('FUENTE NO BORRAR'!B890="","",'FUENTE NO BORRAR'!B890)</f>
        <v/>
      </c>
      <c r="C872" s="5" t="str">
        <f>IF('FUENTE NO BORRAR'!C890="","",'FUENTE NO BORRAR'!C890)</f>
        <v/>
      </c>
      <c r="D872" s="5" t="str">
        <f>IF('FUENTE NO BORRAR'!D890="","",'FUENTE NO BORRAR'!D890)</f>
        <v/>
      </c>
      <c r="E872" s="5" t="str">
        <f>IF('FUENTE NO BORRAR'!E890="","",'FUENTE NO BORRAR'!E890)</f>
        <v/>
      </c>
      <c r="F872" s="6">
        <f>IF('FUENTE NO BORRAR'!F890="","",IF('FUENTE NO BORRAR'!$A890&lt;&gt;"Resultado total",('FUENTE NO BORRAR'!F890),""))</f>
        <v>1353.72</v>
      </c>
      <c r="G872" s="6">
        <f>IF('FUENTE NO BORRAR'!G890="","",IF('FUENTE NO BORRAR'!$A890&lt;&gt;"Resultado total",('FUENTE NO BORRAR'!G890),""))</f>
        <v>1353.72</v>
      </c>
      <c r="H872" s="6">
        <f>IF('FUENTE NO BORRAR'!H890="","",IF('FUENTE NO BORRAR'!$A890&lt;&gt;"Resultado total",('FUENTE NO BORRAR'!H890),""))</f>
        <v>1353.72</v>
      </c>
      <c r="I872" s="6">
        <f>IF('FUENTE NO BORRAR'!I890="","",IF('FUENTE NO BORRAR'!$A890&lt;&gt;"Resultado total",('FUENTE NO BORRAR'!I890),""))</f>
        <v>0</v>
      </c>
    </row>
    <row r="873" spans="1:9" x14ac:dyDescent="0.2">
      <c r="A873" s="5" t="str">
        <f>IF('FUENTE NO BORRAR'!A891="","",(IF('FUENTE NO BORRAR'!A891&lt;&gt;"Resultado total",'FUENTE NO BORRAR'!A891,"")))</f>
        <v/>
      </c>
      <c r="B873" s="5" t="str">
        <f>IF('FUENTE NO BORRAR'!B891="","",'FUENTE NO BORRAR'!B891)</f>
        <v/>
      </c>
      <c r="C873" s="5" t="str">
        <f>IF('FUENTE NO BORRAR'!C891="","",'FUENTE NO BORRAR'!C891)</f>
        <v/>
      </c>
      <c r="D873" s="5" t="str">
        <f>IF('FUENTE NO BORRAR'!D891="","",'FUENTE NO BORRAR'!D891)</f>
        <v/>
      </c>
      <c r="E873" s="5" t="str">
        <f>IF('FUENTE NO BORRAR'!E891="","",'FUENTE NO BORRAR'!E891)</f>
        <v/>
      </c>
      <c r="F873" s="6">
        <f>IF('FUENTE NO BORRAR'!F891="","",IF('FUENTE NO BORRAR'!$A891&lt;&gt;"Resultado total",('FUENTE NO BORRAR'!F891),""))</f>
        <v>633.32000000000005</v>
      </c>
      <c r="G873" s="6">
        <f>IF('FUENTE NO BORRAR'!G891="","",IF('FUENTE NO BORRAR'!$A891&lt;&gt;"Resultado total",('FUENTE NO BORRAR'!G891),""))</f>
        <v>633.32000000000005</v>
      </c>
      <c r="H873" s="6">
        <f>IF('FUENTE NO BORRAR'!H891="","",IF('FUENTE NO BORRAR'!$A891&lt;&gt;"Resultado total",('FUENTE NO BORRAR'!H891),""))</f>
        <v>633.32000000000005</v>
      </c>
      <c r="I873" s="6">
        <f>IF('FUENTE NO BORRAR'!I891="","",IF('FUENTE NO BORRAR'!$A891&lt;&gt;"Resultado total",('FUENTE NO BORRAR'!I891),""))</f>
        <v>0</v>
      </c>
    </row>
    <row r="874" spans="1:9" x14ac:dyDescent="0.2">
      <c r="A874" s="5" t="str">
        <f>IF('FUENTE NO BORRAR'!A892="","",(IF('FUENTE NO BORRAR'!A892&lt;&gt;"Resultado total",'FUENTE NO BORRAR'!A892,"")))</f>
        <v/>
      </c>
      <c r="B874" s="5" t="str">
        <f>IF('FUENTE NO BORRAR'!B892="","",'FUENTE NO BORRAR'!B892)</f>
        <v/>
      </c>
      <c r="C874" s="5" t="str">
        <f>IF('FUENTE NO BORRAR'!C892="","",'FUENTE NO BORRAR'!C892)</f>
        <v/>
      </c>
      <c r="D874" s="5" t="str">
        <f>IF('FUENTE NO BORRAR'!D892="","",'FUENTE NO BORRAR'!D892)</f>
        <v/>
      </c>
      <c r="E874" s="5" t="str">
        <f>IF('FUENTE NO BORRAR'!E892="","",'FUENTE NO BORRAR'!E892)</f>
        <v/>
      </c>
      <c r="F874" s="6">
        <f>IF('FUENTE NO BORRAR'!F892="","",IF('FUENTE NO BORRAR'!$A892&lt;&gt;"Resultado total",('FUENTE NO BORRAR'!F892),""))</f>
        <v>6484688.0499999998</v>
      </c>
      <c r="G874" s="6">
        <f>IF('FUENTE NO BORRAR'!G892="","",IF('FUENTE NO BORRAR'!$A892&lt;&gt;"Resultado total",('FUENTE NO BORRAR'!G892),""))</f>
        <v>6484688.0499999998</v>
      </c>
      <c r="H874" s="6">
        <f>IF('FUENTE NO BORRAR'!H892="","",IF('FUENTE NO BORRAR'!$A892&lt;&gt;"Resultado total",('FUENTE NO BORRAR'!H892),""))</f>
        <v>7785868.5</v>
      </c>
      <c r="I874" s="6">
        <f>IF('FUENTE NO BORRAR'!I892="","",IF('FUENTE NO BORRAR'!$A892&lt;&gt;"Resultado total",('FUENTE NO BORRAR'!I892),""))</f>
        <v>2.0000000000000001E-9</v>
      </c>
    </row>
    <row r="875" spans="1:9" x14ac:dyDescent="0.2">
      <c r="A875" s="5" t="str">
        <f>IF('FUENTE NO BORRAR'!A893="","",(IF('FUENTE NO BORRAR'!A893&lt;&gt;"Resultado total",'FUENTE NO BORRAR'!A893,"")))</f>
        <v/>
      </c>
      <c r="B875" s="5" t="str">
        <f>IF('FUENTE NO BORRAR'!B893="","",'FUENTE NO BORRAR'!B893)</f>
        <v/>
      </c>
      <c r="C875" s="5" t="str">
        <f>IF('FUENTE NO BORRAR'!C893="","",'FUENTE NO BORRAR'!C893)</f>
        <v/>
      </c>
      <c r="D875" s="5" t="str">
        <f>IF('FUENTE NO BORRAR'!D893="","",'FUENTE NO BORRAR'!D893)</f>
        <v/>
      </c>
      <c r="E875" s="5" t="str">
        <f>IF('FUENTE NO BORRAR'!E893="","",'FUENTE NO BORRAR'!E893)</f>
        <v/>
      </c>
      <c r="F875" s="6">
        <f>IF('FUENTE NO BORRAR'!F893="","",IF('FUENTE NO BORRAR'!$A893&lt;&gt;"Resultado total",('FUENTE NO BORRAR'!F893),""))</f>
        <v>365739.27</v>
      </c>
      <c r="G875" s="6">
        <f>IF('FUENTE NO BORRAR'!G893="","",IF('FUENTE NO BORRAR'!$A893&lt;&gt;"Resultado total",('FUENTE NO BORRAR'!G893),""))</f>
        <v>365739.27</v>
      </c>
      <c r="H875" s="6">
        <f>IF('FUENTE NO BORRAR'!H893="","",IF('FUENTE NO BORRAR'!$A893&lt;&gt;"Resultado total",('FUENTE NO BORRAR'!H893),""))</f>
        <v>193388.32</v>
      </c>
      <c r="I875" s="6">
        <f>IF('FUENTE NO BORRAR'!I893="","",IF('FUENTE NO BORRAR'!$A893&lt;&gt;"Resultado total",('FUENTE NO BORRAR'!I893),""))</f>
        <v>0</v>
      </c>
    </row>
    <row r="876" spans="1:9" x14ac:dyDescent="0.2">
      <c r="A876" s="5" t="str">
        <f>IF('FUENTE NO BORRAR'!A894="","",(IF('FUENTE NO BORRAR'!A894&lt;&gt;"Resultado total",'FUENTE NO BORRAR'!A894,"")))</f>
        <v/>
      </c>
      <c r="B876" s="5" t="str">
        <f>IF('FUENTE NO BORRAR'!B894="","",'FUENTE NO BORRAR'!B894)</f>
        <v/>
      </c>
      <c r="C876" s="5" t="str">
        <f>IF('FUENTE NO BORRAR'!C894="","",'FUENTE NO BORRAR'!C894)</f>
        <v/>
      </c>
      <c r="D876" s="5" t="str">
        <f>IF('FUENTE NO BORRAR'!D894="","",'FUENTE NO BORRAR'!D894)</f>
        <v/>
      </c>
      <c r="E876" s="5" t="str">
        <f>IF('FUENTE NO BORRAR'!E894="","",'FUENTE NO BORRAR'!E894)</f>
        <v/>
      </c>
      <c r="F876" s="6">
        <f>IF('FUENTE NO BORRAR'!F894="","",IF('FUENTE NO BORRAR'!$A894&lt;&gt;"Resultado total",('FUENTE NO BORRAR'!F894),""))</f>
        <v>39229.86</v>
      </c>
      <c r="G876" s="6">
        <f>IF('FUENTE NO BORRAR'!G894="","",IF('FUENTE NO BORRAR'!$A894&lt;&gt;"Resultado total",('FUENTE NO BORRAR'!G894),""))</f>
        <v>39229.86</v>
      </c>
      <c r="H876" s="6">
        <f>IF('FUENTE NO BORRAR'!H894="","",IF('FUENTE NO BORRAR'!$A894&lt;&gt;"Resultado total",('FUENTE NO BORRAR'!H894),""))</f>
        <v>28162.89</v>
      </c>
      <c r="I876" s="6">
        <f>IF('FUENTE NO BORRAR'!I894="","",IF('FUENTE NO BORRAR'!$A894&lt;&gt;"Resultado total",('FUENTE NO BORRAR'!I894),""))</f>
        <v>0</v>
      </c>
    </row>
    <row r="877" spans="1:9" x14ac:dyDescent="0.2">
      <c r="A877" s="5" t="str">
        <f>IF('FUENTE NO BORRAR'!A895="","",(IF('FUENTE NO BORRAR'!A895&lt;&gt;"Resultado total",'FUENTE NO BORRAR'!A895,"")))</f>
        <v/>
      </c>
      <c r="B877" s="5" t="str">
        <f>IF('FUENTE NO BORRAR'!B895="","",'FUENTE NO BORRAR'!B895)</f>
        <v/>
      </c>
      <c r="C877" s="5" t="str">
        <f>IF('FUENTE NO BORRAR'!C895="","",'FUENTE NO BORRAR'!C895)</f>
        <v/>
      </c>
      <c r="D877" s="5" t="str">
        <f>IF('FUENTE NO BORRAR'!D895="","",'FUENTE NO BORRAR'!D895)</f>
        <v/>
      </c>
      <c r="E877" s="5" t="str">
        <f>IF('FUENTE NO BORRAR'!E895="","",'FUENTE NO BORRAR'!E895)</f>
        <v/>
      </c>
      <c r="F877" s="6">
        <f>IF('FUENTE NO BORRAR'!F895="","",IF('FUENTE NO BORRAR'!$A895&lt;&gt;"Resultado total",('FUENTE NO BORRAR'!F895),""))</f>
        <v>0</v>
      </c>
      <c r="G877" s="6">
        <f>IF('FUENTE NO BORRAR'!G895="","",IF('FUENTE NO BORRAR'!$A895&lt;&gt;"Resultado total",('FUENTE NO BORRAR'!G895),""))</f>
        <v>0</v>
      </c>
      <c r="H877" s="6">
        <f>IF('FUENTE NO BORRAR'!H895="","",IF('FUENTE NO BORRAR'!$A895&lt;&gt;"Resultado total",('FUENTE NO BORRAR'!H895),""))</f>
        <v>0</v>
      </c>
      <c r="I877" s="6">
        <f>IF('FUENTE NO BORRAR'!I895="","",IF('FUENTE NO BORRAR'!$A895&lt;&gt;"Resultado total",('FUENTE NO BORRAR'!I895),""))</f>
        <v>0</v>
      </c>
    </row>
    <row r="878" spans="1:9" x14ac:dyDescent="0.2">
      <c r="A878" s="5" t="str">
        <f>IF('FUENTE NO BORRAR'!A896="","",(IF('FUENTE NO BORRAR'!A896&lt;&gt;"Resultado total",'FUENTE NO BORRAR'!A896,"")))</f>
        <v/>
      </c>
      <c r="B878" s="5" t="str">
        <f>IF('FUENTE NO BORRAR'!B896="","",'FUENTE NO BORRAR'!B896)</f>
        <v/>
      </c>
      <c r="C878" s="5" t="str">
        <f>IF('FUENTE NO BORRAR'!C896="","",'FUENTE NO BORRAR'!C896)</f>
        <v/>
      </c>
      <c r="D878" s="5" t="str">
        <f>IF('FUENTE NO BORRAR'!D896="","",'FUENTE NO BORRAR'!D896)</f>
        <v/>
      </c>
      <c r="E878" s="5" t="str">
        <f>IF('FUENTE NO BORRAR'!E896="","",'FUENTE NO BORRAR'!E896)</f>
        <v/>
      </c>
      <c r="F878" s="6">
        <f>IF('FUENTE NO BORRAR'!F896="","",IF('FUENTE NO BORRAR'!$A896&lt;&gt;"Resultado total",('FUENTE NO BORRAR'!F896),""))</f>
        <v>18698.12</v>
      </c>
      <c r="G878" s="6">
        <f>IF('FUENTE NO BORRAR'!G896="","",IF('FUENTE NO BORRAR'!$A896&lt;&gt;"Resultado total",('FUENTE NO BORRAR'!G896),""))</f>
        <v>18698.12</v>
      </c>
      <c r="H878" s="6">
        <f>IF('FUENTE NO BORRAR'!H896="","",IF('FUENTE NO BORRAR'!$A896&lt;&gt;"Resultado total",('FUENTE NO BORRAR'!H896),""))</f>
        <v>18698.12</v>
      </c>
      <c r="I878" s="6">
        <f>IF('FUENTE NO BORRAR'!I896="","",IF('FUENTE NO BORRAR'!$A896&lt;&gt;"Resultado total",('FUENTE NO BORRAR'!I896),""))</f>
        <v>0</v>
      </c>
    </row>
    <row r="879" spans="1:9" x14ac:dyDescent="0.2">
      <c r="A879" s="5" t="str">
        <f>IF('FUENTE NO BORRAR'!A897="","",(IF('FUENTE NO BORRAR'!A897&lt;&gt;"Resultado total",'FUENTE NO BORRAR'!A897,"")))</f>
        <v/>
      </c>
      <c r="B879" s="5" t="str">
        <f>IF('FUENTE NO BORRAR'!B897="","",'FUENTE NO BORRAR'!B897)</f>
        <v/>
      </c>
      <c r="C879" s="5" t="str">
        <f>IF('FUENTE NO BORRAR'!C897="","",'FUENTE NO BORRAR'!C897)</f>
        <v/>
      </c>
      <c r="D879" s="5" t="str">
        <f>IF('FUENTE NO BORRAR'!D897="","",'FUENTE NO BORRAR'!D897)</f>
        <v/>
      </c>
      <c r="E879" s="5" t="str">
        <f>IF('FUENTE NO BORRAR'!E897="","",'FUENTE NO BORRAR'!E897)</f>
        <v/>
      </c>
      <c r="F879" s="6">
        <f>IF('FUENTE NO BORRAR'!F897="","",IF('FUENTE NO BORRAR'!$A897&lt;&gt;"Resultado total",('FUENTE NO BORRAR'!F897),""))</f>
        <v>260713.61</v>
      </c>
      <c r="G879" s="6">
        <f>IF('FUENTE NO BORRAR'!G897="","",IF('FUENTE NO BORRAR'!$A897&lt;&gt;"Resultado total",('FUENTE NO BORRAR'!G897),""))</f>
        <v>260713.61</v>
      </c>
      <c r="H879" s="6">
        <f>IF('FUENTE NO BORRAR'!H897="","",IF('FUENTE NO BORRAR'!$A897&lt;&gt;"Resultado total",('FUENTE NO BORRAR'!H897),""))</f>
        <v>228630.1</v>
      </c>
      <c r="I879" s="6">
        <f>IF('FUENTE NO BORRAR'!I897="","",IF('FUENTE NO BORRAR'!$A897&lt;&gt;"Resultado total",('FUENTE NO BORRAR'!I897),""))</f>
        <v>0</v>
      </c>
    </row>
    <row r="880" spans="1:9" x14ac:dyDescent="0.2">
      <c r="A880" s="5" t="str">
        <f>IF('FUENTE NO BORRAR'!A898="","",(IF('FUENTE NO BORRAR'!A898&lt;&gt;"Resultado total",'FUENTE NO BORRAR'!A898,"")))</f>
        <v/>
      </c>
      <c r="B880" s="5" t="str">
        <f>IF('FUENTE NO BORRAR'!B898="","",'FUENTE NO BORRAR'!B898)</f>
        <v/>
      </c>
      <c r="C880" s="5" t="str">
        <f>IF('FUENTE NO BORRAR'!C898="","",'FUENTE NO BORRAR'!C898)</f>
        <v/>
      </c>
      <c r="D880" s="5" t="str">
        <f>IF('FUENTE NO BORRAR'!D898="","",'FUENTE NO BORRAR'!D898)</f>
        <v/>
      </c>
      <c r="E880" s="5" t="str">
        <f>IF('FUENTE NO BORRAR'!E898="","",'FUENTE NO BORRAR'!E898)</f>
        <v/>
      </c>
      <c r="F880" s="6">
        <f>IF('FUENTE NO BORRAR'!F898="","",IF('FUENTE NO BORRAR'!$A898&lt;&gt;"Resultado total",('FUENTE NO BORRAR'!F898),""))</f>
        <v>10797.92</v>
      </c>
      <c r="G880" s="6">
        <f>IF('FUENTE NO BORRAR'!G898="","",IF('FUENTE NO BORRAR'!$A898&lt;&gt;"Resultado total",('FUENTE NO BORRAR'!G898),""))</f>
        <v>10797.92</v>
      </c>
      <c r="H880" s="6">
        <f>IF('FUENTE NO BORRAR'!H898="","",IF('FUENTE NO BORRAR'!$A898&lt;&gt;"Resultado total",('FUENTE NO BORRAR'!H898),""))</f>
        <v>9218.0400000000009</v>
      </c>
      <c r="I880" s="6">
        <f>IF('FUENTE NO BORRAR'!I898="","",IF('FUENTE NO BORRAR'!$A898&lt;&gt;"Resultado total",('FUENTE NO BORRAR'!I898),""))</f>
        <v>0</v>
      </c>
    </row>
    <row r="881" spans="1:9" x14ac:dyDescent="0.2">
      <c r="A881" s="5" t="str">
        <f>IF('FUENTE NO BORRAR'!A899="","",(IF('FUENTE NO BORRAR'!A899&lt;&gt;"Resultado total",'FUENTE NO BORRAR'!A899,"")))</f>
        <v/>
      </c>
      <c r="B881" s="5" t="str">
        <f>IF('FUENTE NO BORRAR'!B899="","",'FUENTE NO BORRAR'!B899)</f>
        <v/>
      </c>
      <c r="C881" s="5" t="str">
        <f>IF('FUENTE NO BORRAR'!C899="","",'FUENTE NO BORRAR'!C899)</f>
        <v/>
      </c>
      <c r="D881" s="5" t="str">
        <f>IF('FUENTE NO BORRAR'!D899="","",'FUENTE NO BORRAR'!D899)</f>
        <v/>
      </c>
      <c r="E881" s="5" t="str">
        <f>IF('FUENTE NO BORRAR'!E899="","",'FUENTE NO BORRAR'!E899)</f>
        <v/>
      </c>
      <c r="F881" s="6">
        <f>IF('FUENTE NO BORRAR'!F899="","",IF('FUENTE NO BORRAR'!$A899&lt;&gt;"Resultado total",('FUENTE NO BORRAR'!F899),""))</f>
        <v>1762</v>
      </c>
      <c r="G881" s="6">
        <f>IF('FUENTE NO BORRAR'!G899="","",IF('FUENTE NO BORRAR'!$A899&lt;&gt;"Resultado total",('FUENTE NO BORRAR'!G899),""))</f>
        <v>1762</v>
      </c>
      <c r="H881" s="6">
        <f>IF('FUENTE NO BORRAR'!H899="","",IF('FUENTE NO BORRAR'!$A899&lt;&gt;"Resultado total",('FUENTE NO BORRAR'!H899),""))</f>
        <v>1762</v>
      </c>
      <c r="I881" s="6">
        <f>IF('FUENTE NO BORRAR'!I899="","",IF('FUENTE NO BORRAR'!$A899&lt;&gt;"Resultado total",('FUENTE NO BORRAR'!I899),""))</f>
        <v>0</v>
      </c>
    </row>
    <row r="882" spans="1:9" x14ac:dyDescent="0.2">
      <c r="A882" s="5" t="str">
        <f>IF('FUENTE NO BORRAR'!A900="","",(IF('FUENTE NO BORRAR'!A900&lt;&gt;"Resultado total",'FUENTE NO BORRAR'!A900,"")))</f>
        <v/>
      </c>
      <c r="B882" s="5" t="str">
        <f>IF('FUENTE NO BORRAR'!B900="","",'FUENTE NO BORRAR'!B900)</f>
        <v/>
      </c>
      <c r="C882" s="5" t="str">
        <f>IF('FUENTE NO BORRAR'!C900="","",'FUENTE NO BORRAR'!C900)</f>
        <v/>
      </c>
      <c r="D882" s="5" t="str">
        <f>IF('FUENTE NO BORRAR'!D900="","",'FUENTE NO BORRAR'!D900)</f>
        <v/>
      </c>
      <c r="E882" s="5" t="str">
        <f>IF('FUENTE NO BORRAR'!E900="","",'FUENTE NO BORRAR'!E900)</f>
        <v/>
      </c>
      <c r="F882" s="6">
        <f>IF('FUENTE NO BORRAR'!F900="","",IF('FUENTE NO BORRAR'!$A900&lt;&gt;"Resultado total",('FUENTE NO BORRAR'!F900),""))</f>
        <v>13040.07</v>
      </c>
      <c r="G882" s="6">
        <f>IF('FUENTE NO BORRAR'!G900="","",IF('FUENTE NO BORRAR'!$A900&lt;&gt;"Resultado total",('FUENTE NO BORRAR'!G900),""))</f>
        <v>13040.07</v>
      </c>
      <c r="H882" s="6">
        <f>IF('FUENTE NO BORRAR'!H900="","",IF('FUENTE NO BORRAR'!$A900&lt;&gt;"Resultado total",('FUENTE NO BORRAR'!H900),""))</f>
        <v>13040.07</v>
      </c>
      <c r="I882" s="6">
        <f>IF('FUENTE NO BORRAR'!I900="","",IF('FUENTE NO BORRAR'!$A900&lt;&gt;"Resultado total",('FUENTE NO BORRAR'!I900),""))</f>
        <v>0</v>
      </c>
    </row>
    <row r="883" spans="1:9" x14ac:dyDescent="0.2">
      <c r="A883" s="5" t="str">
        <f>IF('FUENTE NO BORRAR'!A901="","",(IF('FUENTE NO BORRAR'!A901&lt;&gt;"Resultado total",'FUENTE NO BORRAR'!A901,"")))</f>
        <v/>
      </c>
      <c r="B883" s="5" t="str">
        <f>IF('FUENTE NO BORRAR'!B901="","",'FUENTE NO BORRAR'!B901)</f>
        <v/>
      </c>
      <c r="C883" s="5" t="str">
        <f>IF('FUENTE NO BORRAR'!C901="","",'FUENTE NO BORRAR'!C901)</f>
        <v/>
      </c>
      <c r="D883" s="5" t="str">
        <f>IF('FUENTE NO BORRAR'!D901="","",'FUENTE NO BORRAR'!D901)</f>
        <v/>
      </c>
      <c r="E883" s="5" t="str">
        <f>IF('FUENTE NO BORRAR'!E901="","",'FUENTE NO BORRAR'!E901)</f>
        <v/>
      </c>
      <c r="F883" s="6">
        <f>IF('FUENTE NO BORRAR'!F901="","",IF('FUENTE NO BORRAR'!$A901&lt;&gt;"Resultado total",('FUENTE NO BORRAR'!F901),""))</f>
        <v>92039.039999999994</v>
      </c>
      <c r="G883" s="6">
        <f>IF('FUENTE NO BORRAR'!G901="","",IF('FUENTE NO BORRAR'!$A901&lt;&gt;"Resultado total",('FUENTE NO BORRAR'!G901),""))</f>
        <v>92039.039999999994</v>
      </c>
      <c r="H883" s="6">
        <f>IF('FUENTE NO BORRAR'!H901="","",IF('FUENTE NO BORRAR'!$A901&lt;&gt;"Resultado total",('FUENTE NO BORRAR'!H901),""))</f>
        <v>92039.039999999994</v>
      </c>
      <c r="I883" s="6">
        <f>IF('FUENTE NO BORRAR'!I901="","",IF('FUENTE NO BORRAR'!$A901&lt;&gt;"Resultado total",('FUENTE NO BORRAR'!I901),""))</f>
        <v>0</v>
      </c>
    </row>
    <row r="884" spans="1:9" x14ac:dyDescent="0.2">
      <c r="A884" s="5" t="str">
        <f>IF('FUENTE NO BORRAR'!A902="","",(IF('FUENTE NO BORRAR'!A902&lt;&gt;"Resultado total",'FUENTE NO BORRAR'!A902,"")))</f>
        <v/>
      </c>
      <c r="B884" s="5" t="str">
        <f>IF('FUENTE NO BORRAR'!B902="","",'FUENTE NO BORRAR'!B902)</f>
        <v/>
      </c>
      <c r="C884" s="5" t="str">
        <f>IF('FUENTE NO BORRAR'!C902="","",'FUENTE NO BORRAR'!C902)</f>
        <v/>
      </c>
      <c r="D884" s="5" t="str">
        <f>IF('FUENTE NO BORRAR'!D902="","",'FUENTE NO BORRAR'!D902)</f>
        <v/>
      </c>
      <c r="E884" s="5" t="str">
        <f>IF('FUENTE NO BORRAR'!E902="","",'FUENTE NO BORRAR'!E902)</f>
        <v/>
      </c>
      <c r="F884" s="6">
        <f>IF('FUENTE NO BORRAR'!F902="","",IF('FUENTE NO BORRAR'!$A902&lt;&gt;"Resultado total",('FUENTE NO BORRAR'!F902),""))</f>
        <v>275540.94</v>
      </c>
      <c r="G884" s="6">
        <f>IF('FUENTE NO BORRAR'!G902="","",IF('FUENTE NO BORRAR'!$A902&lt;&gt;"Resultado total",('FUENTE NO BORRAR'!G902),""))</f>
        <v>275540.94</v>
      </c>
      <c r="H884" s="6">
        <f>IF('FUENTE NO BORRAR'!H902="","",IF('FUENTE NO BORRAR'!$A902&lt;&gt;"Resultado total",('FUENTE NO BORRAR'!H902),""))</f>
        <v>171356.64</v>
      </c>
      <c r="I884" s="6">
        <f>IF('FUENTE NO BORRAR'!I902="","",IF('FUENTE NO BORRAR'!$A902&lt;&gt;"Resultado total",('FUENTE NO BORRAR'!I902),""))</f>
        <v>0</v>
      </c>
    </row>
    <row r="885" spans="1:9" x14ac:dyDescent="0.2">
      <c r="A885" s="5" t="str">
        <f>IF('FUENTE NO BORRAR'!A903="","",(IF('FUENTE NO BORRAR'!A903&lt;&gt;"Resultado total",'FUENTE NO BORRAR'!A903,"")))</f>
        <v/>
      </c>
      <c r="B885" s="5" t="str">
        <f>IF('FUENTE NO BORRAR'!B903="","",'FUENTE NO BORRAR'!B903)</f>
        <v/>
      </c>
      <c r="C885" s="5" t="str">
        <f>IF('FUENTE NO BORRAR'!C903="","",'FUENTE NO BORRAR'!C903)</f>
        <v/>
      </c>
      <c r="D885" s="5" t="str">
        <f>IF('FUENTE NO BORRAR'!D903="","",'FUENTE NO BORRAR'!D903)</f>
        <v/>
      </c>
      <c r="E885" s="5" t="str">
        <f>IF('FUENTE NO BORRAR'!E903="","",'FUENTE NO BORRAR'!E903)</f>
        <v/>
      </c>
      <c r="F885" s="6">
        <f>IF('FUENTE NO BORRAR'!F903="","",IF('FUENTE NO BORRAR'!$A903&lt;&gt;"Resultado total",('FUENTE NO BORRAR'!F903),""))</f>
        <v>0</v>
      </c>
      <c r="G885" s="6">
        <f>IF('FUENTE NO BORRAR'!G903="","",IF('FUENTE NO BORRAR'!$A903&lt;&gt;"Resultado total",('FUENTE NO BORRAR'!G903),""))</f>
        <v>0</v>
      </c>
      <c r="H885" s="6">
        <f>IF('FUENTE NO BORRAR'!H903="","",IF('FUENTE NO BORRAR'!$A903&lt;&gt;"Resultado total",('FUENTE NO BORRAR'!H903),""))</f>
        <v>0</v>
      </c>
      <c r="I885" s="6">
        <f>IF('FUENTE NO BORRAR'!I903="","",IF('FUENTE NO BORRAR'!$A903&lt;&gt;"Resultado total",('FUENTE NO BORRAR'!I903),""))</f>
        <v>0</v>
      </c>
    </row>
    <row r="886" spans="1:9" x14ac:dyDescent="0.2">
      <c r="A886" s="5" t="str">
        <f>IF('FUENTE NO BORRAR'!A904="","",(IF('FUENTE NO BORRAR'!A904&lt;&gt;"Resultado total",'FUENTE NO BORRAR'!A904,"")))</f>
        <v/>
      </c>
      <c r="B886" s="5" t="str">
        <f>IF('FUENTE NO BORRAR'!B904="","",'FUENTE NO BORRAR'!B904)</f>
        <v/>
      </c>
      <c r="C886" s="5" t="str">
        <f>IF('FUENTE NO BORRAR'!C904="","",'FUENTE NO BORRAR'!C904)</f>
        <v/>
      </c>
      <c r="D886" s="5" t="str">
        <f>IF('FUENTE NO BORRAR'!D904="","",'FUENTE NO BORRAR'!D904)</f>
        <v/>
      </c>
      <c r="E886" s="5" t="str">
        <f>IF('FUENTE NO BORRAR'!E904="","",'FUENTE NO BORRAR'!E904)</f>
        <v/>
      </c>
      <c r="F886" s="6">
        <f>IF('FUENTE NO BORRAR'!F904="","",IF('FUENTE NO BORRAR'!$A904&lt;&gt;"Resultado total",('FUENTE NO BORRAR'!F904),""))</f>
        <v>5347.6</v>
      </c>
      <c r="G886" s="6">
        <f>IF('FUENTE NO BORRAR'!G904="","",IF('FUENTE NO BORRAR'!$A904&lt;&gt;"Resultado total",('FUENTE NO BORRAR'!G904),""))</f>
        <v>5347.6</v>
      </c>
      <c r="H886" s="6">
        <f>IF('FUENTE NO BORRAR'!H904="","",IF('FUENTE NO BORRAR'!$A904&lt;&gt;"Resultado total",('FUENTE NO BORRAR'!H904),""))</f>
        <v>1216.6099999999999</v>
      </c>
      <c r="I886" s="6">
        <f>IF('FUENTE NO BORRAR'!I904="","",IF('FUENTE NO BORRAR'!$A904&lt;&gt;"Resultado total",('FUENTE NO BORRAR'!I904),""))</f>
        <v>0</v>
      </c>
    </row>
    <row r="887" spans="1:9" x14ac:dyDescent="0.2">
      <c r="A887" s="5" t="str">
        <f>IF('FUENTE NO BORRAR'!A905="","",(IF('FUENTE NO BORRAR'!A905&lt;&gt;"Resultado total",'FUENTE NO BORRAR'!A905,"")))</f>
        <v/>
      </c>
      <c r="B887" s="5" t="str">
        <f>IF('FUENTE NO BORRAR'!B905="","",'FUENTE NO BORRAR'!B905)</f>
        <v/>
      </c>
      <c r="C887" s="5" t="str">
        <f>IF('FUENTE NO BORRAR'!C905="","",'FUENTE NO BORRAR'!C905)</f>
        <v/>
      </c>
      <c r="D887" s="5" t="str">
        <f>IF('FUENTE NO BORRAR'!D905="","",'FUENTE NO BORRAR'!D905)</f>
        <v/>
      </c>
      <c r="E887" s="5" t="str">
        <f>IF('FUENTE NO BORRAR'!E905="","",'FUENTE NO BORRAR'!E905)</f>
        <v/>
      </c>
      <c r="F887" s="6">
        <f>IF('FUENTE NO BORRAR'!F905="","",IF('FUENTE NO BORRAR'!$A905&lt;&gt;"Resultado total",('FUENTE NO BORRAR'!F905),""))</f>
        <v>15939.66</v>
      </c>
      <c r="G887" s="6">
        <f>IF('FUENTE NO BORRAR'!G905="","",IF('FUENTE NO BORRAR'!$A905&lt;&gt;"Resultado total",('FUENTE NO BORRAR'!G905),""))</f>
        <v>15939.66</v>
      </c>
      <c r="H887" s="6">
        <f>IF('FUENTE NO BORRAR'!H905="","",IF('FUENTE NO BORRAR'!$A905&lt;&gt;"Resultado total",('FUENTE NO BORRAR'!H905),""))</f>
        <v>15939.66</v>
      </c>
      <c r="I887" s="6">
        <f>IF('FUENTE NO BORRAR'!I905="","",IF('FUENTE NO BORRAR'!$A905&lt;&gt;"Resultado total",('FUENTE NO BORRAR'!I905),""))</f>
        <v>0</v>
      </c>
    </row>
    <row r="888" spans="1:9" x14ac:dyDescent="0.2">
      <c r="A888" s="5" t="str">
        <f>IF('FUENTE NO BORRAR'!A906="","",(IF('FUENTE NO BORRAR'!A906&lt;&gt;"Resultado total",'FUENTE NO BORRAR'!A906,"")))</f>
        <v/>
      </c>
      <c r="B888" s="5" t="str">
        <f>IF('FUENTE NO BORRAR'!B906="","",'FUENTE NO BORRAR'!B906)</f>
        <v/>
      </c>
      <c r="C888" s="5" t="str">
        <f>IF('FUENTE NO BORRAR'!C906="","",'FUENTE NO BORRAR'!C906)</f>
        <v/>
      </c>
      <c r="D888" s="5" t="str">
        <f>IF('FUENTE NO BORRAR'!D906="","",'FUENTE NO BORRAR'!D906)</f>
        <v/>
      </c>
      <c r="E888" s="5" t="str">
        <f>IF('FUENTE NO BORRAR'!E906="","",'FUENTE NO BORRAR'!E906)</f>
        <v/>
      </c>
      <c r="F888" s="6">
        <f>IF('FUENTE NO BORRAR'!F906="","",IF('FUENTE NO BORRAR'!$A906&lt;&gt;"Resultado total",('FUENTE NO BORRAR'!F906),""))</f>
        <v>50580.22</v>
      </c>
      <c r="G888" s="6">
        <f>IF('FUENTE NO BORRAR'!G906="","",IF('FUENTE NO BORRAR'!$A906&lt;&gt;"Resultado total",('FUENTE NO BORRAR'!G906),""))</f>
        <v>50580.22</v>
      </c>
      <c r="H888" s="6">
        <f>IF('FUENTE NO BORRAR'!H906="","",IF('FUENTE NO BORRAR'!$A906&lt;&gt;"Resultado total",('FUENTE NO BORRAR'!H906),""))</f>
        <v>37854.22</v>
      </c>
      <c r="I888" s="6">
        <f>IF('FUENTE NO BORRAR'!I906="","",IF('FUENTE NO BORRAR'!$A906&lt;&gt;"Resultado total",('FUENTE NO BORRAR'!I906),""))</f>
        <v>0</v>
      </c>
    </row>
    <row r="889" spans="1:9" x14ac:dyDescent="0.2">
      <c r="A889" s="5" t="str">
        <f>IF('FUENTE NO BORRAR'!A907="","",(IF('FUENTE NO BORRAR'!A907&lt;&gt;"Resultado total",'FUENTE NO BORRAR'!A907,"")))</f>
        <v/>
      </c>
      <c r="B889" s="5" t="str">
        <f>IF('FUENTE NO BORRAR'!B907="","",'FUENTE NO BORRAR'!B907)</f>
        <v/>
      </c>
      <c r="C889" s="5" t="str">
        <f>IF('FUENTE NO BORRAR'!C907="","",'FUENTE NO BORRAR'!C907)</f>
        <v/>
      </c>
      <c r="D889" s="5" t="str">
        <f>IF('FUENTE NO BORRAR'!D907="","",'FUENTE NO BORRAR'!D907)</f>
        <v/>
      </c>
      <c r="E889" s="5" t="str">
        <f>IF('FUENTE NO BORRAR'!E907="","",'FUENTE NO BORRAR'!E907)</f>
        <v/>
      </c>
      <c r="F889" s="6">
        <f>IF('FUENTE NO BORRAR'!F907="","",IF('FUENTE NO BORRAR'!$A907&lt;&gt;"Resultado total",('FUENTE NO BORRAR'!F907),""))</f>
        <v>215101.78</v>
      </c>
      <c r="G889" s="6">
        <f>IF('FUENTE NO BORRAR'!G907="","",IF('FUENTE NO BORRAR'!$A907&lt;&gt;"Resultado total",('FUENTE NO BORRAR'!G907),""))</f>
        <v>215101.78</v>
      </c>
      <c r="H889" s="6">
        <f>IF('FUENTE NO BORRAR'!H907="","",IF('FUENTE NO BORRAR'!$A907&lt;&gt;"Resultado total",('FUENTE NO BORRAR'!H907),""))</f>
        <v>215101.78</v>
      </c>
      <c r="I889" s="6">
        <f>IF('FUENTE NO BORRAR'!I907="","",IF('FUENTE NO BORRAR'!$A907&lt;&gt;"Resultado total",('FUENTE NO BORRAR'!I907),""))</f>
        <v>0</v>
      </c>
    </row>
    <row r="890" spans="1:9" x14ac:dyDescent="0.2">
      <c r="A890" s="5" t="str">
        <f>IF('FUENTE NO BORRAR'!A908="","",(IF('FUENTE NO BORRAR'!A908&lt;&gt;"Resultado total",'FUENTE NO BORRAR'!A908,"")))</f>
        <v/>
      </c>
      <c r="B890" s="5" t="str">
        <f>IF('FUENTE NO BORRAR'!B908="","",'FUENTE NO BORRAR'!B908)</f>
        <v/>
      </c>
      <c r="C890" s="5" t="str">
        <f>IF('FUENTE NO BORRAR'!C908="","",'FUENTE NO BORRAR'!C908)</f>
        <v/>
      </c>
      <c r="D890" s="5" t="str">
        <f>IF('FUENTE NO BORRAR'!D908="","",'FUENTE NO BORRAR'!D908)</f>
        <v/>
      </c>
      <c r="E890" s="5" t="str">
        <f>IF('FUENTE NO BORRAR'!E908="","",'FUENTE NO BORRAR'!E908)</f>
        <v/>
      </c>
      <c r="F890" s="6">
        <f>IF('FUENTE NO BORRAR'!F908="","",IF('FUENTE NO BORRAR'!$A908&lt;&gt;"Resultado total",('FUENTE NO BORRAR'!F908),""))</f>
        <v>449</v>
      </c>
      <c r="G890" s="6">
        <f>IF('FUENTE NO BORRAR'!G908="","",IF('FUENTE NO BORRAR'!$A908&lt;&gt;"Resultado total",('FUENTE NO BORRAR'!G908),""))</f>
        <v>449</v>
      </c>
      <c r="H890" s="6">
        <f>IF('FUENTE NO BORRAR'!H908="","",IF('FUENTE NO BORRAR'!$A908&lt;&gt;"Resultado total",('FUENTE NO BORRAR'!H908),""))</f>
        <v>449</v>
      </c>
      <c r="I890" s="6">
        <f>IF('FUENTE NO BORRAR'!I908="","",IF('FUENTE NO BORRAR'!$A908&lt;&gt;"Resultado total",('FUENTE NO BORRAR'!I908),""))</f>
        <v>0</v>
      </c>
    </row>
    <row r="891" spans="1:9" x14ac:dyDescent="0.2">
      <c r="A891" s="5" t="str">
        <f>IF('FUENTE NO BORRAR'!A909="","",(IF('FUENTE NO BORRAR'!A909&lt;&gt;"Resultado total",'FUENTE NO BORRAR'!A909,"")))</f>
        <v/>
      </c>
      <c r="B891" s="5" t="str">
        <f>IF('FUENTE NO BORRAR'!B909="","",'FUENTE NO BORRAR'!B909)</f>
        <v/>
      </c>
      <c r="C891" s="5" t="str">
        <f>IF('FUENTE NO BORRAR'!C909="","",'FUENTE NO BORRAR'!C909)</f>
        <v/>
      </c>
      <c r="D891" s="5" t="str">
        <f>IF('FUENTE NO BORRAR'!D909="","",'FUENTE NO BORRAR'!D909)</f>
        <v/>
      </c>
      <c r="E891" s="5" t="str">
        <f>IF('FUENTE NO BORRAR'!E909="","",'FUENTE NO BORRAR'!E909)</f>
        <v/>
      </c>
      <c r="F891" s="6">
        <f>IF('FUENTE NO BORRAR'!F909="","",IF('FUENTE NO BORRAR'!$A909&lt;&gt;"Resultado total",('FUENTE NO BORRAR'!F909),""))</f>
        <v>2621.49</v>
      </c>
      <c r="G891" s="6">
        <f>IF('FUENTE NO BORRAR'!G909="","",IF('FUENTE NO BORRAR'!$A909&lt;&gt;"Resultado total",('FUENTE NO BORRAR'!G909),""))</f>
        <v>2621.49</v>
      </c>
      <c r="H891" s="6">
        <f>IF('FUENTE NO BORRAR'!H909="","",IF('FUENTE NO BORRAR'!$A909&lt;&gt;"Resultado total",('FUENTE NO BORRAR'!H909),""))</f>
        <v>2621.49</v>
      </c>
      <c r="I891" s="6">
        <f>IF('FUENTE NO BORRAR'!I909="","",IF('FUENTE NO BORRAR'!$A909&lt;&gt;"Resultado total",('FUENTE NO BORRAR'!I909),""))</f>
        <v>0</v>
      </c>
    </row>
    <row r="892" spans="1:9" x14ac:dyDescent="0.2">
      <c r="A892" s="5" t="str">
        <f>IF('FUENTE NO BORRAR'!A910="","",(IF('FUENTE NO BORRAR'!A910&lt;&gt;"Resultado total",'FUENTE NO BORRAR'!A910,"")))</f>
        <v/>
      </c>
      <c r="B892" s="5" t="str">
        <f>IF('FUENTE NO BORRAR'!B910="","",'FUENTE NO BORRAR'!B910)</f>
        <v/>
      </c>
      <c r="C892" s="5" t="str">
        <f>IF('FUENTE NO BORRAR'!C910="","",'FUENTE NO BORRAR'!C910)</f>
        <v/>
      </c>
      <c r="D892" s="5" t="str">
        <f>IF('FUENTE NO BORRAR'!D910="","",'FUENTE NO BORRAR'!D910)</f>
        <v/>
      </c>
      <c r="E892" s="5" t="str">
        <f>IF('FUENTE NO BORRAR'!E910="","",'FUENTE NO BORRAR'!E910)</f>
        <v/>
      </c>
      <c r="F892" s="6">
        <f>IF('FUENTE NO BORRAR'!F910="","",IF('FUENTE NO BORRAR'!$A910&lt;&gt;"Resultado total",('FUENTE NO BORRAR'!F910),""))</f>
        <v>0</v>
      </c>
      <c r="G892" s="6">
        <f>IF('FUENTE NO BORRAR'!G910="","",IF('FUENTE NO BORRAR'!$A910&lt;&gt;"Resultado total",('FUENTE NO BORRAR'!G910),""))</f>
        <v>0</v>
      </c>
      <c r="H892" s="6">
        <f>IF('FUENTE NO BORRAR'!H910="","",IF('FUENTE NO BORRAR'!$A910&lt;&gt;"Resultado total",('FUENTE NO BORRAR'!H910),""))</f>
        <v>0</v>
      </c>
      <c r="I892" s="6">
        <f>IF('FUENTE NO BORRAR'!I910="","",IF('FUENTE NO BORRAR'!$A910&lt;&gt;"Resultado total",('FUENTE NO BORRAR'!I910),""))</f>
        <v>0</v>
      </c>
    </row>
    <row r="893" spans="1:9" x14ac:dyDescent="0.2">
      <c r="A893" s="5" t="str">
        <f>IF('FUENTE NO BORRAR'!A911="","",(IF('FUENTE NO BORRAR'!A911&lt;&gt;"Resultado total",'FUENTE NO BORRAR'!A911,"")))</f>
        <v/>
      </c>
      <c r="B893" s="5" t="str">
        <f>IF('FUENTE NO BORRAR'!B911="","",'FUENTE NO BORRAR'!B911)</f>
        <v/>
      </c>
      <c r="C893" s="5" t="str">
        <f>IF('FUENTE NO BORRAR'!C911="","",'FUENTE NO BORRAR'!C911)</f>
        <v/>
      </c>
      <c r="D893" s="5" t="str">
        <f>IF('FUENTE NO BORRAR'!D911="","",'FUENTE NO BORRAR'!D911)</f>
        <v/>
      </c>
      <c r="E893" s="5" t="str">
        <f>IF('FUENTE NO BORRAR'!E911="","",'FUENTE NO BORRAR'!E911)</f>
        <v/>
      </c>
      <c r="F893" s="6">
        <f>IF('FUENTE NO BORRAR'!F911="","",IF('FUENTE NO BORRAR'!$A911&lt;&gt;"Resultado total",('FUENTE NO BORRAR'!F911),""))</f>
        <v>2938.5</v>
      </c>
      <c r="G893" s="6">
        <f>IF('FUENTE NO BORRAR'!G911="","",IF('FUENTE NO BORRAR'!$A911&lt;&gt;"Resultado total",('FUENTE NO BORRAR'!G911),""))</f>
        <v>2938.5</v>
      </c>
      <c r="H893" s="6">
        <f>IF('FUENTE NO BORRAR'!H911="","",IF('FUENTE NO BORRAR'!$A911&lt;&gt;"Resultado total",('FUENTE NO BORRAR'!H911),""))</f>
        <v>2938.5</v>
      </c>
      <c r="I893" s="6">
        <f>IF('FUENTE NO BORRAR'!I911="","",IF('FUENTE NO BORRAR'!$A911&lt;&gt;"Resultado total",('FUENTE NO BORRAR'!I911),""))</f>
        <v>0</v>
      </c>
    </row>
    <row r="894" spans="1:9" x14ac:dyDescent="0.2">
      <c r="A894" s="5" t="str">
        <f>IF('FUENTE NO BORRAR'!A912="","",(IF('FUENTE NO BORRAR'!A912&lt;&gt;"Resultado total",'FUENTE NO BORRAR'!A912,"")))</f>
        <v/>
      </c>
      <c r="B894" s="5" t="str">
        <f>IF('FUENTE NO BORRAR'!B912="","",'FUENTE NO BORRAR'!B912)</f>
        <v/>
      </c>
      <c r="C894" s="5" t="str">
        <f>IF('FUENTE NO BORRAR'!C912="","",'FUENTE NO BORRAR'!C912)</f>
        <v/>
      </c>
      <c r="D894" s="5" t="str">
        <f>IF('FUENTE NO BORRAR'!D912="","",'FUENTE NO BORRAR'!D912)</f>
        <v/>
      </c>
      <c r="E894" s="5" t="str">
        <f>IF('FUENTE NO BORRAR'!E912="","",'FUENTE NO BORRAR'!E912)</f>
        <v/>
      </c>
      <c r="F894" s="6">
        <f>IF('FUENTE NO BORRAR'!F912="","",IF('FUENTE NO BORRAR'!$A912&lt;&gt;"Resultado total",('FUENTE NO BORRAR'!F912),""))</f>
        <v>1762.29</v>
      </c>
      <c r="G894" s="6">
        <f>IF('FUENTE NO BORRAR'!G912="","",IF('FUENTE NO BORRAR'!$A912&lt;&gt;"Resultado total",('FUENTE NO BORRAR'!G912),""))</f>
        <v>1762.29</v>
      </c>
      <c r="H894" s="6">
        <f>IF('FUENTE NO BORRAR'!H912="","",IF('FUENTE NO BORRAR'!$A912&lt;&gt;"Resultado total",('FUENTE NO BORRAR'!H912),""))</f>
        <v>1762.29</v>
      </c>
      <c r="I894" s="6">
        <f>IF('FUENTE NO BORRAR'!I912="","",IF('FUENTE NO BORRAR'!$A912&lt;&gt;"Resultado total",('FUENTE NO BORRAR'!I912),""))</f>
        <v>0</v>
      </c>
    </row>
    <row r="895" spans="1:9" x14ac:dyDescent="0.2">
      <c r="A895" s="5" t="str">
        <f>IF('FUENTE NO BORRAR'!A913="","",(IF('FUENTE NO BORRAR'!A913&lt;&gt;"Resultado total",'FUENTE NO BORRAR'!A913,"")))</f>
        <v/>
      </c>
      <c r="B895" s="5" t="str">
        <f>IF('FUENTE NO BORRAR'!B913="","",'FUENTE NO BORRAR'!B913)</f>
        <v/>
      </c>
      <c r="C895" s="5" t="str">
        <f>IF('FUENTE NO BORRAR'!C913="","",'FUENTE NO BORRAR'!C913)</f>
        <v/>
      </c>
      <c r="D895" s="5" t="str">
        <f>IF('FUENTE NO BORRAR'!D913="","",'FUENTE NO BORRAR'!D913)</f>
        <v/>
      </c>
      <c r="E895" s="5" t="str">
        <f>IF('FUENTE NO BORRAR'!E913="","",'FUENTE NO BORRAR'!E913)</f>
        <v/>
      </c>
      <c r="F895" s="6">
        <f>IF('FUENTE NO BORRAR'!F913="","",IF('FUENTE NO BORRAR'!$A913&lt;&gt;"Resultado total",('FUENTE NO BORRAR'!F913),""))</f>
        <v>72</v>
      </c>
      <c r="G895" s="6">
        <f>IF('FUENTE NO BORRAR'!G913="","",IF('FUENTE NO BORRAR'!$A913&lt;&gt;"Resultado total",('FUENTE NO BORRAR'!G913),""))</f>
        <v>72</v>
      </c>
      <c r="H895" s="6">
        <f>IF('FUENTE NO BORRAR'!H913="","",IF('FUENTE NO BORRAR'!$A913&lt;&gt;"Resultado total",('FUENTE NO BORRAR'!H913),""))</f>
        <v>72</v>
      </c>
      <c r="I895" s="6">
        <f>IF('FUENTE NO BORRAR'!I913="","",IF('FUENTE NO BORRAR'!$A913&lt;&gt;"Resultado total",('FUENTE NO BORRAR'!I913),""))</f>
        <v>0</v>
      </c>
    </row>
    <row r="896" spans="1:9" x14ac:dyDescent="0.2">
      <c r="A896" s="5" t="str">
        <f>IF('FUENTE NO BORRAR'!A914="","",(IF('FUENTE NO BORRAR'!A914&lt;&gt;"Resultado total",'FUENTE NO BORRAR'!A914,"")))</f>
        <v/>
      </c>
      <c r="B896" s="5" t="str">
        <f>IF('FUENTE NO BORRAR'!B914="","",'FUENTE NO BORRAR'!B914)</f>
        <v/>
      </c>
      <c r="C896" s="5" t="str">
        <f>IF('FUENTE NO BORRAR'!C914="","",'FUENTE NO BORRAR'!C914)</f>
        <v/>
      </c>
      <c r="D896" s="5" t="str">
        <f>IF('FUENTE NO BORRAR'!D914="","",'FUENTE NO BORRAR'!D914)</f>
        <v/>
      </c>
      <c r="E896" s="5" t="str">
        <f>IF('FUENTE NO BORRAR'!E914="","",'FUENTE NO BORRAR'!E914)</f>
        <v/>
      </c>
      <c r="F896" s="6">
        <f>IF('FUENTE NO BORRAR'!F914="","",IF('FUENTE NO BORRAR'!$A914&lt;&gt;"Resultado total",('FUENTE NO BORRAR'!F914),""))</f>
        <v>8064.83</v>
      </c>
      <c r="G896" s="6">
        <f>IF('FUENTE NO BORRAR'!G914="","",IF('FUENTE NO BORRAR'!$A914&lt;&gt;"Resultado total",('FUENTE NO BORRAR'!G914),""))</f>
        <v>8064.83</v>
      </c>
      <c r="H896" s="6">
        <f>IF('FUENTE NO BORRAR'!H914="","",IF('FUENTE NO BORRAR'!$A914&lt;&gt;"Resultado total",('FUENTE NO BORRAR'!H914),""))</f>
        <v>8064.83</v>
      </c>
      <c r="I896" s="6">
        <f>IF('FUENTE NO BORRAR'!I914="","",IF('FUENTE NO BORRAR'!$A914&lt;&gt;"Resultado total",('FUENTE NO BORRAR'!I914),""))</f>
        <v>0</v>
      </c>
    </row>
    <row r="897" spans="1:9" x14ac:dyDescent="0.2">
      <c r="A897" s="5" t="str">
        <f>IF('FUENTE NO BORRAR'!A915="","",(IF('FUENTE NO BORRAR'!A915&lt;&gt;"Resultado total",'FUENTE NO BORRAR'!A915,"")))</f>
        <v/>
      </c>
      <c r="B897" s="5" t="str">
        <f>IF('FUENTE NO BORRAR'!B915="","",'FUENTE NO BORRAR'!B915)</f>
        <v/>
      </c>
      <c r="C897" s="5" t="str">
        <f>IF('FUENTE NO BORRAR'!C915="","",'FUENTE NO BORRAR'!C915)</f>
        <v/>
      </c>
      <c r="D897" s="5" t="str">
        <f>IF('FUENTE NO BORRAR'!D915="","",'FUENTE NO BORRAR'!D915)</f>
        <v/>
      </c>
      <c r="E897" s="5" t="str">
        <f>IF('FUENTE NO BORRAR'!E915="","",'FUENTE NO BORRAR'!E915)</f>
        <v/>
      </c>
      <c r="F897" s="6">
        <f>IF('FUENTE NO BORRAR'!F915="","",IF('FUENTE NO BORRAR'!$A915&lt;&gt;"Resultado total",('FUENTE NO BORRAR'!F915),""))</f>
        <v>49545.15</v>
      </c>
      <c r="G897" s="6">
        <f>IF('FUENTE NO BORRAR'!G915="","",IF('FUENTE NO BORRAR'!$A915&lt;&gt;"Resultado total",('FUENTE NO BORRAR'!G915),""))</f>
        <v>49545.15</v>
      </c>
      <c r="H897" s="6">
        <f>IF('FUENTE NO BORRAR'!H915="","",IF('FUENTE NO BORRAR'!$A915&lt;&gt;"Resultado total",('FUENTE NO BORRAR'!H915),""))</f>
        <v>49545.15</v>
      </c>
      <c r="I897" s="6">
        <f>IF('FUENTE NO BORRAR'!I915="","",IF('FUENTE NO BORRAR'!$A915&lt;&gt;"Resultado total",('FUENTE NO BORRAR'!I915),""))</f>
        <v>0</v>
      </c>
    </row>
    <row r="898" spans="1:9" x14ac:dyDescent="0.2">
      <c r="A898" s="5" t="str">
        <f>IF('FUENTE NO BORRAR'!A916="","",(IF('FUENTE NO BORRAR'!A916&lt;&gt;"Resultado total",'FUENTE NO BORRAR'!A916,"")))</f>
        <v/>
      </c>
      <c r="B898" s="5" t="str">
        <f>IF('FUENTE NO BORRAR'!B916="","",'FUENTE NO BORRAR'!B916)</f>
        <v/>
      </c>
      <c r="C898" s="5" t="str">
        <f>IF('FUENTE NO BORRAR'!C916="","",'FUENTE NO BORRAR'!C916)</f>
        <v/>
      </c>
      <c r="D898" s="5" t="str">
        <f>IF('FUENTE NO BORRAR'!D916="","",'FUENTE NO BORRAR'!D916)</f>
        <v/>
      </c>
      <c r="E898" s="5" t="str">
        <f>IF('FUENTE NO BORRAR'!E916="","",'FUENTE NO BORRAR'!E916)</f>
        <v/>
      </c>
      <c r="F898" s="6">
        <f>IF('FUENTE NO BORRAR'!F916="","",IF('FUENTE NO BORRAR'!$A916&lt;&gt;"Resultado total",('FUENTE NO BORRAR'!F916),""))</f>
        <v>102747.07</v>
      </c>
      <c r="G898" s="6">
        <f>IF('FUENTE NO BORRAR'!G916="","",IF('FUENTE NO BORRAR'!$A916&lt;&gt;"Resultado total",('FUENTE NO BORRAR'!G916),""))</f>
        <v>102747.07</v>
      </c>
      <c r="H898" s="6">
        <f>IF('FUENTE NO BORRAR'!H916="","",IF('FUENTE NO BORRAR'!$A916&lt;&gt;"Resultado total",('FUENTE NO BORRAR'!H916),""))</f>
        <v>100496.67</v>
      </c>
      <c r="I898" s="6">
        <f>IF('FUENTE NO BORRAR'!I916="","",IF('FUENTE NO BORRAR'!$A916&lt;&gt;"Resultado total",('FUENTE NO BORRAR'!I916),""))</f>
        <v>0</v>
      </c>
    </row>
    <row r="899" spans="1:9" x14ac:dyDescent="0.2">
      <c r="A899" s="5" t="str">
        <f>IF('FUENTE NO BORRAR'!A917="","",(IF('FUENTE NO BORRAR'!A917&lt;&gt;"Resultado total",'FUENTE NO BORRAR'!A917,"")))</f>
        <v/>
      </c>
      <c r="B899" s="5" t="str">
        <f>IF('FUENTE NO BORRAR'!B917="","",'FUENTE NO BORRAR'!B917)</f>
        <v/>
      </c>
      <c r="C899" s="5" t="str">
        <f>IF('FUENTE NO BORRAR'!C917="","",'FUENTE NO BORRAR'!C917)</f>
        <v/>
      </c>
      <c r="D899" s="5" t="str">
        <f>IF('FUENTE NO BORRAR'!D917="","",'FUENTE NO BORRAR'!D917)</f>
        <v/>
      </c>
      <c r="E899" s="5" t="str">
        <f>IF('FUENTE NO BORRAR'!E917="","",'FUENTE NO BORRAR'!E917)</f>
        <v/>
      </c>
      <c r="F899" s="6">
        <f>IF('FUENTE NO BORRAR'!F917="","",IF('FUENTE NO BORRAR'!$A917&lt;&gt;"Resultado total",('FUENTE NO BORRAR'!F917),""))</f>
        <v>2065.6799999999998</v>
      </c>
      <c r="G899" s="6">
        <f>IF('FUENTE NO BORRAR'!G917="","",IF('FUENTE NO BORRAR'!$A917&lt;&gt;"Resultado total",('FUENTE NO BORRAR'!G917),""))</f>
        <v>2065.6799999999998</v>
      </c>
      <c r="H899" s="6">
        <f>IF('FUENTE NO BORRAR'!H917="","",IF('FUENTE NO BORRAR'!$A917&lt;&gt;"Resultado total",('FUENTE NO BORRAR'!H917),""))</f>
        <v>2065.6799999999998</v>
      </c>
      <c r="I899" s="6">
        <f>IF('FUENTE NO BORRAR'!I917="","",IF('FUENTE NO BORRAR'!$A917&lt;&gt;"Resultado total",('FUENTE NO BORRAR'!I917),""))</f>
        <v>0</v>
      </c>
    </row>
    <row r="900" spans="1:9" x14ac:dyDescent="0.2">
      <c r="A900" s="5" t="str">
        <f>IF('FUENTE NO BORRAR'!A918="","",(IF('FUENTE NO BORRAR'!A918&lt;&gt;"Resultado total",'FUENTE NO BORRAR'!A918,"")))</f>
        <v/>
      </c>
      <c r="B900" s="5" t="str">
        <f>IF('FUENTE NO BORRAR'!B918="","",'FUENTE NO BORRAR'!B918)</f>
        <v/>
      </c>
      <c r="C900" s="5" t="str">
        <f>IF('FUENTE NO BORRAR'!C918="","",'FUENTE NO BORRAR'!C918)</f>
        <v/>
      </c>
      <c r="D900" s="5" t="str">
        <f>IF('FUENTE NO BORRAR'!D918="","",'FUENTE NO BORRAR'!D918)</f>
        <v/>
      </c>
      <c r="E900" s="5" t="str">
        <f>IF('FUENTE NO BORRAR'!E918="","",'FUENTE NO BORRAR'!E918)</f>
        <v/>
      </c>
      <c r="F900" s="6">
        <f>IF('FUENTE NO BORRAR'!F918="","",IF('FUENTE NO BORRAR'!$A918&lt;&gt;"Resultado total",('FUENTE NO BORRAR'!F918),""))</f>
        <v>159996.5</v>
      </c>
      <c r="G900" s="6">
        <f>IF('FUENTE NO BORRAR'!G918="","",IF('FUENTE NO BORRAR'!$A918&lt;&gt;"Resultado total",('FUENTE NO BORRAR'!G918),""))</f>
        <v>159996.5</v>
      </c>
      <c r="H900" s="6">
        <f>IF('FUENTE NO BORRAR'!H918="","",IF('FUENTE NO BORRAR'!$A918&lt;&gt;"Resultado total",('FUENTE NO BORRAR'!H918),""))</f>
        <v>159996.5</v>
      </c>
      <c r="I900" s="6">
        <f>IF('FUENTE NO BORRAR'!I918="","",IF('FUENTE NO BORRAR'!$A918&lt;&gt;"Resultado total",('FUENTE NO BORRAR'!I918),""))</f>
        <v>0</v>
      </c>
    </row>
    <row r="901" spans="1:9" x14ac:dyDescent="0.2">
      <c r="A901" s="5" t="str">
        <f>IF('FUENTE NO BORRAR'!A919="","",(IF('FUENTE NO BORRAR'!A919&lt;&gt;"Resultado total",'FUENTE NO BORRAR'!A919,"")))</f>
        <v/>
      </c>
      <c r="B901" s="5" t="str">
        <f>IF('FUENTE NO BORRAR'!B919="","",'FUENTE NO BORRAR'!B919)</f>
        <v/>
      </c>
      <c r="C901" s="5" t="str">
        <f>IF('FUENTE NO BORRAR'!C919="","",'FUENTE NO BORRAR'!C919)</f>
        <v/>
      </c>
      <c r="D901" s="5" t="str">
        <f>IF('FUENTE NO BORRAR'!D919="","",'FUENTE NO BORRAR'!D919)</f>
        <v/>
      </c>
      <c r="E901" s="5" t="str">
        <f>IF('FUENTE NO BORRAR'!E919="","",'FUENTE NO BORRAR'!E919)</f>
        <v/>
      </c>
      <c r="F901" s="6">
        <f>IF('FUENTE NO BORRAR'!F919="","",IF('FUENTE NO BORRAR'!$A919&lt;&gt;"Resultado total",('FUENTE NO BORRAR'!F919),""))</f>
        <v>205.9</v>
      </c>
      <c r="G901" s="6">
        <f>IF('FUENTE NO BORRAR'!G919="","",IF('FUENTE NO BORRAR'!$A919&lt;&gt;"Resultado total",('FUENTE NO BORRAR'!G919),""))</f>
        <v>205.9</v>
      </c>
      <c r="H901" s="6">
        <f>IF('FUENTE NO BORRAR'!H919="","",IF('FUENTE NO BORRAR'!$A919&lt;&gt;"Resultado total",('FUENTE NO BORRAR'!H919),""))</f>
        <v>205.9</v>
      </c>
      <c r="I901" s="6">
        <f>IF('FUENTE NO BORRAR'!I919="","",IF('FUENTE NO BORRAR'!$A919&lt;&gt;"Resultado total",('FUENTE NO BORRAR'!I919),""))</f>
        <v>0</v>
      </c>
    </row>
    <row r="902" spans="1:9" x14ac:dyDescent="0.2">
      <c r="A902" s="5" t="str">
        <f>IF('FUENTE NO BORRAR'!A920="","",(IF('FUENTE NO BORRAR'!A920&lt;&gt;"Resultado total",'FUENTE NO BORRAR'!A920,"")))</f>
        <v/>
      </c>
      <c r="B902" s="5" t="str">
        <f>IF('FUENTE NO BORRAR'!B920="","",'FUENTE NO BORRAR'!B920)</f>
        <v/>
      </c>
      <c r="C902" s="5" t="str">
        <f>IF('FUENTE NO BORRAR'!C920="","",'FUENTE NO BORRAR'!C920)</f>
        <v/>
      </c>
      <c r="D902" s="5" t="str">
        <f>IF('FUENTE NO BORRAR'!D920="","",'FUENTE NO BORRAR'!D920)</f>
        <v/>
      </c>
      <c r="E902" s="5" t="str">
        <f>IF('FUENTE NO BORRAR'!E920="","",'FUENTE NO BORRAR'!E920)</f>
        <v/>
      </c>
      <c r="F902" s="6">
        <f>IF('FUENTE NO BORRAR'!F920="","",IF('FUENTE NO BORRAR'!$A920&lt;&gt;"Resultado total",('FUENTE NO BORRAR'!F920),""))</f>
        <v>297.99</v>
      </c>
      <c r="G902" s="6">
        <f>IF('FUENTE NO BORRAR'!G920="","",IF('FUENTE NO BORRAR'!$A920&lt;&gt;"Resultado total",('FUENTE NO BORRAR'!G920),""))</f>
        <v>297.99</v>
      </c>
      <c r="H902" s="6">
        <f>IF('FUENTE NO BORRAR'!H920="","",IF('FUENTE NO BORRAR'!$A920&lt;&gt;"Resultado total",('FUENTE NO BORRAR'!H920),""))</f>
        <v>297.99</v>
      </c>
      <c r="I902" s="6">
        <f>IF('FUENTE NO BORRAR'!I920="","",IF('FUENTE NO BORRAR'!$A920&lt;&gt;"Resultado total",('FUENTE NO BORRAR'!I920),""))</f>
        <v>0</v>
      </c>
    </row>
    <row r="903" spans="1:9" x14ac:dyDescent="0.2">
      <c r="A903" s="5" t="str">
        <f>IF('FUENTE NO BORRAR'!A921="","",(IF('FUENTE NO BORRAR'!A921&lt;&gt;"Resultado total",'FUENTE NO BORRAR'!A921,"")))</f>
        <v/>
      </c>
      <c r="B903" s="5" t="str">
        <f>IF('FUENTE NO BORRAR'!B921="","",'FUENTE NO BORRAR'!B921)</f>
        <v/>
      </c>
      <c r="C903" s="5" t="str">
        <f>IF('FUENTE NO BORRAR'!C921="","",'FUENTE NO BORRAR'!C921)</f>
        <v/>
      </c>
      <c r="D903" s="5" t="str">
        <f>IF('FUENTE NO BORRAR'!D921="","",'FUENTE NO BORRAR'!D921)</f>
        <v/>
      </c>
      <c r="E903" s="5" t="str">
        <f>IF('FUENTE NO BORRAR'!E921="","",'FUENTE NO BORRAR'!E921)</f>
        <v/>
      </c>
      <c r="F903" s="6">
        <f>IF('FUENTE NO BORRAR'!F921="","",IF('FUENTE NO BORRAR'!$A921&lt;&gt;"Resultado total",('FUENTE NO BORRAR'!F921),""))</f>
        <v>5316.92</v>
      </c>
      <c r="G903" s="6">
        <f>IF('FUENTE NO BORRAR'!G921="","",IF('FUENTE NO BORRAR'!$A921&lt;&gt;"Resultado total",('FUENTE NO BORRAR'!G921),""))</f>
        <v>5316.92</v>
      </c>
      <c r="H903" s="6">
        <f>IF('FUENTE NO BORRAR'!H921="","",IF('FUENTE NO BORRAR'!$A921&lt;&gt;"Resultado total",('FUENTE NO BORRAR'!H921),""))</f>
        <v>5316.92</v>
      </c>
      <c r="I903" s="6">
        <f>IF('FUENTE NO BORRAR'!I921="","",IF('FUENTE NO BORRAR'!$A921&lt;&gt;"Resultado total",('FUENTE NO BORRAR'!I921),""))</f>
        <v>0</v>
      </c>
    </row>
    <row r="904" spans="1:9" x14ac:dyDescent="0.2">
      <c r="A904" s="5" t="str">
        <f>IF('FUENTE NO BORRAR'!A922="","",(IF('FUENTE NO BORRAR'!A922&lt;&gt;"Resultado total",'FUENTE NO BORRAR'!A922,"")))</f>
        <v/>
      </c>
      <c r="B904" s="5" t="str">
        <f>IF('FUENTE NO BORRAR'!B922="","",'FUENTE NO BORRAR'!B922)</f>
        <v/>
      </c>
      <c r="C904" s="5" t="str">
        <f>IF('FUENTE NO BORRAR'!C922="","",'FUENTE NO BORRAR'!C922)</f>
        <v/>
      </c>
      <c r="D904" s="5" t="str">
        <f>IF('FUENTE NO BORRAR'!D922="","",'FUENTE NO BORRAR'!D922)</f>
        <v/>
      </c>
      <c r="E904" s="5" t="str">
        <f>IF('FUENTE NO BORRAR'!E922="","",'FUENTE NO BORRAR'!E922)</f>
        <v/>
      </c>
      <c r="F904" s="6">
        <f>IF('FUENTE NO BORRAR'!F922="","",IF('FUENTE NO BORRAR'!$A922&lt;&gt;"Resultado total",('FUENTE NO BORRAR'!F922),""))</f>
        <v>1319.98</v>
      </c>
      <c r="G904" s="6">
        <f>IF('FUENTE NO BORRAR'!G922="","",IF('FUENTE NO BORRAR'!$A922&lt;&gt;"Resultado total",('FUENTE NO BORRAR'!G922),""))</f>
        <v>1319.98</v>
      </c>
      <c r="H904" s="6">
        <f>IF('FUENTE NO BORRAR'!H922="","",IF('FUENTE NO BORRAR'!$A922&lt;&gt;"Resultado total",('FUENTE NO BORRAR'!H922),""))</f>
        <v>1319.98</v>
      </c>
      <c r="I904" s="6">
        <f>IF('FUENTE NO BORRAR'!I922="","",IF('FUENTE NO BORRAR'!$A922&lt;&gt;"Resultado total",('FUENTE NO BORRAR'!I922),""))</f>
        <v>0</v>
      </c>
    </row>
    <row r="905" spans="1:9" x14ac:dyDescent="0.2">
      <c r="A905" s="5" t="str">
        <f>IF('FUENTE NO BORRAR'!A923="","",(IF('FUENTE NO BORRAR'!A923&lt;&gt;"Resultado total",'FUENTE NO BORRAR'!A923,"")))</f>
        <v/>
      </c>
      <c r="B905" s="5" t="str">
        <f>IF('FUENTE NO BORRAR'!B923="","",'FUENTE NO BORRAR'!B923)</f>
        <v/>
      </c>
      <c r="C905" s="5" t="str">
        <f>IF('FUENTE NO BORRAR'!C923="","",'FUENTE NO BORRAR'!C923)</f>
        <v/>
      </c>
      <c r="D905" s="5" t="str">
        <f>IF('FUENTE NO BORRAR'!D923="","",'FUENTE NO BORRAR'!D923)</f>
        <v/>
      </c>
      <c r="E905" s="5" t="str">
        <f>IF('FUENTE NO BORRAR'!E923="","",'FUENTE NO BORRAR'!E923)</f>
        <v/>
      </c>
      <c r="F905" s="6">
        <f>IF('FUENTE NO BORRAR'!F923="","",IF('FUENTE NO BORRAR'!$A923&lt;&gt;"Resultado total",('FUENTE NO BORRAR'!F923),""))</f>
        <v>3489.88</v>
      </c>
      <c r="G905" s="6">
        <f>IF('FUENTE NO BORRAR'!G923="","",IF('FUENTE NO BORRAR'!$A923&lt;&gt;"Resultado total",('FUENTE NO BORRAR'!G923),""))</f>
        <v>3489.88</v>
      </c>
      <c r="H905" s="6">
        <f>IF('FUENTE NO BORRAR'!H923="","",IF('FUENTE NO BORRAR'!$A923&lt;&gt;"Resultado total",('FUENTE NO BORRAR'!H923),""))</f>
        <v>3489.88</v>
      </c>
      <c r="I905" s="6">
        <f>IF('FUENTE NO BORRAR'!I923="","",IF('FUENTE NO BORRAR'!$A923&lt;&gt;"Resultado total",('FUENTE NO BORRAR'!I923),""))</f>
        <v>0</v>
      </c>
    </row>
    <row r="906" spans="1:9" x14ac:dyDescent="0.2">
      <c r="A906" s="5" t="str">
        <f>IF('FUENTE NO BORRAR'!A924="","",(IF('FUENTE NO BORRAR'!A924&lt;&gt;"Resultado total",'FUENTE NO BORRAR'!A924,"")))</f>
        <v/>
      </c>
      <c r="B906" s="5" t="str">
        <f>IF('FUENTE NO BORRAR'!B924="","",'FUENTE NO BORRAR'!B924)</f>
        <v/>
      </c>
      <c r="C906" s="5" t="str">
        <f>IF('FUENTE NO BORRAR'!C924="","",'FUENTE NO BORRAR'!C924)</f>
        <v/>
      </c>
      <c r="D906" s="5" t="str">
        <f>IF('FUENTE NO BORRAR'!D924="","",'FUENTE NO BORRAR'!D924)</f>
        <v/>
      </c>
      <c r="E906" s="5" t="str">
        <f>IF('FUENTE NO BORRAR'!E924="","",'FUENTE NO BORRAR'!E924)</f>
        <v/>
      </c>
      <c r="F906" s="6">
        <f>IF('FUENTE NO BORRAR'!F924="","",IF('FUENTE NO BORRAR'!$A924&lt;&gt;"Resultado total",('FUENTE NO BORRAR'!F924),""))</f>
        <v>16390.75</v>
      </c>
      <c r="G906" s="6">
        <f>IF('FUENTE NO BORRAR'!G924="","",IF('FUENTE NO BORRAR'!$A924&lt;&gt;"Resultado total",('FUENTE NO BORRAR'!G924),""))</f>
        <v>16390.75</v>
      </c>
      <c r="H906" s="6">
        <f>IF('FUENTE NO BORRAR'!H924="","",IF('FUENTE NO BORRAR'!$A924&lt;&gt;"Resultado total",('FUENTE NO BORRAR'!H924),""))</f>
        <v>16390.75</v>
      </c>
      <c r="I906" s="6">
        <f>IF('FUENTE NO BORRAR'!I924="","",IF('FUENTE NO BORRAR'!$A924&lt;&gt;"Resultado total",('FUENTE NO BORRAR'!I924),""))</f>
        <v>0</v>
      </c>
    </row>
    <row r="907" spans="1:9" x14ac:dyDescent="0.2">
      <c r="A907" s="5" t="str">
        <f>IF('FUENTE NO BORRAR'!A925="","",(IF('FUENTE NO BORRAR'!A925&lt;&gt;"Resultado total",'FUENTE NO BORRAR'!A925,"")))</f>
        <v/>
      </c>
      <c r="B907" s="5" t="str">
        <f>IF('FUENTE NO BORRAR'!B925="","",'FUENTE NO BORRAR'!B925)</f>
        <v/>
      </c>
      <c r="C907" s="5" t="str">
        <f>IF('FUENTE NO BORRAR'!C925="","",'FUENTE NO BORRAR'!C925)</f>
        <v/>
      </c>
      <c r="D907" s="5" t="str">
        <f>IF('FUENTE NO BORRAR'!D925="","",'FUENTE NO BORRAR'!D925)</f>
        <v/>
      </c>
      <c r="E907" s="5" t="str">
        <f>IF('FUENTE NO BORRAR'!E925="","",'FUENTE NO BORRAR'!E925)</f>
        <v/>
      </c>
      <c r="F907" s="6">
        <f>IF('FUENTE NO BORRAR'!F925="","",IF('FUENTE NO BORRAR'!$A925&lt;&gt;"Resultado total",('FUENTE NO BORRAR'!F925),""))</f>
        <v>0</v>
      </c>
      <c r="G907" s="6">
        <f>IF('FUENTE NO BORRAR'!G925="","",IF('FUENTE NO BORRAR'!$A925&lt;&gt;"Resultado total",('FUENTE NO BORRAR'!G925),""))</f>
        <v>0</v>
      </c>
      <c r="H907" s="6">
        <f>IF('FUENTE NO BORRAR'!H925="","",IF('FUENTE NO BORRAR'!$A925&lt;&gt;"Resultado total",('FUENTE NO BORRAR'!H925),""))</f>
        <v>0</v>
      </c>
      <c r="I907" s="6">
        <f>IF('FUENTE NO BORRAR'!I925="","",IF('FUENTE NO BORRAR'!$A925&lt;&gt;"Resultado total",('FUENTE NO BORRAR'!I925),""))</f>
        <v>0</v>
      </c>
    </row>
    <row r="908" spans="1:9" x14ac:dyDescent="0.2">
      <c r="A908" s="5" t="str">
        <f>IF('FUENTE NO BORRAR'!A926="","",(IF('FUENTE NO BORRAR'!A926&lt;&gt;"Resultado total",'FUENTE NO BORRAR'!A926,"")))</f>
        <v/>
      </c>
      <c r="B908" s="5" t="str">
        <f>IF('FUENTE NO BORRAR'!B926="","",'FUENTE NO BORRAR'!B926)</f>
        <v/>
      </c>
      <c r="C908" s="5" t="str">
        <f>IF('FUENTE NO BORRAR'!C926="","",'FUENTE NO BORRAR'!C926)</f>
        <v/>
      </c>
      <c r="D908" s="5" t="str">
        <f>IF('FUENTE NO BORRAR'!D926="","",'FUENTE NO BORRAR'!D926)</f>
        <v/>
      </c>
      <c r="E908" s="5" t="str">
        <f>IF('FUENTE NO BORRAR'!E926="","",'FUENTE NO BORRAR'!E926)</f>
        <v/>
      </c>
      <c r="F908" s="6">
        <f>IF('FUENTE NO BORRAR'!F926="","",IF('FUENTE NO BORRAR'!$A926&lt;&gt;"Resultado total",('FUENTE NO BORRAR'!F926),""))</f>
        <v>23</v>
      </c>
      <c r="G908" s="6">
        <f>IF('FUENTE NO BORRAR'!G926="","",IF('FUENTE NO BORRAR'!$A926&lt;&gt;"Resultado total",('FUENTE NO BORRAR'!G926),""))</f>
        <v>23</v>
      </c>
      <c r="H908" s="6">
        <f>IF('FUENTE NO BORRAR'!H926="","",IF('FUENTE NO BORRAR'!$A926&lt;&gt;"Resultado total",('FUENTE NO BORRAR'!H926),""))</f>
        <v>23</v>
      </c>
      <c r="I908" s="6">
        <f>IF('FUENTE NO BORRAR'!I926="","",IF('FUENTE NO BORRAR'!$A926&lt;&gt;"Resultado total",('FUENTE NO BORRAR'!I926),""))</f>
        <v>0</v>
      </c>
    </row>
    <row r="909" spans="1:9" x14ac:dyDescent="0.2">
      <c r="A909" s="5" t="str">
        <f>IF('FUENTE NO BORRAR'!A927="","",(IF('FUENTE NO BORRAR'!A927&lt;&gt;"Resultado total",'FUENTE NO BORRAR'!A927,"")))</f>
        <v/>
      </c>
      <c r="B909" s="5" t="str">
        <f>IF('FUENTE NO BORRAR'!B927="","",'FUENTE NO BORRAR'!B927)</f>
        <v/>
      </c>
      <c r="C909" s="5" t="str">
        <f>IF('FUENTE NO BORRAR'!C927="","",'FUENTE NO BORRAR'!C927)</f>
        <v/>
      </c>
      <c r="D909" s="5" t="str">
        <f>IF('FUENTE NO BORRAR'!D927="","",'FUENTE NO BORRAR'!D927)</f>
        <v/>
      </c>
      <c r="E909" s="5" t="str">
        <f>IF('FUENTE NO BORRAR'!E927="","",'FUENTE NO BORRAR'!E927)</f>
        <v/>
      </c>
      <c r="F909" s="6">
        <f>IF('FUENTE NO BORRAR'!F927="","",IF('FUENTE NO BORRAR'!$A927&lt;&gt;"Resultado total",('FUENTE NO BORRAR'!F927),""))</f>
        <v>105512.43</v>
      </c>
      <c r="G909" s="6">
        <f>IF('FUENTE NO BORRAR'!G927="","",IF('FUENTE NO BORRAR'!$A927&lt;&gt;"Resultado total",('FUENTE NO BORRAR'!G927),""))</f>
        <v>105512.43</v>
      </c>
      <c r="H909" s="6">
        <f>IF('FUENTE NO BORRAR'!H927="","",IF('FUENTE NO BORRAR'!$A927&lt;&gt;"Resultado total",('FUENTE NO BORRAR'!H927),""))</f>
        <v>95057.58</v>
      </c>
      <c r="I909" s="6">
        <f>IF('FUENTE NO BORRAR'!I927="","",IF('FUENTE NO BORRAR'!$A927&lt;&gt;"Resultado total",('FUENTE NO BORRAR'!I927),""))</f>
        <v>0</v>
      </c>
    </row>
    <row r="910" spans="1:9" x14ac:dyDescent="0.2">
      <c r="A910" s="5" t="str">
        <f>IF('FUENTE NO BORRAR'!A928="","",(IF('FUENTE NO BORRAR'!A928&lt;&gt;"Resultado total",'FUENTE NO BORRAR'!A928,"")))</f>
        <v/>
      </c>
      <c r="B910" s="5" t="str">
        <f>IF('FUENTE NO BORRAR'!B928="","",'FUENTE NO BORRAR'!B928)</f>
        <v/>
      </c>
      <c r="C910" s="5" t="str">
        <f>IF('FUENTE NO BORRAR'!C928="","",'FUENTE NO BORRAR'!C928)</f>
        <v/>
      </c>
      <c r="D910" s="5" t="str">
        <f>IF('FUENTE NO BORRAR'!D928="","",'FUENTE NO BORRAR'!D928)</f>
        <v/>
      </c>
      <c r="E910" s="5" t="str">
        <f>IF('FUENTE NO BORRAR'!E928="","",'FUENTE NO BORRAR'!E928)</f>
        <v/>
      </c>
      <c r="F910" s="6">
        <f>IF('FUENTE NO BORRAR'!F928="","",IF('FUENTE NO BORRAR'!$A928&lt;&gt;"Resultado total",('FUENTE NO BORRAR'!F928),""))</f>
        <v>2959.45</v>
      </c>
      <c r="G910" s="6">
        <f>IF('FUENTE NO BORRAR'!G928="","",IF('FUENTE NO BORRAR'!$A928&lt;&gt;"Resultado total",('FUENTE NO BORRAR'!G928),""))</f>
        <v>2959.45</v>
      </c>
      <c r="H910" s="6">
        <f>IF('FUENTE NO BORRAR'!H928="","",IF('FUENTE NO BORRAR'!$A928&lt;&gt;"Resultado total",('FUENTE NO BORRAR'!H928),""))</f>
        <v>2959.45</v>
      </c>
      <c r="I910" s="6">
        <f>IF('FUENTE NO BORRAR'!I928="","",IF('FUENTE NO BORRAR'!$A928&lt;&gt;"Resultado total",('FUENTE NO BORRAR'!I928),""))</f>
        <v>0</v>
      </c>
    </row>
    <row r="911" spans="1:9" x14ac:dyDescent="0.2">
      <c r="A911" s="5" t="str">
        <f>IF('FUENTE NO BORRAR'!A929="","",(IF('FUENTE NO BORRAR'!A929&lt;&gt;"Resultado total",'FUENTE NO BORRAR'!A929,"")))</f>
        <v/>
      </c>
      <c r="B911" s="5" t="str">
        <f>IF('FUENTE NO BORRAR'!B929="","",'FUENTE NO BORRAR'!B929)</f>
        <v/>
      </c>
      <c r="C911" s="5" t="str">
        <f>IF('FUENTE NO BORRAR'!C929="","",'FUENTE NO BORRAR'!C929)</f>
        <v/>
      </c>
      <c r="D911" s="5" t="str">
        <f>IF('FUENTE NO BORRAR'!D929="","",'FUENTE NO BORRAR'!D929)</f>
        <v/>
      </c>
      <c r="E911" s="5" t="str">
        <f>IF('FUENTE NO BORRAR'!E929="","",'FUENTE NO BORRAR'!E929)</f>
        <v/>
      </c>
      <c r="F911" s="6">
        <f>IF('FUENTE NO BORRAR'!F929="","",IF('FUENTE NO BORRAR'!$A929&lt;&gt;"Resultado total",('FUENTE NO BORRAR'!F929),""))</f>
        <v>2590</v>
      </c>
      <c r="G911" s="6">
        <f>IF('FUENTE NO BORRAR'!G929="","",IF('FUENTE NO BORRAR'!$A929&lt;&gt;"Resultado total",('FUENTE NO BORRAR'!G929),""))</f>
        <v>2590</v>
      </c>
      <c r="H911" s="6">
        <f>IF('FUENTE NO BORRAR'!H929="","",IF('FUENTE NO BORRAR'!$A929&lt;&gt;"Resultado total",('FUENTE NO BORRAR'!H929),""))</f>
        <v>2590</v>
      </c>
      <c r="I911" s="6">
        <f>IF('FUENTE NO BORRAR'!I929="","",IF('FUENTE NO BORRAR'!$A929&lt;&gt;"Resultado total",('FUENTE NO BORRAR'!I929),""))</f>
        <v>0</v>
      </c>
    </row>
    <row r="912" spans="1:9" x14ac:dyDescent="0.2">
      <c r="A912" s="5" t="str">
        <f>IF('FUENTE NO BORRAR'!A930="","",(IF('FUENTE NO BORRAR'!A930&lt;&gt;"Resultado total",'FUENTE NO BORRAR'!A930,"")))</f>
        <v/>
      </c>
      <c r="B912" s="5" t="str">
        <f>IF('FUENTE NO BORRAR'!B930="","",'FUENTE NO BORRAR'!B930)</f>
        <v/>
      </c>
      <c r="C912" s="5" t="str">
        <f>IF('FUENTE NO BORRAR'!C930="","",'FUENTE NO BORRAR'!C930)</f>
        <v/>
      </c>
      <c r="D912" s="5" t="str">
        <f>IF('FUENTE NO BORRAR'!D930="","",'FUENTE NO BORRAR'!D930)</f>
        <v/>
      </c>
      <c r="E912" s="5" t="str">
        <f>IF('FUENTE NO BORRAR'!E930="","",'FUENTE NO BORRAR'!E930)</f>
        <v/>
      </c>
      <c r="F912" s="6">
        <f>IF('FUENTE NO BORRAR'!F930="","",IF('FUENTE NO BORRAR'!$A930&lt;&gt;"Resultado total",('FUENTE NO BORRAR'!F930),""))</f>
        <v>7352.69</v>
      </c>
      <c r="G912" s="6">
        <f>IF('FUENTE NO BORRAR'!G930="","",IF('FUENTE NO BORRAR'!$A930&lt;&gt;"Resultado total",('FUENTE NO BORRAR'!G930),""))</f>
        <v>7352.69</v>
      </c>
      <c r="H912" s="6">
        <f>IF('FUENTE NO BORRAR'!H930="","",IF('FUENTE NO BORRAR'!$A930&lt;&gt;"Resultado total",('FUENTE NO BORRAR'!H930),""))</f>
        <v>7352.69</v>
      </c>
      <c r="I912" s="6">
        <f>IF('FUENTE NO BORRAR'!I930="","",IF('FUENTE NO BORRAR'!$A930&lt;&gt;"Resultado total",('FUENTE NO BORRAR'!I930),""))</f>
        <v>0</v>
      </c>
    </row>
    <row r="913" spans="1:9" x14ac:dyDescent="0.2">
      <c r="A913" s="5" t="str">
        <f>IF('FUENTE NO BORRAR'!A931="","",(IF('FUENTE NO BORRAR'!A931&lt;&gt;"Resultado total",'FUENTE NO BORRAR'!A931,"")))</f>
        <v/>
      </c>
      <c r="B913" s="5" t="str">
        <f>IF('FUENTE NO BORRAR'!B931="","",'FUENTE NO BORRAR'!B931)</f>
        <v/>
      </c>
      <c r="C913" s="5" t="str">
        <f>IF('FUENTE NO BORRAR'!C931="","",'FUENTE NO BORRAR'!C931)</f>
        <v/>
      </c>
      <c r="D913" s="5" t="str">
        <f>IF('FUENTE NO BORRAR'!D931="","",'FUENTE NO BORRAR'!D931)</f>
        <v/>
      </c>
      <c r="E913" s="5" t="str">
        <f>IF('FUENTE NO BORRAR'!E931="","",'FUENTE NO BORRAR'!E931)</f>
        <v/>
      </c>
      <c r="F913" s="6">
        <f>IF('FUENTE NO BORRAR'!F931="","",IF('FUENTE NO BORRAR'!$A931&lt;&gt;"Resultado total",('FUENTE NO BORRAR'!F931),""))</f>
        <v>36114.33</v>
      </c>
      <c r="G913" s="6">
        <f>IF('FUENTE NO BORRAR'!G931="","",IF('FUENTE NO BORRAR'!$A931&lt;&gt;"Resultado total",('FUENTE NO BORRAR'!G931),""))</f>
        <v>36114.33</v>
      </c>
      <c r="H913" s="6">
        <f>IF('FUENTE NO BORRAR'!H931="","",IF('FUENTE NO BORRAR'!$A931&lt;&gt;"Resultado total",('FUENTE NO BORRAR'!H931),""))</f>
        <v>18366.330000000002</v>
      </c>
      <c r="I913" s="6">
        <f>IF('FUENTE NO BORRAR'!I931="","",IF('FUENTE NO BORRAR'!$A931&lt;&gt;"Resultado total",('FUENTE NO BORRAR'!I931),""))</f>
        <v>0</v>
      </c>
    </row>
    <row r="914" spans="1:9" x14ac:dyDescent="0.2">
      <c r="A914" s="5" t="str">
        <f>IF('FUENTE NO BORRAR'!A932="","",(IF('FUENTE NO BORRAR'!A932&lt;&gt;"Resultado total",'FUENTE NO BORRAR'!A932,"")))</f>
        <v/>
      </c>
      <c r="B914" s="5" t="str">
        <f>IF('FUENTE NO BORRAR'!B932="","",'FUENTE NO BORRAR'!B932)</f>
        <v/>
      </c>
      <c r="C914" s="5" t="str">
        <f>IF('FUENTE NO BORRAR'!C932="","",'FUENTE NO BORRAR'!C932)</f>
        <v/>
      </c>
      <c r="D914" s="5" t="str">
        <f>IF('FUENTE NO BORRAR'!D932="","",'FUENTE NO BORRAR'!D932)</f>
        <v/>
      </c>
      <c r="E914" s="5" t="str">
        <f>IF('FUENTE NO BORRAR'!E932="","",'FUENTE NO BORRAR'!E932)</f>
        <v/>
      </c>
      <c r="F914" s="6">
        <f>IF('FUENTE NO BORRAR'!F932="","",IF('FUENTE NO BORRAR'!$A932&lt;&gt;"Resultado total",('FUENTE NO BORRAR'!F932),""))</f>
        <v>3523.2</v>
      </c>
      <c r="G914" s="6">
        <f>IF('FUENTE NO BORRAR'!G932="","",IF('FUENTE NO BORRAR'!$A932&lt;&gt;"Resultado total",('FUENTE NO BORRAR'!G932),""))</f>
        <v>3523.2</v>
      </c>
      <c r="H914" s="6">
        <f>IF('FUENTE NO BORRAR'!H932="","",IF('FUENTE NO BORRAR'!$A932&lt;&gt;"Resultado total",('FUENTE NO BORRAR'!H932),""))</f>
        <v>3523.2</v>
      </c>
      <c r="I914" s="6">
        <f>IF('FUENTE NO BORRAR'!I932="","",IF('FUENTE NO BORRAR'!$A932&lt;&gt;"Resultado total",('FUENTE NO BORRAR'!I932),""))</f>
        <v>0</v>
      </c>
    </row>
    <row r="915" spans="1:9" x14ac:dyDescent="0.2">
      <c r="A915" s="5" t="str">
        <f>IF('FUENTE NO BORRAR'!A933="","",(IF('FUENTE NO BORRAR'!A933&lt;&gt;"Resultado total",'FUENTE NO BORRAR'!A933,"")))</f>
        <v/>
      </c>
      <c r="B915" s="5" t="str">
        <f>IF('FUENTE NO BORRAR'!B933="","",'FUENTE NO BORRAR'!B933)</f>
        <v/>
      </c>
      <c r="C915" s="5" t="str">
        <f>IF('FUENTE NO BORRAR'!C933="","",'FUENTE NO BORRAR'!C933)</f>
        <v/>
      </c>
      <c r="D915" s="5" t="str">
        <f>IF('FUENTE NO BORRAR'!D933="","",'FUENTE NO BORRAR'!D933)</f>
        <v/>
      </c>
      <c r="E915" s="5" t="str">
        <f>IF('FUENTE NO BORRAR'!E933="","",'FUENTE NO BORRAR'!E933)</f>
        <v/>
      </c>
      <c r="F915" s="6">
        <f>IF('FUENTE NO BORRAR'!F933="","",IF('FUENTE NO BORRAR'!$A933&lt;&gt;"Resultado total",('FUENTE NO BORRAR'!F933),""))</f>
        <v>49075.519999999997</v>
      </c>
      <c r="G915" s="6">
        <f>IF('FUENTE NO BORRAR'!G933="","",IF('FUENTE NO BORRAR'!$A933&lt;&gt;"Resultado total",('FUENTE NO BORRAR'!G933),""))</f>
        <v>49075.519999999997</v>
      </c>
      <c r="H915" s="6">
        <f>IF('FUENTE NO BORRAR'!H933="","",IF('FUENTE NO BORRAR'!$A933&lt;&gt;"Resultado total",('FUENTE NO BORRAR'!H933),""))</f>
        <v>40166.720000000001</v>
      </c>
      <c r="I915" s="6">
        <f>IF('FUENTE NO BORRAR'!I933="","",IF('FUENTE NO BORRAR'!$A933&lt;&gt;"Resultado total",('FUENTE NO BORRAR'!I933),""))</f>
        <v>0</v>
      </c>
    </row>
    <row r="916" spans="1:9" x14ac:dyDescent="0.2">
      <c r="A916" s="5" t="str">
        <f>IF('FUENTE NO BORRAR'!A934="","",(IF('FUENTE NO BORRAR'!A934&lt;&gt;"Resultado total",'FUENTE NO BORRAR'!A934,"")))</f>
        <v/>
      </c>
      <c r="B916" s="5" t="str">
        <f>IF('FUENTE NO BORRAR'!B934="","",'FUENTE NO BORRAR'!B934)</f>
        <v/>
      </c>
      <c r="C916" s="5" t="str">
        <f>IF('FUENTE NO BORRAR'!C934="","",'FUENTE NO BORRAR'!C934)</f>
        <v/>
      </c>
      <c r="D916" s="5" t="str">
        <f>IF('FUENTE NO BORRAR'!D934="","",'FUENTE NO BORRAR'!D934)</f>
        <v/>
      </c>
      <c r="E916" s="5" t="str">
        <f>IF('FUENTE NO BORRAR'!E934="","",'FUENTE NO BORRAR'!E934)</f>
        <v/>
      </c>
      <c r="F916" s="6">
        <f>IF('FUENTE NO BORRAR'!F934="","",IF('FUENTE NO BORRAR'!$A934&lt;&gt;"Resultado total",('FUENTE NO BORRAR'!F934),""))</f>
        <v>3761.28</v>
      </c>
      <c r="G916" s="6">
        <f>IF('FUENTE NO BORRAR'!G934="","",IF('FUENTE NO BORRAR'!$A934&lt;&gt;"Resultado total",('FUENTE NO BORRAR'!G934),""))</f>
        <v>3761.28</v>
      </c>
      <c r="H916" s="6">
        <f>IF('FUENTE NO BORRAR'!H934="","",IF('FUENTE NO BORRAR'!$A934&lt;&gt;"Resultado total",('FUENTE NO BORRAR'!H934),""))</f>
        <v>3761.28</v>
      </c>
      <c r="I916" s="6">
        <f>IF('FUENTE NO BORRAR'!I934="","",IF('FUENTE NO BORRAR'!$A934&lt;&gt;"Resultado total",('FUENTE NO BORRAR'!I934),""))</f>
        <v>0</v>
      </c>
    </row>
    <row r="917" spans="1:9" x14ac:dyDescent="0.2">
      <c r="A917" s="5" t="str">
        <f>IF('FUENTE NO BORRAR'!A935="","",(IF('FUENTE NO BORRAR'!A935&lt;&gt;"Resultado total",'FUENTE NO BORRAR'!A935,"")))</f>
        <v/>
      </c>
      <c r="B917" s="5" t="str">
        <f>IF('FUENTE NO BORRAR'!B935="","",'FUENTE NO BORRAR'!B935)</f>
        <v/>
      </c>
      <c r="C917" s="5" t="str">
        <f>IF('FUENTE NO BORRAR'!C935="","",'FUENTE NO BORRAR'!C935)</f>
        <v/>
      </c>
      <c r="D917" s="5" t="str">
        <f>IF('FUENTE NO BORRAR'!D935="","",'FUENTE NO BORRAR'!D935)</f>
        <v/>
      </c>
      <c r="E917" s="5" t="str">
        <f>IF('FUENTE NO BORRAR'!E935="","",'FUENTE NO BORRAR'!E935)</f>
        <v/>
      </c>
      <c r="F917" s="6">
        <f>IF('FUENTE NO BORRAR'!F935="","",IF('FUENTE NO BORRAR'!$A935&lt;&gt;"Resultado total",('FUENTE NO BORRAR'!F935),""))</f>
        <v>0</v>
      </c>
      <c r="G917" s="6">
        <f>IF('FUENTE NO BORRAR'!G935="","",IF('FUENTE NO BORRAR'!$A935&lt;&gt;"Resultado total",('FUENTE NO BORRAR'!G935),""))</f>
        <v>0</v>
      </c>
      <c r="H917" s="6">
        <f>IF('FUENTE NO BORRAR'!H935="","",IF('FUENTE NO BORRAR'!$A935&lt;&gt;"Resultado total",('FUENTE NO BORRAR'!H935),""))</f>
        <v>0</v>
      </c>
      <c r="I917" s="6">
        <f>IF('FUENTE NO BORRAR'!I935="","",IF('FUENTE NO BORRAR'!$A935&lt;&gt;"Resultado total",('FUENTE NO BORRAR'!I935),""))</f>
        <v>0</v>
      </c>
    </row>
    <row r="918" spans="1:9" x14ac:dyDescent="0.2">
      <c r="A918" s="5" t="str">
        <f>IF('FUENTE NO BORRAR'!A936="","",(IF('FUENTE NO BORRAR'!A936&lt;&gt;"Resultado total",'FUENTE NO BORRAR'!A936,"")))</f>
        <v/>
      </c>
      <c r="B918" s="5" t="str">
        <f>IF('FUENTE NO BORRAR'!B936="","",'FUENTE NO BORRAR'!B936)</f>
        <v/>
      </c>
      <c r="C918" s="5" t="str">
        <f>IF('FUENTE NO BORRAR'!C936="","",'FUENTE NO BORRAR'!C936)</f>
        <v/>
      </c>
      <c r="D918" s="5" t="str">
        <f>IF('FUENTE NO BORRAR'!D936="","",'FUENTE NO BORRAR'!D936)</f>
        <v/>
      </c>
      <c r="E918" s="5" t="str">
        <f>IF('FUENTE NO BORRAR'!E936="","",'FUENTE NO BORRAR'!E936)</f>
        <v/>
      </c>
      <c r="F918" s="6">
        <f>IF('FUENTE NO BORRAR'!F936="","",IF('FUENTE NO BORRAR'!$A936&lt;&gt;"Resultado total",('FUENTE NO BORRAR'!F936),""))</f>
        <v>7400</v>
      </c>
      <c r="G918" s="6">
        <f>IF('FUENTE NO BORRAR'!G936="","",IF('FUENTE NO BORRAR'!$A936&lt;&gt;"Resultado total",('FUENTE NO BORRAR'!G936),""))</f>
        <v>7400</v>
      </c>
      <c r="H918" s="6">
        <f>IF('FUENTE NO BORRAR'!H936="","",IF('FUENTE NO BORRAR'!$A936&lt;&gt;"Resultado total",('FUENTE NO BORRAR'!H936),""))</f>
        <v>7400</v>
      </c>
      <c r="I918" s="6">
        <f>IF('FUENTE NO BORRAR'!I936="","",IF('FUENTE NO BORRAR'!$A936&lt;&gt;"Resultado total",('FUENTE NO BORRAR'!I936),""))</f>
        <v>0</v>
      </c>
    </row>
    <row r="919" spans="1:9" x14ac:dyDescent="0.2">
      <c r="A919" s="5" t="str">
        <f>IF('FUENTE NO BORRAR'!A937="","",(IF('FUENTE NO BORRAR'!A937&lt;&gt;"Resultado total",'FUENTE NO BORRAR'!A937,"")))</f>
        <v/>
      </c>
      <c r="B919" s="5" t="str">
        <f>IF('FUENTE NO BORRAR'!B937="","",'FUENTE NO BORRAR'!B937)</f>
        <v/>
      </c>
      <c r="C919" s="5" t="str">
        <f>IF('FUENTE NO BORRAR'!C937="","",'FUENTE NO BORRAR'!C937)</f>
        <v/>
      </c>
      <c r="D919" s="5" t="str">
        <f>IF('FUENTE NO BORRAR'!D937="","",'FUENTE NO BORRAR'!D937)</f>
        <v/>
      </c>
      <c r="E919" s="5" t="str">
        <f>IF('FUENTE NO BORRAR'!E937="","",'FUENTE NO BORRAR'!E937)</f>
        <v/>
      </c>
      <c r="F919" s="6">
        <f>IF('FUENTE NO BORRAR'!F937="","",IF('FUENTE NO BORRAR'!$A937&lt;&gt;"Resultado total",('FUENTE NO BORRAR'!F937),""))</f>
        <v>1566</v>
      </c>
      <c r="G919" s="6">
        <f>IF('FUENTE NO BORRAR'!G937="","",IF('FUENTE NO BORRAR'!$A937&lt;&gt;"Resultado total",('FUENTE NO BORRAR'!G937),""))</f>
        <v>1566</v>
      </c>
      <c r="H919" s="6">
        <f>IF('FUENTE NO BORRAR'!H937="","",IF('FUENTE NO BORRAR'!$A937&lt;&gt;"Resultado total",('FUENTE NO BORRAR'!H937),""))</f>
        <v>1566</v>
      </c>
      <c r="I919" s="6">
        <f>IF('FUENTE NO BORRAR'!I937="","",IF('FUENTE NO BORRAR'!$A937&lt;&gt;"Resultado total",('FUENTE NO BORRAR'!I937),""))</f>
        <v>0</v>
      </c>
    </row>
    <row r="920" spans="1:9" x14ac:dyDescent="0.2">
      <c r="A920" s="5" t="str">
        <f>IF('FUENTE NO BORRAR'!A938="","",(IF('FUENTE NO BORRAR'!A938&lt;&gt;"Resultado total",'FUENTE NO BORRAR'!A938,"")))</f>
        <v/>
      </c>
      <c r="B920" s="5" t="str">
        <f>IF('FUENTE NO BORRAR'!B938="","",'FUENTE NO BORRAR'!B938)</f>
        <v/>
      </c>
      <c r="C920" s="5" t="str">
        <f>IF('FUENTE NO BORRAR'!C938="","",'FUENTE NO BORRAR'!C938)</f>
        <v/>
      </c>
      <c r="D920" s="5" t="str">
        <f>IF('FUENTE NO BORRAR'!D938="","",'FUENTE NO BORRAR'!D938)</f>
        <v/>
      </c>
      <c r="E920" s="5" t="str">
        <f>IF('FUENTE NO BORRAR'!E938="","",'FUENTE NO BORRAR'!E938)</f>
        <v/>
      </c>
      <c r="F920" s="6">
        <f>IF('FUENTE NO BORRAR'!F938="","",IF('FUENTE NO BORRAR'!$A938&lt;&gt;"Resultado total",('FUENTE NO BORRAR'!F938),""))</f>
        <v>1813.92</v>
      </c>
      <c r="G920" s="6">
        <f>IF('FUENTE NO BORRAR'!G938="","",IF('FUENTE NO BORRAR'!$A938&lt;&gt;"Resultado total",('FUENTE NO BORRAR'!G938),""))</f>
        <v>1813.92</v>
      </c>
      <c r="H920" s="6">
        <f>IF('FUENTE NO BORRAR'!H938="","",IF('FUENTE NO BORRAR'!$A938&lt;&gt;"Resultado total",('FUENTE NO BORRAR'!H938),""))</f>
        <v>796</v>
      </c>
      <c r="I920" s="6">
        <f>IF('FUENTE NO BORRAR'!I938="","",IF('FUENTE NO BORRAR'!$A938&lt;&gt;"Resultado total",('FUENTE NO BORRAR'!I938),""))</f>
        <v>0</v>
      </c>
    </row>
    <row r="921" spans="1:9" x14ac:dyDescent="0.2">
      <c r="A921" s="5" t="str">
        <f>IF('FUENTE NO BORRAR'!A939="","",(IF('FUENTE NO BORRAR'!A939&lt;&gt;"Resultado total",'FUENTE NO BORRAR'!A939,"")))</f>
        <v/>
      </c>
      <c r="B921" s="5" t="str">
        <f>IF('FUENTE NO BORRAR'!B939="","",'FUENTE NO BORRAR'!B939)</f>
        <v/>
      </c>
      <c r="C921" s="5" t="str">
        <f>IF('FUENTE NO BORRAR'!C939="","",'FUENTE NO BORRAR'!C939)</f>
        <v/>
      </c>
      <c r="D921" s="5" t="str">
        <f>IF('FUENTE NO BORRAR'!D939="","",'FUENTE NO BORRAR'!D939)</f>
        <v/>
      </c>
      <c r="E921" s="5" t="str">
        <f>IF('FUENTE NO BORRAR'!E939="","",'FUENTE NO BORRAR'!E939)</f>
        <v/>
      </c>
      <c r="F921" s="6">
        <f>IF('FUENTE NO BORRAR'!F939="","",IF('FUENTE NO BORRAR'!$A939&lt;&gt;"Resultado total",('FUENTE NO BORRAR'!F939),""))</f>
        <v>2824</v>
      </c>
      <c r="G921" s="6">
        <f>IF('FUENTE NO BORRAR'!G939="","",IF('FUENTE NO BORRAR'!$A939&lt;&gt;"Resultado total",('FUENTE NO BORRAR'!G939),""))</f>
        <v>2824</v>
      </c>
      <c r="H921" s="6">
        <f>IF('FUENTE NO BORRAR'!H939="","",IF('FUENTE NO BORRAR'!$A939&lt;&gt;"Resultado total",('FUENTE NO BORRAR'!H939),""))</f>
        <v>2824</v>
      </c>
      <c r="I921" s="6">
        <f>IF('FUENTE NO BORRAR'!I939="","",IF('FUENTE NO BORRAR'!$A939&lt;&gt;"Resultado total",('FUENTE NO BORRAR'!I939),""))</f>
        <v>0</v>
      </c>
    </row>
    <row r="922" spans="1:9" x14ac:dyDescent="0.2">
      <c r="A922" s="5" t="str">
        <f>IF('FUENTE NO BORRAR'!A940="","",(IF('FUENTE NO BORRAR'!A940&lt;&gt;"Resultado total",'FUENTE NO BORRAR'!A940,"")))</f>
        <v/>
      </c>
      <c r="B922" s="5" t="str">
        <f>IF('FUENTE NO BORRAR'!B940="","",'FUENTE NO BORRAR'!B940)</f>
        <v/>
      </c>
      <c r="C922" s="5" t="str">
        <f>IF('FUENTE NO BORRAR'!C940="","",'FUENTE NO BORRAR'!C940)</f>
        <v/>
      </c>
      <c r="D922" s="5" t="str">
        <f>IF('FUENTE NO BORRAR'!D940="","",'FUENTE NO BORRAR'!D940)</f>
        <v/>
      </c>
      <c r="E922" s="5" t="str">
        <f>IF('FUENTE NO BORRAR'!E940="","",'FUENTE NO BORRAR'!E940)</f>
        <v/>
      </c>
      <c r="F922" s="6">
        <f>IF('FUENTE NO BORRAR'!F940="","",IF('FUENTE NO BORRAR'!$A940&lt;&gt;"Resultado total",('FUENTE NO BORRAR'!F940),""))</f>
        <v>0</v>
      </c>
      <c r="G922" s="6">
        <f>IF('FUENTE NO BORRAR'!G940="","",IF('FUENTE NO BORRAR'!$A940&lt;&gt;"Resultado total",('FUENTE NO BORRAR'!G940),""))</f>
        <v>0</v>
      </c>
      <c r="H922" s="6">
        <f>IF('FUENTE NO BORRAR'!H940="","",IF('FUENTE NO BORRAR'!$A940&lt;&gt;"Resultado total",('FUENTE NO BORRAR'!H940),""))</f>
        <v>0</v>
      </c>
      <c r="I922" s="6">
        <f>IF('FUENTE NO BORRAR'!I940="","",IF('FUENTE NO BORRAR'!$A940&lt;&gt;"Resultado total",('FUENTE NO BORRAR'!I940),""))</f>
        <v>0</v>
      </c>
    </row>
    <row r="923" spans="1:9" x14ac:dyDescent="0.2">
      <c r="A923" s="5" t="str">
        <f>IF('FUENTE NO BORRAR'!A941="","",(IF('FUENTE NO BORRAR'!A941&lt;&gt;"Resultado total",'FUENTE NO BORRAR'!A941,"")))</f>
        <v/>
      </c>
      <c r="B923" s="5" t="str">
        <f>IF('FUENTE NO BORRAR'!B941="","",'FUENTE NO BORRAR'!B941)</f>
        <v/>
      </c>
      <c r="C923" s="5" t="str">
        <f>IF('FUENTE NO BORRAR'!C941="","",'FUENTE NO BORRAR'!C941)</f>
        <v/>
      </c>
      <c r="D923" s="5" t="str">
        <f>IF('FUENTE NO BORRAR'!D941="","",'FUENTE NO BORRAR'!D941)</f>
        <v/>
      </c>
      <c r="E923" s="5" t="str">
        <f>IF('FUENTE NO BORRAR'!E941="","",'FUENTE NO BORRAR'!E941)</f>
        <v/>
      </c>
      <c r="F923" s="6">
        <f>IF('FUENTE NO BORRAR'!F941="","",IF('FUENTE NO BORRAR'!$A941&lt;&gt;"Resultado total",('FUENTE NO BORRAR'!F941),""))</f>
        <v>119.52</v>
      </c>
      <c r="G923" s="6">
        <f>IF('FUENTE NO BORRAR'!G941="","",IF('FUENTE NO BORRAR'!$A941&lt;&gt;"Resultado total",('FUENTE NO BORRAR'!G941),""))</f>
        <v>119.52</v>
      </c>
      <c r="H923" s="6">
        <f>IF('FUENTE NO BORRAR'!H941="","",IF('FUENTE NO BORRAR'!$A941&lt;&gt;"Resultado total",('FUENTE NO BORRAR'!H941),""))</f>
        <v>119.52</v>
      </c>
      <c r="I923" s="6">
        <f>IF('FUENTE NO BORRAR'!I941="","",IF('FUENTE NO BORRAR'!$A941&lt;&gt;"Resultado total",('FUENTE NO BORRAR'!I941),""))</f>
        <v>0</v>
      </c>
    </row>
    <row r="924" spans="1:9" x14ac:dyDescent="0.2">
      <c r="A924" s="5" t="str">
        <f>IF('FUENTE NO BORRAR'!A942="","",(IF('FUENTE NO BORRAR'!A942&lt;&gt;"Resultado total",'FUENTE NO BORRAR'!A942,"")))</f>
        <v/>
      </c>
      <c r="B924" s="5" t="str">
        <f>IF('FUENTE NO BORRAR'!B942="","",'FUENTE NO BORRAR'!B942)</f>
        <v/>
      </c>
      <c r="C924" s="5" t="str">
        <f>IF('FUENTE NO BORRAR'!C942="","",'FUENTE NO BORRAR'!C942)</f>
        <v/>
      </c>
      <c r="D924" s="5" t="str">
        <f>IF('FUENTE NO BORRAR'!D942="","",'FUENTE NO BORRAR'!D942)</f>
        <v/>
      </c>
      <c r="E924" s="5" t="str">
        <f>IF('FUENTE NO BORRAR'!E942="","",'FUENTE NO BORRAR'!E942)</f>
        <v/>
      </c>
      <c r="F924" s="6">
        <f>IF('FUENTE NO BORRAR'!F942="","",IF('FUENTE NO BORRAR'!$A942&lt;&gt;"Resultado total",('FUENTE NO BORRAR'!F942),""))</f>
        <v>2544</v>
      </c>
      <c r="G924" s="6">
        <f>IF('FUENTE NO BORRAR'!G942="","",IF('FUENTE NO BORRAR'!$A942&lt;&gt;"Resultado total",('FUENTE NO BORRAR'!G942),""))</f>
        <v>2544</v>
      </c>
      <c r="H924" s="6">
        <f>IF('FUENTE NO BORRAR'!H942="","",IF('FUENTE NO BORRAR'!$A942&lt;&gt;"Resultado total",('FUENTE NO BORRAR'!H942),""))</f>
        <v>2544</v>
      </c>
      <c r="I924" s="6">
        <f>IF('FUENTE NO BORRAR'!I942="","",IF('FUENTE NO BORRAR'!$A942&lt;&gt;"Resultado total",('FUENTE NO BORRAR'!I942),""))</f>
        <v>0</v>
      </c>
    </row>
    <row r="925" spans="1:9" x14ac:dyDescent="0.2">
      <c r="A925" s="5" t="str">
        <f>IF('FUENTE NO BORRAR'!A943="","",(IF('FUENTE NO BORRAR'!A943&lt;&gt;"Resultado total",'FUENTE NO BORRAR'!A943,"")))</f>
        <v/>
      </c>
      <c r="B925" s="5" t="str">
        <f>IF('FUENTE NO BORRAR'!B943="","",'FUENTE NO BORRAR'!B943)</f>
        <v/>
      </c>
      <c r="C925" s="5" t="str">
        <f>IF('FUENTE NO BORRAR'!C943="","",'FUENTE NO BORRAR'!C943)</f>
        <v/>
      </c>
      <c r="D925" s="5" t="str">
        <f>IF('FUENTE NO BORRAR'!D943="","",'FUENTE NO BORRAR'!D943)</f>
        <v/>
      </c>
      <c r="E925" s="5" t="str">
        <f>IF('FUENTE NO BORRAR'!E943="","",'FUENTE NO BORRAR'!E943)</f>
        <v/>
      </c>
      <c r="F925" s="6">
        <f>IF('FUENTE NO BORRAR'!F943="","",IF('FUENTE NO BORRAR'!$A943&lt;&gt;"Resultado total",('FUENTE NO BORRAR'!F943),""))</f>
        <v>153.12</v>
      </c>
      <c r="G925" s="6">
        <f>IF('FUENTE NO BORRAR'!G943="","",IF('FUENTE NO BORRAR'!$A943&lt;&gt;"Resultado total",('FUENTE NO BORRAR'!G943),""))</f>
        <v>153.12</v>
      </c>
      <c r="H925" s="6">
        <f>IF('FUENTE NO BORRAR'!H943="","",IF('FUENTE NO BORRAR'!$A943&lt;&gt;"Resultado total",('FUENTE NO BORRAR'!H943),""))</f>
        <v>153.12</v>
      </c>
      <c r="I925" s="6">
        <f>IF('FUENTE NO BORRAR'!I943="","",IF('FUENTE NO BORRAR'!$A943&lt;&gt;"Resultado total",('FUENTE NO BORRAR'!I943),""))</f>
        <v>0</v>
      </c>
    </row>
    <row r="926" spans="1:9" x14ac:dyDescent="0.2">
      <c r="A926" s="5" t="str">
        <f>IF('FUENTE NO BORRAR'!A944="","",(IF('FUENTE NO BORRAR'!A944&lt;&gt;"Resultado total",'FUENTE NO BORRAR'!A944,"")))</f>
        <v/>
      </c>
      <c r="B926" s="5" t="str">
        <f>IF('FUENTE NO BORRAR'!B944="","",'FUENTE NO BORRAR'!B944)</f>
        <v/>
      </c>
      <c r="C926" s="5" t="str">
        <f>IF('FUENTE NO BORRAR'!C944="","",'FUENTE NO BORRAR'!C944)</f>
        <v/>
      </c>
      <c r="D926" s="5" t="str">
        <f>IF('FUENTE NO BORRAR'!D944="","",'FUENTE NO BORRAR'!D944)</f>
        <v/>
      </c>
      <c r="E926" s="5" t="str">
        <f>IF('FUENTE NO BORRAR'!E944="","",'FUENTE NO BORRAR'!E944)</f>
        <v/>
      </c>
      <c r="F926" s="6">
        <f>IF('FUENTE NO BORRAR'!F944="","",IF('FUENTE NO BORRAR'!$A944&lt;&gt;"Resultado total",('FUENTE NO BORRAR'!F944),""))</f>
        <v>678</v>
      </c>
      <c r="G926" s="6">
        <f>IF('FUENTE NO BORRAR'!G944="","",IF('FUENTE NO BORRAR'!$A944&lt;&gt;"Resultado total",('FUENTE NO BORRAR'!G944),""))</f>
        <v>678</v>
      </c>
      <c r="H926" s="6">
        <f>IF('FUENTE NO BORRAR'!H944="","",IF('FUENTE NO BORRAR'!$A944&lt;&gt;"Resultado total",('FUENTE NO BORRAR'!H944),""))</f>
        <v>678</v>
      </c>
      <c r="I926" s="6">
        <f>IF('FUENTE NO BORRAR'!I944="","",IF('FUENTE NO BORRAR'!$A944&lt;&gt;"Resultado total",('FUENTE NO BORRAR'!I944),""))</f>
        <v>0</v>
      </c>
    </row>
    <row r="927" spans="1:9" x14ac:dyDescent="0.2">
      <c r="A927" s="5" t="str">
        <f>IF('FUENTE NO BORRAR'!A945="","",(IF('FUENTE NO BORRAR'!A945&lt;&gt;"Resultado total",'FUENTE NO BORRAR'!A945,"")))</f>
        <v/>
      </c>
      <c r="B927" s="5" t="str">
        <f>IF('FUENTE NO BORRAR'!B945="","",'FUENTE NO BORRAR'!B945)</f>
        <v/>
      </c>
      <c r="C927" s="5" t="str">
        <f>IF('FUENTE NO BORRAR'!C945="","",'FUENTE NO BORRAR'!C945)</f>
        <v/>
      </c>
      <c r="D927" s="5" t="str">
        <f>IF('FUENTE NO BORRAR'!D945="","",'FUENTE NO BORRAR'!D945)</f>
        <v/>
      </c>
      <c r="E927" s="5" t="str">
        <f>IF('FUENTE NO BORRAR'!E945="","",'FUENTE NO BORRAR'!E945)</f>
        <v/>
      </c>
      <c r="F927" s="6">
        <f>IF('FUENTE NO BORRAR'!F945="","",IF('FUENTE NO BORRAR'!$A945&lt;&gt;"Resultado total",('FUENTE NO BORRAR'!F945),""))</f>
        <v>324</v>
      </c>
      <c r="G927" s="6">
        <f>IF('FUENTE NO BORRAR'!G945="","",IF('FUENTE NO BORRAR'!$A945&lt;&gt;"Resultado total",('FUENTE NO BORRAR'!G945),""))</f>
        <v>324</v>
      </c>
      <c r="H927" s="6">
        <f>IF('FUENTE NO BORRAR'!H945="","",IF('FUENTE NO BORRAR'!$A945&lt;&gt;"Resultado total",('FUENTE NO BORRAR'!H945),""))</f>
        <v>324</v>
      </c>
      <c r="I927" s="6">
        <f>IF('FUENTE NO BORRAR'!I945="","",IF('FUENTE NO BORRAR'!$A945&lt;&gt;"Resultado total",('FUENTE NO BORRAR'!I945),""))</f>
        <v>0</v>
      </c>
    </row>
    <row r="928" spans="1:9" x14ac:dyDescent="0.2">
      <c r="A928" s="5" t="str">
        <f>IF('FUENTE NO BORRAR'!A946="","",(IF('FUENTE NO BORRAR'!A946&lt;&gt;"Resultado total",'FUENTE NO BORRAR'!A946,"")))</f>
        <v/>
      </c>
      <c r="B928" s="5" t="str">
        <f>IF('FUENTE NO BORRAR'!B946="","",'FUENTE NO BORRAR'!B946)</f>
        <v/>
      </c>
      <c r="C928" s="5" t="str">
        <f>IF('FUENTE NO BORRAR'!C946="","",'FUENTE NO BORRAR'!C946)</f>
        <v/>
      </c>
      <c r="D928" s="5" t="str">
        <f>IF('FUENTE NO BORRAR'!D946="","",'FUENTE NO BORRAR'!D946)</f>
        <v/>
      </c>
      <c r="E928" s="5" t="str">
        <f>IF('FUENTE NO BORRAR'!E946="","",'FUENTE NO BORRAR'!E946)</f>
        <v/>
      </c>
      <c r="F928" s="6">
        <f>IF('FUENTE NO BORRAR'!F946="","",IF('FUENTE NO BORRAR'!$A946&lt;&gt;"Resultado total",('FUENTE NO BORRAR'!F946),""))</f>
        <v>464320.95</v>
      </c>
      <c r="G928" s="6">
        <f>IF('FUENTE NO BORRAR'!G946="","",IF('FUENTE NO BORRAR'!$A946&lt;&gt;"Resultado total",('FUENTE NO BORRAR'!G946),""))</f>
        <v>464320.95</v>
      </c>
      <c r="H928" s="6">
        <f>IF('FUENTE NO BORRAR'!H946="","",IF('FUENTE NO BORRAR'!$A946&lt;&gt;"Resultado total",('FUENTE NO BORRAR'!H946),""))</f>
        <v>463870.95</v>
      </c>
      <c r="I928" s="6">
        <f>IF('FUENTE NO BORRAR'!I946="","",IF('FUENTE NO BORRAR'!$A946&lt;&gt;"Resultado total",('FUENTE NO BORRAR'!I946),""))</f>
        <v>0</v>
      </c>
    </row>
    <row r="929" spans="1:9" x14ac:dyDescent="0.2">
      <c r="A929" s="5" t="str">
        <f>IF('FUENTE NO BORRAR'!A947="","",(IF('FUENTE NO BORRAR'!A947&lt;&gt;"Resultado total",'FUENTE NO BORRAR'!A947,"")))</f>
        <v/>
      </c>
      <c r="B929" s="5" t="str">
        <f>IF('FUENTE NO BORRAR'!B947="","",'FUENTE NO BORRAR'!B947)</f>
        <v/>
      </c>
      <c r="C929" s="5" t="str">
        <f>IF('FUENTE NO BORRAR'!C947="","",'FUENTE NO BORRAR'!C947)</f>
        <v/>
      </c>
      <c r="D929" s="5" t="str">
        <f>IF('FUENTE NO BORRAR'!D947="","",'FUENTE NO BORRAR'!D947)</f>
        <v/>
      </c>
      <c r="E929" s="5" t="str">
        <f>IF('FUENTE NO BORRAR'!E947="","",'FUENTE NO BORRAR'!E947)</f>
        <v/>
      </c>
      <c r="F929" s="6">
        <f>IF('FUENTE NO BORRAR'!F947="","",IF('FUENTE NO BORRAR'!$A947&lt;&gt;"Resultado total",('FUENTE NO BORRAR'!F947),""))</f>
        <v>27154</v>
      </c>
      <c r="G929" s="6">
        <f>IF('FUENTE NO BORRAR'!G947="","",IF('FUENTE NO BORRAR'!$A947&lt;&gt;"Resultado total",('FUENTE NO BORRAR'!G947),""))</f>
        <v>27154</v>
      </c>
      <c r="H929" s="6">
        <f>IF('FUENTE NO BORRAR'!H947="","",IF('FUENTE NO BORRAR'!$A947&lt;&gt;"Resultado total",('FUENTE NO BORRAR'!H947),""))</f>
        <v>27154</v>
      </c>
      <c r="I929" s="6">
        <f>IF('FUENTE NO BORRAR'!I947="","",IF('FUENTE NO BORRAR'!$A947&lt;&gt;"Resultado total",('FUENTE NO BORRAR'!I947),""))</f>
        <v>0</v>
      </c>
    </row>
    <row r="930" spans="1:9" x14ac:dyDescent="0.2">
      <c r="A930" s="5" t="str">
        <f>IF('FUENTE NO BORRAR'!A948="","",(IF('FUENTE NO BORRAR'!A948&lt;&gt;"Resultado total",'FUENTE NO BORRAR'!A948,"")))</f>
        <v/>
      </c>
      <c r="B930" s="5" t="str">
        <f>IF('FUENTE NO BORRAR'!B948="","",'FUENTE NO BORRAR'!B948)</f>
        <v/>
      </c>
      <c r="C930" s="5" t="str">
        <f>IF('FUENTE NO BORRAR'!C948="","",'FUENTE NO BORRAR'!C948)</f>
        <v/>
      </c>
      <c r="D930" s="5" t="str">
        <f>IF('FUENTE NO BORRAR'!D948="","",'FUENTE NO BORRAR'!D948)</f>
        <v/>
      </c>
      <c r="E930" s="5" t="str">
        <f>IF('FUENTE NO BORRAR'!E948="","",'FUENTE NO BORRAR'!E948)</f>
        <v/>
      </c>
      <c r="F930" s="6">
        <f>IF('FUENTE NO BORRAR'!F948="","",IF('FUENTE NO BORRAR'!$A948&lt;&gt;"Resultado total",('FUENTE NO BORRAR'!F948),""))</f>
        <v>93179.53</v>
      </c>
      <c r="G930" s="6">
        <f>IF('FUENTE NO BORRAR'!G948="","",IF('FUENTE NO BORRAR'!$A948&lt;&gt;"Resultado total",('FUENTE NO BORRAR'!G948),""))</f>
        <v>93179.53</v>
      </c>
      <c r="H930" s="6">
        <f>IF('FUENTE NO BORRAR'!H948="","",IF('FUENTE NO BORRAR'!$A948&lt;&gt;"Resultado total",('FUENTE NO BORRAR'!H948),""))</f>
        <v>93179.53</v>
      </c>
      <c r="I930" s="6">
        <f>IF('FUENTE NO BORRAR'!I948="","",IF('FUENTE NO BORRAR'!$A948&lt;&gt;"Resultado total",('FUENTE NO BORRAR'!I948),""))</f>
        <v>0</v>
      </c>
    </row>
    <row r="931" spans="1:9" x14ac:dyDescent="0.2">
      <c r="A931" s="5" t="str">
        <f>IF('FUENTE NO BORRAR'!A949="","",(IF('FUENTE NO BORRAR'!A949&lt;&gt;"Resultado total",'FUENTE NO BORRAR'!A949,"")))</f>
        <v/>
      </c>
      <c r="B931" s="5" t="str">
        <f>IF('FUENTE NO BORRAR'!B949="","",'FUENTE NO BORRAR'!B949)</f>
        <v/>
      </c>
      <c r="C931" s="5" t="str">
        <f>IF('FUENTE NO BORRAR'!C949="","",'FUENTE NO BORRAR'!C949)</f>
        <v/>
      </c>
      <c r="D931" s="5" t="str">
        <f>IF('FUENTE NO BORRAR'!D949="","",'FUENTE NO BORRAR'!D949)</f>
        <v/>
      </c>
      <c r="E931" s="5" t="str">
        <f>IF('FUENTE NO BORRAR'!E949="","",'FUENTE NO BORRAR'!E949)</f>
        <v/>
      </c>
      <c r="F931" s="6">
        <f>IF('FUENTE NO BORRAR'!F949="","",IF('FUENTE NO BORRAR'!$A949&lt;&gt;"Resultado total",('FUENTE NO BORRAR'!F949),""))</f>
        <v>0</v>
      </c>
      <c r="G931" s="6">
        <f>IF('FUENTE NO BORRAR'!G949="","",IF('FUENTE NO BORRAR'!$A949&lt;&gt;"Resultado total",('FUENTE NO BORRAR'!G949),""))</f>
        <v>0</v>
      </c>
      <c r="H931" s="6">
        <f>IF('FUENTE NO BORRAR'!H949="","",IF('FUENTE NO BORRAR'!$A949&lt;&gt;"Resultado total",('FUENTE NO BORRAR'!H949),""))</f>
        <v>0</v>
      </c>
      <c r="I931" s="6">
        <f>IF('FUENTE NO BORRAR'!I949="","",IF('FUENTE NO BORRAR'!$A949&lt;&gt;"Resultado total",('FUENTE NO BORRAR'!I949),""))</f>
        <v>0</v>
      </c>
    </row>
    <row r="932" spans="1:9" x14ac:dyDescent="0.2">
      <c r="A932" s="5" t="str">
        <f>IF('FUENTE NO BORRAR'!A950="","",(IF('FUENTE NO BORRAR'!A950&lt;&gt;"Resultado total",'FUENTE NO BORRAR'!A950,"")))</f>
        <v/>
      </c>
      <c r="B932" s="5" t="str">
        <f>IF('FUENTE NO BORRAR'!B950="","",'FUENTE NO BORRAR'!B950)</f>
        <v/>
      </c>
      <c r="C932" s="5" t="str">
        <f>IF('FUENTE NO BORRAR'!C950="","",'FUENTE NO BORRAR'!C950)</f>
        <v/>
      </c>
      <c r="D932" s="5" t="str">
        <f>IF('FUENTE NO BORRAR'!D950="","",'FUENTE NO BORRAR'!D950)</f>
        <v/>
      </c>
      <c r="E932" s="5" t="str">
        <f>IF('FUENTE NO BORRAR'!E950="","",'FUENTE NO BORRAR'!E950)</f>
        <v/>
      </c>
      <c r="F932" s="6">
        <f>IF('FUENTE NO BORRAR'!F950="","",IF('FUENTE NO BORRAR'!$A950&lt;&gt;"Resultado total",('FUENTE NO BORRAR'!F950),""))</f>
        <v>1597.09</v>
      </c>
      <c r="G932" s="6">
        <f>IF('FUENTE NO BORRAR'!G950="","",IF('FUENTE NO BORRAR'!$A950&lt;&gt;"Resultado total",('FUENTE NO BORRAR'!G950),""))</f>
        <v>1597.09</v>
      </c>
      <c r="H932" s="6">
        <f>IF('FUENTE NO BORRAR'!H950="","",IF('FUENTE NO BORRAR'!$A950&lt;&gt;"Resultado total",('FUENTE NO BORRAR'!H950),""))</f>
        <v>1597.09</v>
      </c>
      <c r="I932" s="6">
        <f>IF('FUENTE NO BORRAR'!I950="","",IF('FUENTE NO BORRAR'!$A950&lt;&gt;"Resultado total",('FUENTE NO BORRAR'!I950),""))</f>
        <v>0</v>
      </c>
    </row>
    <row r="933" spans="1:9" x14ac:dyDescent="0.2">
      <c r="A933" s="5" t="str">
        <f>IF('FUENTE NO BORRAR'!A951="","",(IF('FUENTE NO BORRAR'!A951&lt;&gt;"Resultado total",'FUENTE NO BORRAR'!A951,"")))</f>
        <v/>
      </c>
      <c r="B933" s="5" t="str">
        <f>IF('FUENTE NO BORRAR'!B951="","",'FUENTE NO BORRAR'!B951)</f>
        <v/>
      </c>
      <c r="C933" s="5" t="str">
        <f>IF('FUENTE NO BORRAR'!C951="","",'FUENTE NO BORRAR'!C951)</f>
        <v/>
      </c>
      <c r="D933" s="5" t="str">
        <f>IF('FUENTE NO BORRAR'!D951="","",'FUENTE NO BORRAR'!D951)</f>
        <v/>
      </c>
      <c r="E933" s="5" t="str">
        <f>IF('FUENTE NO BORRAR'!E951="","",'FUENTE NO BORRAR'!E951)</f>
        <v/>
      </c>
      <c r="F933" s="6">
        <f>IF('FUENTE NO BORRAR'!F951="","",IF('FUENTE NO BORRAR'!$A951&lt;&gt;"Resultado total",('FUENTE NO BORRAR'!F951),""))</f>
        <v>0</v>
      </c>
      <c r="G933" s="6">
        <f>IF('FUENTE NO BORRAR'!G951="","",IF('FUENTE NO BORRAR'!$A951&lt;&gt;"Resultado total",('FUENTE NO BORRAR'!G951),""))</f>
        <v>0</v>
      </c>
      <c r="H933" s="6">
        <f>IF('FUENTE NO BORRAR'!H951="","",IF('FUENTE NO BORRAR'!$A951&lt;&gt;"Resultado total",('FUENTE NO BORRAR'!H951),""))</f>
        <v>0</v>
      </c>
      <c r="I933" s="6">
        <f>IF('FUENTE NO BORRAR'!I951="","",IF('FUENTE NO BORRAR'!$A951&lt;&gt;"Resultado total",('FUENTE NO BORRAR'!I951),""))</f>
        <v>0</v>
      </c>
    </row>
    <row r="934" spans="1:9" x14ac:dyDescent="0.2">
      <c r="A934" s="5" t="str">
        <f>IF('FUENTE NO BORRAR'!A952="","",(IF('FUENTE NO BORRAR'!A952&lt;&gt;"Resultado total",'FUENTE NO BORRAR'!A952,"")))</f>
        <v/>
      </c>
      <c r="B934" s="5" t="str">
        <f>IF('FUENTE NO BORRAR'!B952="","",'FUENTE NO BORRAR'!B952)</f>
        <v/>
      </c>
      <c r="C934" s="5" t="str">
        <f>IF('FUENTE NO BORRAR'!C952="","",'FUENTE NO BORRAR'!C952)</f>
        <v/>
      </c>
      <c r="D934" s="5" t="str">
        <f>IF('FUENTE NO BORRAR'!D952="","",'FUENTE NO BORRAR'!D952)</f>
        <v/>
      </c>
      <c r="E934" s="5" t="str">
        <f>IF('FUENTE NO BORRAR'!E952="","",'FUENTE NO BORRAR'!E952)</f>
        <v/>
      </c>
      <c r="F934" s="6">
        <f>IF('FUENTE NO BORRAR'!F952="","",IF('FUENTE NO BORRAR'!$A952&lt;&gt;"Resultado total",('FUENTE NO BORRAR'!F952),""))</f>
        <v>951208.34</v>
      </c>
      <c r="G934" s="6">
        <f>IF('FUENTE NO BORRAR'!G952="","",IF('FUENTE NO BORRAR'!$A952&lt;&gt;"Resultado total",('FUENTE NO BORRAR'!G952),""))</f>
        <v>951208.34</v>
      </c>
      <c r="H934" s="6">
        <f>IF('FUENTE NO BORRAR'!H952="","",IF('FUENTE NO BORRAR'!$A952&lt;&gt;"Resultado total",('FUENTE NO BORRAR'!H952),""))</f>
        <v>864645.38</v>
      </c>
      <c r="I934" s="6">
        <f>IF('FUENTE NO BORRAR'!I952="","",IF('FUENTE NO BORRAR'!$A952&lt;&gt;"Resultado total",('FUENTE NO BORRAR'!I952),""))</f>
        <v>0</v>
      </c>
    </row>
    <row r="935" spans="1:9" x14ac:dyDescent="0.2">
      <c r="A935" s="5" t="str">
        <f>IF('FUENTE NO BORRAR'!A953="","",(IF('FUENTE NO BORRAR'!A953&lt;&gt;"Resultado total",'FUENTE NO BORRAR'!A953,"")))</f>
        <v/>
      </c>
      <c r="B935" s="5" t="str">
        <f>IF('FUENTE NO BORRAR'!B953="","",'FUENTE NO BORRAR'!B953)</f>
        <v/>
      </c>
      <c r="C935" s="5" t="str">
        <f>IF('FUENTE NO BORRAR'!C953="","",'FUENTE NO BORRAR'!C953)</f>
        <v/>
      </c>
      <c r="D935" s="5" t="str">
        <f>IF('FUENTE NO BORRAR'!D953="","",'FUENTE NO BORRAR'!D953)</f>
        <v/>
      </c>
      <c r="E935" s="5" t="str">
        <f>IF('FUENTE NO BORRAR'!E953="","",'FUENTE NO BORRAR'!E953)</f>
        <v/>
      </c>
      <c r="F935" s="6">
        <f>IF('FUENTE NO BORRAR'!F953="","",IF('FUENTE NO BORRAR'!$A953&lt;&gt;"Resultado total",('FUENTE NO BORRAR'!F953),""))</f>
        <v>49916</v>
      </c>
      <c r="G935" s="6">
        <f>IF('FUENTE NO BORRAR'!G953="","",IF('FUENTE NO BORRAR'!$A953&lt;&gt;"Resultado total",('FUENTE NO BORRAR'!G953),""))</f>
        <v>49916</v>
      </c>
      <c r="H935" s="6">
        <f>IF('FUENTE NO BORRAR'!H953="","",IF('FUENTE NO BORRAR'!$A953&lt;&gt;"Resultado total",('FUENTE NO BORRAR'!H953),""))</f>
        <v>49916</v>
      </c>
      <c r="I935" s="6">
        <f>IF('FUENTE NO BORRAR'!I953="","",IF('FUENTE NO BORRAR'!$A953&lt;&gt;"Resultado total",('FUENTE NO BORRAR'!I953),""))</f>
        <v>0</v>
      </c>
    </row>
    <row r="936" spans="1:9" x14ac:dyDescent="0.2">
      <c r="A936" s="5" t="str">
        <f>IF('FUENTE NO BORRAR'!A954="","",(IF('FUENTE NO BORRAR'!A954&lt;&gt;"Resultado total",'FUENTE NO BORRAR'!A954,"")))</f>
        <v/>
      </c>
      <c r="B936" s="5" t="str">
        <f>IF('FUENTE NO BORRAR'!B954="","",'FUENTE NO BORRAR'!B954)</f>
        <v/>
      </c>
      <c r="C936" s="5" t="str">
        <f>IF('FUENTE NO BORRAR'!C954="","",'FUENTE NO BORRAR'!C954)</f>
        <v/>
      </c>
      <c r="D936" s="5" t="str">
        <f>IF('FUENTE NO BORRAR'!D954="","",'FUENTE NO BORRAR'!D954)</f>
        <v/>
      </c>
      <c r="E936" s="5" t="str">
        <f>IF('FUENTE NO BORRAR'!E954="","",'FUENTE NO BORRAR'!E954)</f>
        <v/>
      </c>
      <c r="F936" s="6">
        <f>IF('FUENTE NO BORRAR'!F954="","",IF('FUENTE NO BORRAR'!$A954&lt;&gt;"Resultado total",('FUENTE NO BORRAR'!F954),""))</f>
        <v>165517.51999999999</v>
      </c>
      <c r="G936" s="6">
        <f>IF('FUENTE NO BORRAR'!G954="","",IF('FUENTE NO BORRAR'!$A954&lt;&gt;"Resultado total",('FUENTE NO BORRAR'!G954),""))</f>
        <v>165517.51999999999</v>
      </c>
      <c r="H936" s="6">
        <f>IF('FUENTE NO BORRAR'!H954="","",IF('FUENTE NO BORRAR'!$A954&lt;&gt;"Resultado total",('FUENTE NO BORRAR'!H954),""))</f>
        <v>106216.29</v>
      </c>
      <c r="I936" s="6">
        <f>IF('FUENTE NO BORRAR'!I954="","",IF('FUENTE NO BORRAR'!$A954&lt;&gt;"Resultado total",('FUENTE NO BORRAR'!I954),""))</f>
        <v>0</v>
      </c>
    </row>
    <row r="937" spans="1:9" x14ac:dyDescent="0.2">
      <c r="A937" s="5" t="str">
        <f>IF('FUENTE NO BORRAR'!A955="","",(IF('FUENTE NO BORRAR'!A955&lt;&gt;"Resultado total",'FUENTE NO BORRAR'!A955,"")))</f>
        <v/>
      </c>
      <c r="B937" s="5" t="str">
        <f>IF('FUENTE NO BORRAR'!B955="","",'FUENTE NO BORRAR'!B955)</f>
        <v/>
      </c>
      <c r="C937" s="5" t="str">
        <f>IF('FUENTE NO BORRAR'!C955="","",'FUENTE NO BORRAR'!C955)</f>
        <v/>
      </c>
      <c r="D937" s="5" t="str">
        <f>IF('FUENTE NO BORRAR'!D955="","",'FUENTE NO BORRAR'!D955)</f>
        <v/>
      </c>
      <c r="E937" s="5" t="str">
        <f>IF('FUENTE NO BORRAR'!E955="","",'FUENTE NO BORRAR'!E955)</f>
        <v/>
      </c>
      <c r="F937" s="6">
        <f>IF('FUENTE NO BORRAR'!F955="","",IF('FUENTE NO BORRAR'!$A955&lt;&gt;"Resultado total",('FUENTE NO BORRAR'!F955),""))</f>
        <v>34356.14</v>
      </c>
      <c r="G937" s="6">
        <f>IF('FUENTE NO BORRAR'!G955="","",IF('FUENTE NO BORRAR'!$A955&lt;&gt;"Resultado total",('FUENTE NO BORRAR'!G955),""))</f>
        <v>34356.14</v>
      </c>
      <c r="H937" s="6">
        <f>IF('FUENTE NO BORRAR'!H955="","",IF('FUENTE NO BORRAR'!$A955&lt;&gt;"Resultado total",('FUENTE NO BORRAR'!H955),""))</f>
        <v>0</v>
      </c>
      <c r="I937" s="6">
        <f>IF('FUENTE NO BORRAR'!I955="","",IF('FUENTE NO BORRAR'!$A955&lt;&gt;"Resultado total",('FUENTE NO BORRAR'!I955),""))</f>
        <v>0</v>
      </c>
    </row>
    <row r="938" spans="1:9" x14ac:dyDescent="0.2">
      <c r="A938" s="5" t="str">
        <f>IF('FUENTE NO BORRAR'!A956="","",(IF('FUENTE NO BORRAR'!A956&lt;&gt;"Resultado total",'FUENTE NO BORRAR'!A956,"")))</f>
        <v/>
      </c>
      <c r="B938" s="5" t="str">
        <f>IF('FUENTE NO BORRAR'!B956="","",'FUENTE NO BORRAR'!B956)</f>
        <v/>
      </c>
      <c r="C938" s="5" t="str">
        <f>IF('FUENTE NO BORRAR'!C956="","",'FUENTE NO BORRAR'!C956)</f>
        <v/>
      </c>
      <c r="D938" s="5" t="str">
        <f>IF('FUENTE NO BORRAR'!D956="","",'FUENTE NO BORRAR'!D956)</f>
        <v/>
      </c>
      <c r="E938" s="5" t="str">
        <f>IF('FUENTE NO BORRAR'!E956="","",'FUENTE NO BORRAR'!E956)</f>
        <v/>
      </c>
      <c r="F938" s="6">
        <f>IF('FUENTE NO BORRAR'!F956="","",IF('FUENTE NO BORRAR'!$A956&lt;&gt;"Resultado total",('FUENTE NO BORRAR'!F956),""))</f>
        <v>116000</v>
      </c>
      <c r="G938" s="6">
        <f>IF('FUENTE NO BORRAR'!G956="","",IF('FUENTE NO BORRAR'!$A956&lt;&gt;"Resultado total",('FUENTE NO BORRAR'!G956),""))</f>
        <v>116000</v>
      </c>
      <c r="H938" s="6">
        <f>IF('FUENTE NO BORRAR'!H956="","",IF('FUENTE NO BORRAR'!$A956&lt;&gt;"Resultado total",('FUENTE NO BORRAR'!H956),""))</f>
        <v>116000</v>
      </c>
      <c r="I938" s="6">
        <f>IF('FUENTE NO BORRAR'!I956="","",IF('FUENTE NO BORRAR'!$A956&lt;&gt;"Resultado total",('FUENTE NO BORRAR'!I956),""))</f>
        <v>0</v>
      </c>
    </row>
    <row r="939" spans="1:9" x14ac:dyDescent="0.2">
      <c r="A939" s="5" t="str">
        <f>IF('FUENTE NO BORRAR'!A957="","",(IF('FUENTE NO BORRAR'!A957&lt;&gt;"Resultado total",'FUENTE NO BORRAR'!A957,"")))</f>
        <v/>
      </c>
      <c r="B939" s="5" t="str">
        <f>IF('FUENTE NO BORRAR'!B957="","",'FUENTE NO BORRAR'!B957)</f>
        <v/>
      </c>
      <c r="C939" s="5" t="str">
        <f>IF('FUENTE NO BORRAR'!C957="","",'FUENTE NO BORRAR'!C957)</f>
        <v/>
      </c>
      <c r="D939" s="5" t="str">
        <f>IF('FUENTE NO BORRAR'!D957="","",'FUENTE NO BORRAR'!D957)</f>
        <v/>
      </c>
      <c r="E939" s="5" t="str">
        <f>IF('FUENTE NO BORRAR'!E957="","",'FUENTE NO BORRAR'!E957)</f>
        <v/>
      </c>
      <c r="F939" s="6">
        <f>IF('FUENTE NO BORRAR'!F957="","",IF('FUENTE NO BORRAR'!$A957&lt;&gt;"Resultado total",('FUENTE NO BORRAR'!F957),""))</f>
        <v>2320</v>
      </c>
      <c r="G939" s="6">
        <f>IF('FUENTE NO BORRAR'!G957="","",IF('FUENTE NO BORRAR'!$A957&lt;&gt;"Resultado total",('FUENTE NO BORRAR'!G957),""))</f>
        <v>2320</v>
      </c>
      <c r="H939" s="6">
        <f>IF('FUENTE NO BORRAR'!H957="","",IF('FUENTE NO BORRAR'!$A957&lt;&gt;"Resultado total",('FUENTE NO BORRAR'!H957),""))</f>
        <v>2320</v>
      </c>
      <c r="I939" s="6">
        <f>IF('FUENTE NO BORRAR'!I957="","",IF('FUENTE NO BORRAR'!$A957&lt;&gt;"Resultado total",('FUENTE NO BORRAR'!I957),""))</f>
        <v>0</v>
      </c>
    </row>
    <row r="940" spans="1:9" x14ac:dyDescent="0.2">
      <c r="A940" s="5" t="str">
        <f>IF('FUENTE NO BORRAR'!A958="","",(IF('FUENTE NO BORRAR'!A958&lt;&gt;"Resultado total",'FUENTE NO BORRAR'!A958,"")))</f>
        <v/>
      </c>
      <c r="B940" s="5" t="str">
        <f>IF('FUENTE NO BORRAR'!B958="","",'FUENTE NO BORRAR'!B958)</f>
        <v/>
      </c>
      <c r="C940" s="5" t="str">
        <f>IF('FUENTE NO BORRAR'!C958="","",'FUENTE NO BORRAR'!C958)</f>
        <v/>
      </c>
      <c r="D940" s="5" t="str">
        <f>IF('FUENTE NO BORRAR'!D958="","",'FUENTE NO BORRAR'!D958)</f>
        <v/>
      </c>
      <c r="E940" s="5" t="str">
        <f>IF('FUENTE NO BORRAR'!E958="","",'FUENTE NO BORRAR'!E958)</f>
        <v/>
      </c>
      <c r="F940" s="6">
        <f>IF('FUENTE NO BORRAR'!F958="","",IF('FUENTE NO BORRAR'!$A958&lt;&gt;"Resultado total",('FUENTE NO BORRAR'!F958),""))</f>
        <v>9074.68</v>
      </c>
      <c r="G940" s="6">
        <f>IF('FUENTE NO BORRAR'!G958="","",IF('FUENTE NO BORRAR'!$A958&lt;&gt;"Resultado total",('FUENTE NO BORRAR'!G958),""))</f>
        <v>9074.68</v>
      </c>
      <c r="H940" s="6">
        <f>IF('FUENTE NO BORRAR'!H958="","",IF('FUENTE NO BORRAR'!$A958&lt;&gt;"Resultado total",('FUENTE NO BORRAR'!H958),""))</f>
        <v>9074.68</v>
      </c>
      <c r="I940" s="6">
        <f>IF('FUENTE NO BORRAR'!I958="","",IF('FUENTE NO BORRAR'!$A958&lt;&gt;"Resultado total",('FUENTE NO BORRAR'!I958),""))</f>
        <v>0</v>
      </c>
    </row>
    <row r="941" spans="1:9" x14ac:dyDescent="0.2">
      <c r="A941" s="5" t="str">
        <f>IF('FUENTE NO BORRAR'!A959="","",(IF('FUENTE NO BORRAR'!A959&lt;&gt;"Resultado total",'FUENTE NO BORRAR'!A959,"")))</f>
        <v/>
      </c>
      <c r="B941" s="5" t="str">
        <f>IF('FUENTE NO BORRAR'!B959="","",'FUENTE NO BORRAR'!B959)</f>
        <v/>
      </c>
      <c r="C941" s="5" t="str">
        <f>IF('FUENTE NO BORRAR'!C959="","",'FUENTE NO BORRAR'!C959)</f>
        <v/>
      </c>
      <c r="D941" s="5" t="str">
        <f>IF('FUENTE NO BORRAR'!D959="","",'FUENTE NO BORRAR'!D959)</f>
        <v/>
      </c>
      <c r="E941" s="5" t="str">
        <f>IF('FUENTE NO BORRAR'!E959="","",'FUENTE NO BORRAR'!E959)</f>
        <v/>
      </c>
      <c r="F941" s="6">
        <f>IF('FUENTE NO BORRAR'!F959="","",IF('FUENTE NO BORRAR'!$A959&lt;&gt;"Resultado total",('FUENTE NO BORRAR'!F959),""))</f>
        <v>115072</v>
      </c>
      <c r="G941" s="6">
        <f>IF('FUENTE NO BORRAR'!G959="","",IF('FUENTE NO BORRAR'!$A959&lt;&gt;"Resultado total",('FUENTE NO BORRAR'!G959),""))</f>
        <v>115072</v>
      </c>
      <c r="H941" s="6">
        <f>IF('FUENTE NO BORRAR'!H959="","",IF('FUENTE NO BORRAR'!$A959&lt;&gt;"Resultado total",('FUENTE NO BORRAR'!H959),""))</f>
        <v>115072</v>
      </c>
      <c r="I941" s="6">
        <f>IF('FUENTE NO BORRAR'!I959="","",IF('FUENTE NO BORRAR'!$A959&lt;&gt;"Resultado total",('FUENTE NO BORRAR'!I959),""))</f>
        <v>0</v>
      </c>
    </row>
    <row r="942" spans="1:9" x14ac:dyDescent="0.2">
      <c r="A942" s="5" t="str">
        <f>IF('FUENTE NO BORRAR'!A960="","",(IF('FUENTE NO BORRAR'!A960&lt;&gt;"Resultado total",'FUENTE NO BORRAR'!A960,"")))</f>
        <v/>
      </c>
      <c r="B942" s="5" t="str">
        <f>IF('FUENTE NO BORRAR'!B960="","",'FUENTE NO BORRAR'!B960)</f>
        <v/>
      </c>
      <c r="C942" s="5" t="str">
        <f>IF('FUENTE NO BORRAR'!C960="","",'FUENTE NO BORRAR'!C960)</f>
        <v/>
      </c>
      <c r="D942" s="5" t="str">
        <f>IF('FUENTE NO BORRAR'!D960="","",'FUENTE NO BORRAR'!D960)</f>
        <v/>
      </c>
      <c r="E942" s="5" t="str">
        <f>IF('FUENTE NO BORRAR'!E960="","",'FUENTE NO BORRAR'!E960)</f>
        <v/>
      </c>
      <c r="F942" s="6">
        <f>IF('FUENTE NO BORRAR'!F960="","",IF('FUENTE NO BORRAR'!$A960&lt;&gt;"Resultado total",('FUENTE NO BORRAR'!F960),""))</f>
        <v>108950</v>
      </c>
      <c r="G942" s="6">
        <f>IF('FUENTE NO BORRAR'!G960="","",IF('FUENTE NO BORRAR'!$A960&lt;&gt;"Resultado total",('FUENTE NO BORRAR'!G960),""))</f>
        <v>108950</v>
      </c>
      <c r="H942" s="6">
        <f>IF('FUENTE NO BORRAR'!H960="","",IF('FUENTE NO BORRAR'!$A960&lt;&gt;"Resultado total",('FUENTE NO BORRAR'!H960),""))</f>
        <v>108950</v>
      </c>
      <c r="I942" s="6">
        <f>IF('FUENTE NO BORRAR'!I960="","",IF('FUENTE NO BORRAR'!$A960&lt;&gt;"Resultado total",('FUENTE NO BORRAR'!I960),""))</f>
        <v>0</v>
      </c>
    </row>
    <row r="943" spans="1:9" x14ac:dyDescent="0.2">
      <c r="A943" s="5" t="str">
        <f>IF('FUENTE NO BORRAR'!A961="","",(IF('FUENTE NO BORRAR'!A961&lt;&gt;"Resultado total",'FUENTE NO BORRAR'!A961,"")))</f>
        <v/>
      </c>
      <c r="B943" s="5" t="str">
        <f>IF('FUENTE NO BORRAR'!B961="","",'FUENTE NO BORRAR'!B961)</f>
        <v/>
      </c>
      <c r="C943" s="5" t="str">
        <f>IF('FUENTE NO BORRAR'!C961="","",'FUENTE NO BORRAR'!C961)</f>
        <v/>
      </c>
      <c r="D943" s="5" t="str">
        <f>IF('FUENTE NO BORRAR'!D961="","",'FUENTE NO BORRAR'!D961)</f>
        <v/>
      </c>
      <c r="E943" s="5" t="str">
        <f>IF('FUENTE NO BORRAR'!E961="","",'FUENTE NO BORRAR'!E961)</f>
        <v/>
      </c>
      <c r="F943" s="6">
        <f>IF('FUENTE NO BORRAR'!F961="","",IF('FUENTE NO BORRAR'!$A961&lt;&gt;"Resultado total",('FUENTE NO BORRAR'!F961),""))</f>
        <v>3944</v>
      </c>
      <c r="G943" s="6">
        <f>IF('FUENTE NO BORRAR'!G961="","",IF('FUENTE NO BORRAR'!$A961&lt;&gt;"Resultado total",('FUENTE NO BORRAR'!G961),""))</f>
        <v>3944</v>
      </c>
      <c r="H943" s="6">
        <f>IF('FUENTE NO BORRAR'!H961="","",IF('FUENTE NO BORRAR'!$A961&lt;&gt;"Resultado total",('FUENTE NO BORRAR'!H961),""))</f>
        <v>0</v>
      </c>
      <c r="I943" s="6">
        <f>IF('FUENTE NO BORRAR'!I961="","",IF('FUENTE NO BORRAR'!$A961&lt;&gt;"Resultado total",('FUENTE NO BORRAR'!I961),""))</f>
        <v>0</v>
      </c>
    </row>
    <row r="944" spans="1:9" x14ac:dyDescent="0.2">
      <c r="A944" s="5" t="str">
        <f>IF('FUENTE NO BORRAR'!A962="","",(IF('FUENTE NO BORRAR'!A962&lt;&gt;"Resultado total",'FUENTE NO BORRAR'!A962,"")))</f>
        <v/>
      </c>
      <c r="B944" s="5" t="str">
        <f>IF('FUENTE NO BORRAR'!B962="","",'FUENTE NO BORRAR'!B962)</f>
        <v/>
      </c>
      <c r="C944" s="5" t="str">
        <f>IF('FUENTE NO BORRAR'!C962="","",'FUENTE NO BORRAR'!C962)</f>
        <v/>
      </c>
      <c r="D944" s="5" t="str">
        <f>IF('FUENTE NO BORRAR'!D962="","",'FUENTE NO BORRAR'!D962)</f>
        <v/>
      </c>
      <c r="E944" s="5" t="str">
        <f>IF('FUENTE NO BORRAR'!E962="","",'FUENTE NO BORRAR'!E962)</f>
        <v/>
      </c>
      <c r="F944" s="6">
        <f>IF('FUENTE NO BORRAR'!F962="","",IF('FUENTE NO BORRAR'!$A962&lt;&gt;"Resultado total",('FUENTE NO BORRAR'!F962),""))</f>
        <v>0</v>
      </c>
      <c r="G944" s="6">
        <f>IF('FUENTE NO BORRAR'!G962="","",IF('FUENTE NO BORRAR'!$A962&lt;&gt;"Resultado total",('FUENTE NO BORRAR'!G962),""))</f>
        <v>0</v>
      </c>
      <c r="H944" s="6">
        <f>IF('FUENTE NO BORRAR'!H962="","",IF('FUENTE NO BORRAR'!$A962&lt;&gt;"Resultado total",('FUENTE NO BORRAR'!H962),""))</f>
        <v>0</v>
      </c>
      <c r="I944" s="6">
        <f>IF('FUENTE NO BORRAR'!I962="","",IF('FUENTE NO BORRAR'!$A962&lt;&gt;"Resultado total",('FUENTE NO BORRAR'!I962),""))</f>
        <v>0</v>
      </c>
    </row>
    <row r="945" spans="1:9" x14ac:dyDescent="0.2">
      <c r="A945" s="5" t="str">
        <f>IF('FUENTE NO BORRAR'!A963="","",(IF('FUENTE NO BORRAR'!A963&lt;&gt;"Resultado total",'FUENTE NO BORRAR'!A963,"")))</f>
        <v/>
      </c>
      <c r="B945" s="5" t="str">
        <f>IF('FUENTE NO BORRAR'!B963="","",'FUENTE NO BORRAR'!B963)</f>
        <v/>
      </c>
      <c r="C945" s="5" t="str">
        <f>IF('FUENTE NO BORRAR'!C963="","",'FUENTE NO BORRAR'!C963)</f>
        <v/>
      </c>
      <c r="D945" s="5" t="str">
        <f>IF('FUENTE NO BORRAR'!D963="","",'FUENTE NO BORRAR'!D963)</f>
        <v/>
      </c>
      <c r="E945" s="5" t="str">
        <f>IF('FUENTE NO BORRAR'!E963="","",'FUENTE NO BORRAR'!E963)</f>
        <v/>
      </c>
      <c r="F945" s="6">
        <f>IF('FUENTE NO BORRAR'!F963="","",IF('FUENTE NO BORRAR'!$A963&lt;&gt;"Resultado total",('FUENTE NO BORRAR'!F963),""))</f>
        <v>67749.97</v>
      </c>
      <c r="G945" s="6">
        <f>IF('FUENTE NO BORRAR'!G963="","",IF('FUENTE NO BORRAR'!$A963&lt;&gt;"Resultado total",('FUENTE NO BORRAR'!G963),""))</f>
        <v>67749.97</v>
      </c>
      <c r="H945" s="6">
        <f>IF('FUENTE NO BORRAR'!H963="","",IF('FUENTE NO BORRAR'!$A963&lt;&gt;"Resultado total",('FUENTE NO BORRAR'!H963),""))</f>
        <v>67749.97</v>
      </c>
      <c r="I945" s="6">
        <f>IF('FUENTE NO BORRAR'!I963="","",IF('FUENTE NO BORRAR'!$A963&lt;&gt;"Resultado total",('FUENTE NO BORRAR'!I963),""))</f>
        <v>0</v>
      </c>
    </row>
    <row r="946" spans="1:9" x14ac:dyDescent="0.2">
      <c r="A946" s="5" t="str">
        <f>IF('FUENTE NO BORRAR'!A964="","",(IF('FUENTE NO BORRAR'!A964&lt;&gt;"Resultado total",'FUENTE NO BORRAR'!A964,"")))</f>
        <v/>
      </c>
      <c r="B946" s="5" t="str">
        <f>IF('FUENTE NO BORRAR'!B964="","",'FUENTE NO BORRAR'!B964)</f>
        <v/>
      </c>
      <c r="C946" s="5" t="str">
        <f>IF('FUENTE NO BORRAR'!C964="","",'FUENTE NO BORRAR'!C964)</f>
        <v/>
      </c>
      <c r="D946" s="5" t="str">
        <f>IF('FUENTE NO BORRAR'!D964="","",'FUENTE NO BORRAR'!D964)</f>
        <v/>
      </c>
      <c r="E946" s="5" t="str">
        <f>IF('FUENTE NO BORRAR'!E964="","",'FUENTE NO BORRAR'!E964)</f>
        <v/>
      </c>
      <c r="F946" s="6">
        <f>IF('FUENTE NO BORRAR'!F964="","",IF('FUENTE NO BORRAR'!$A964&lt;&gt;"Resultado total",('FUENTE NO BORRAR'!F964),""))</f>
        <v>96000</v>
      </c>
      <c r="G946" s="6">
        <f>IF('FUENTE NO BORRAR'!G964="","",IF('FUENTE NO BORRAR'!$A964&lt;&gt;"Resultado total",('FUENTE NO BORRAR'!G964),""))</f>
        <v>96000</v>
      </c>
      <c r="H946" s="6">
        <f>IF('FUENTE NO BORRAR'!H964="","",IF('FUENTE NO BORRAR'!$A964&lt;&gt;"Resultado total",('FUENTE NO BORRAR'!H964),""))</f>
        <v>96000</v>
      </c>
      <c r="I946" s="6">
        <f>IF('FUENTE NO BORRAR'!I964="","",IF('FUENTE NO BORRAR'!$A964&lt;&gt;"Resultado total",('FUENTE NO BORRAR'!I964),""))</f>
        <v>0</v>
      </c>
    </row>
    <row r="947" spans="1:9" x14ac:dyDescent="0.2">
      <c r="A947" s="5" t="str">
        <f>IF('FUENTE NO BORRAR'!A965="","",(IF('FUENTE NO BORRAR'!A965&lt;&gt;"Resultado total",'FUENTE NO BORRAR'!A965,"")))</f>
        <v/>
      </c>
      <c r="B947" s="5" t="str">
        <f>IF('FUENTE NO BORRAR'!B965="","",'FUENTE NO BORRAR'!B965)</f>
        <v/>
      </c>
      <c r="C947" s="5" t="str">
        <f>IF('FUENTE NO BORRAR'!C965="","",'FUENTE NO BORRAR'!C965)</f>
        <v/>
      </c>
      <c r="D947" s="5" t="str">
        <f>IF('FUENTE NO BORRAR'!D965="","",'FUENTE NO BORRAR'!D965)</f>
        <v/>
      </c>
      <c r="E947" s="5" t="str">
        <f>IF('FUENTE NO BORRAR'!E965="","",'FUENTE NO BORRAR'!E965)</f>
        <v/>
      </c>
      <c r="F947" s="6">
        <f>IF('FUENTE NO BORRAR'!F965="","",IF('FUENTE NO BORRAR'!$A965&lt;&gt;"Resultado total",('FUENTE NO BORRAR'!F965),""))</f>
        <v>0</v>
      </c>
      <c r="G947" s="6">
        <f>IF('FUENTE NO BORRAR'!G965="","",IF('FUENTE NO BORRAR'!$A965&lt;&gt;"Resultado total",('FUENTE NO BORRAR'!G965),""))</f>
        <v>0</v>
      </c>
      <c r="H947" s="6">
        <f>IF('FUENTE NO BORRAR'!H965="","",IF('FUENTE NO BORRAR'!$A965&lt;&gt;"Resultado total",('FUENTE NO BORRAR'!H965),""))</f>
        <v>0</v>
      </c>
      <c r="I947" s="6">
        <f>IF('FUENTE NO BORRAR'!I965="","",IF('FUENTE NO BORRAR'!$A965&lt;&gt;"Resultado total",('FUENTE NO BORRAR'!I965),""))</f>
        <v>0</v>
      </c>
    </row>
    <row r="948" spans="1:9" x14ac:dyDescent="0.2">
      <c r="A948" s="5" t="str">
        <f>IF('FUENTE NO BORRAR'!A966="","",(IF('FUENTE NO BORRAR'!A966&lt;&gt;"Resultado total",'FUENTE NO BORRAR'!A966,"")))</f>
        <v/>
      </c>
      <c r="B948" s="5" t="str">
        <f>IF('FUENTE NO BORRAR'!B966="","",'FUENTE NO BORRAR'!B966)</f>
        <v/>
      </c>
      <c r="C948" s="5" t="str">
        <f>IF('FUENTE NO BORRAR'!C966="","",'FUENTE NO BORRAR'!C966)</f>
        <v/>
      </c>
      <c r="D948" s="5" t="str">
        <f>IF('FUENTE NO BORRAR'!D966="","",'FUENTE NO BORRAR'!D966)</f>
        <v/>
      </c>
      <c r="E948" s="5" t="str">
        <f>IF('FUENTE NO BORRAR'!E966="","",'FUENTE NO BORRAR'!E966)</f>
        <v/>
      </c>
      <c r="F948" s="6">
        <f>IF('FUENTE NO BORRAR'!F966="","",IF('FUENTE NO BORRAR'!$A966&lt;&gt;"Resultado total",('FUENTE NO BORRAR'!F966),""))</f>
        <v>1160</v>
      </c>
      <c r="G948" s="6">
        <f>IF('FUENTE NO BORRAR'!G966="","",IF('FUENTE NO BORRAR'!$A966&lt;&gt;"Resultado total",('FUENTE NO BORRAR'!G966),""))</f>
        <v>1160</v>
      </c>
      <c r="H948" s="6">
        <f>IF('FUENTE NO BORRAR'!H966="","",IF('FUENTE NO BORRAR'!$A966&lt;&gt;"Resultado total",('FUENTE NO BORRAR'!H966),""))</f>
        <v>1160</v>
      </c>
      <c r="I948" s="6">
        <f>IF('FUENTE NO BORRAR'!I966="","",IF('FUENTE NO BORRAR'!$A966&lt;&gt;"Resultado total",('FUENTE NO BORRAR'!I966),""))</f>
        <v>0</v>
      </c>
    </row>
    <row r="949" spans="1:9" x14ac:dyDescent="0.2">
      <c r="A949" s="5" t="str">
        <f>IF('FUENTE NO BORRAR'!A967="","",(IF('FUENTE NO BORRAR'!A967&lt;&gt;"Resultado total",'FUENTE NO BORRAR'!A967,"")))</f>
        <v/>
      </c>
      <c r="B949" s="5" t="str">
        <f>IF('FUENTE NO BORRAR'!B967="","",'FUENTE NO BORRAR'!B967)</f>
        <v/>
      </c>
      <c r="C949" s="5" t="str">
        <f>IF('FUENTE NO BORRAR'!C967="","",'FUENTE NO BORRAR'!C967)</f>
        <v/>
      </c>
      <c r="D949" s="5" t="str">
        <f>IF('FUENTE NO BORRAR'!D967="","",'FUENTE NO BORRAR'!D967)</f>
        <v/>
      </c>
      <c r="E949" s="5" t="str">
        <f>IF('FUENTE NO BORRAR'!E967="","",'FUENTE NO BORRAR'!E967)</f>
        <v/>
      </c>
      <c r="F949" s="6">
        <f>IF('FUENTE NO BORRAR'!F967="","",IF('FUENTE NO BORRAR'!$A967&lt;&gt;"Resultado total",('FUENTE NO BORRAR'!F967),""))</f>
        <v>2088</v>
      </c>
      <c r="G949" s="6">
        <f>IF('FUENTE NO BORRAR'!G967="","",IF('FUENTE NO BORRAR'!$A967&lt;&gt;"Resultado total",('FUENTE NO BORRAR'!G967),""))</f>
        <v>2088</v>
      </c>
      <c r="H949" s="6">
        <f>IF('FUENTE NO BORRAR'!H967="","",IF('FUENTE NO BORRAR'!$A967&lt;&gt;"Resultado total",('FUENTE NO BORRAR'!H967),""))</f>
        <v>2088</v>
      </c>
      <c r="I949" s="6">
        <f>IF('FUENTE NO BORRAR'!I967="","",IF('FUENTE NO BORRAR'!$A967&lt;&gt;"Resultado total",('FUENTE NO BORRAR'!I967),""))</f>
        <v>0</v>
      </c>
    </row>
    <row r="950" spans="1:9" x14ac:dyDescent="0.2">
      <c r="A950" s="5" t="str">
        <f>IF('FUENTE NO BORRAR'!A968="","",(IF('FUENTE NO BORRAR'!A968&lt;&gt;"Resultado total",'FUENTE NO BORRAR'!A968,"")))</f>
        <v/>
      </c>
      <c r="B950" s="5" t="str">
        <f>IF('FUENTE NO BORRAR'!B968="","",'FUENTE NO BORRAR'!B968)</f>
        <v/>
      </c>
      <c r="C950" s="5" t="str">
        <f>IF('FUENTE NO BORRAR'!C968="","",'FUENTE NO BORRAR'!C968)</f>
        <v/>
      </c>
      <c r="D950" s="5" t="str">
        <f>IF('FUENTE NO BORRAR'!D968="","",'FUENTE NO BORRAR'!D968)</f>
        <v/>
      </c>
      <c r="E950" s="5" t="str">
        <f>IF('FUENTE NO BORRAR'!E968="","",'FUENTE NO BORRAR'!E968)</f>
        <v/>
      </c>
      <c r="F950" s="6">
        <f>IF('FUENTE NO BORRAR'!F968="","",IF('FUENTE NO BORRAR'!$A968&lt;&gt;"Resultado total",('FUENTE NO BORRAR'!F968),""))</f>
        <v>60320</v>
      </c>
      <c r="G950" s="6">
        <f>IF('FUENTE NO BORRAR'!G968="","",IF('FUENTE NO BORRAR'!$A968&lt;&gt;"Resultado total",('FUENTE NO BORRAR'!G968),""))</f>
        <v>60320</v>
      </c>
      <c r="H950" s="6">
        <f>IF('FUENTE NO BORRAR'!H968="","",IF('FUENTE NO BORRAR'!$A968&lt;&gt;"Resultado total",('FUENTE NO BORRAR'!H968),""))</f>
        <v>60320</v>
      </c>
      <c r="I950" s="6">
        <f>IF('FUENTE NO BORRAR'!I968="","",IF('FUENTE NO BORRAR'!$A968&lt;&gt;"Resultado total",('FUENTE NO BORRAR'!I968),""))</f>
        <v>0</v>
      </c>
    </row>
    <row r="951" spans="1:9" x14ac:dyDescent="0.2">
      <c r="A951" s="5" t="str">
        <f>IF('FUENTE NO BORRAR'!A969="","",(IF('FUENTE NO BORRAR'!A969&lt;&gt;"Resultado total",'FUENTE NO BORRAR'!A969,"")))</f>
        <v/>
      </c>
      <c r="B951" s="5" t="str">
        <f>IF('FUENTE NO BORRAR'!B969="","",'FUENTE NO BORRAR'!B969)</f>
        <v/>
      </c>
      <c r="C951" s="5" t="str">
        <f>IF('FUENTE NO BORRAR'!C969="","",'FUENTE NO BORRAR'!C969)</f>
        <v/>
      </c>
      <c r="D951" s="5" t="str">
        <f>IF('FUENTE NO BORRAR'!D969="","",'FUENTE NO BORRAR'!D969)</f>
        <v/>
      </c>
      <c r="E951" s="5" t="str">
        <f>IF('FUENTE NO BORRAR'!E969="","",'FUENTE NO BORRAR'!E969)</f>
        <v/>
      </c>
      <c r="F951" s="6">
        <f>IF('FUENTE NO BORRAR'!F969="","",IF('FUENTE NO BORRAR'!$A969&lt;&gt;"Resultado total",('FUENTE NO BORRAR'!F969),""))</f>
        <v>5567.25</v>
      </c>
      <c r="G951" s="6">
        <f>IF('FUENTE NO BORRAR'!G969="","",IF('FUENTE NO BORRAR'!$A969&lt;&gt;"Resultado total",('FUENTE NO BORRAR'!G969),""))</f>
        <v>5567.25</v>
      </c>
      <c r="H951" s="6">
        <f>IF('FUENTE NO BORRAR'!H969="","",IF('FUENTE NO BORRAR'!$A969&lt;&gt;"Resultado total",('FUENTE NO BORRAR'!H969),""))</f>
        <v>5567.25</v>
      </c>
      <c r="I951" s="6">
        <f>IF('FUENTE NO BORRAR'!I969="","",IF('FUENTE NO BORRAR'!$A969&lt;&gt;"Resultado total",('FUENTE NO BORRAR'!I969),""))</f>
        <v>0</v>
      </c>
    </row>
    <row r="952" spans="1:9" x14ac:dyDescent="0.2">
      <c r="A952" s="5" t="str">
        <f>IF('FUENTE NO BORRAR'!A970="","",(IF('FUENTE NO BORRAR'!A970&lt;&gt;"Resultado total",'FUENTE NO BORRAR'!A970,"")))</f>
        <v/>
      </c>
      <c r="B952" s="5" t="str">
        <f>IF('FUENTE NO BORRAR'!B970="","",'FUENTE NO BORRAR'!B970)</f>
        <v/>
      </c>
      <c r="C952" s="5" t="str">
        <f>IF('FUENTE NO BORRAR'!C970="","",'FUENTE NO BORRAR'!C970)</f>
        <v/>
      </c>
      <c r="D952" s="5" t="str">
        <f>IF('FUENTE NO BORRAR'!D970="","",'FUENTE NO BORRAR'!D970)</f>
        <v/>
      </c>
      <c r="E952" s="5" t="str">
        <f>IF('FUENTE NO BORRAR'!E970="","",'FUENTE NO BORRAR'!E970)</f>
        <v/>
      </c>
      <c r="F952" s="6">
        <f>IF('FUENTE NO BORRAR'!F970="","",IF('FUENTE NO BORRAR'!$A970&lt;&gt;"Resultado total",('FUENTE NO BORRAR'!F970),""))</f>
        <v>9689</v>
      </c>
      <c r="G952" s="6">
        <f>IF('FUENTE NO BORRAR'!G970="","",IF('FUENTE NO BORRAR'!$A970&lt;&gt;"Resultado total",('FUENTE NO BORRAR'!G970),""))</f>
        <v>9689</v>
      </c>
      <c r="H952" s="6">
        <f>IF('FUENTE NO BORRAR'!H970="","",IF('FUENTE NO BORRAR'!$A970&lt;&gt;"Resultado total",('FUENTE NO BORRAR'!H970),""))</f>
        <v>9689</v>
      </c>
      <c r="I952" s="6">
        <f>IF('FUENTE NO BORRAR'!I970="","",IF('FUENTE NO BORRAR'!$A970&lt;&gt;"Resultado total",('FUENTE NO BORRAR'!I970),""))</f>
        <v>0</v>
      </c>
    </row>
    <row r="953" spans="1:9" x14ac:dyDescent="0.2">
      <c r="A953" s="5" t="str">
        <f>IF('FUENTE NO BORRAR'!A971="","",(IF('FUENTE NO BORRAR'!A971&lt;&gt;"Resultado total",'FUENTE NO BORRAR'!A971,"")))</f>
        <v/>
      </c>
      <c r="B953" s="5" t="str">
        <f>IF('FUENTE NO BORRAR'!B971="","",'FUENTE NO BORRAR'!B971)</f>
        <v/>
      </c>
      <c r="C953" s="5" t="str">
        <f>IF('FUENTE NO BORRAR'!C971="","",'FUENTE NO BORRAR'!C971)</f>
        <v/>
      </c>
      <c r="D953" s="5" t="str">
        <f>IF('FUENTE NO BORRAR'!D971="","",'FUENTE NO BORRAR'!D971)</f>
        <v/>
      </c>
      <c r="E953" s="5" t="str">
        <f>IF('FUENTE NO BORRAR'!E971="","",'FUENTE NO BORRAR'!E971)</f>
        <v/>
      </c>
      <c r="F953" s="6">
        <f>IF('FUENTE NO BORRAR'!F971="","",IF('FUENTE NO BORRAR'!$A971&lt;&gt;"Resultado total",('FUENTE NO BORRAR'!F971),""))</f>
        <v>32400</v>
      </c>
      <c r="G953" s="6">
        <f>IF('FUENTE NO BORRAR'!G971="","",IF('FUENTE NO BORRAR'!$A971&lt;&gt;"Resultado total",('FUENTE NO BORRAR'!G971),""))</f>
        <v>32400</v>
      </c>
      <c r="H953" s="6">
        <f>IF('FUENTE NO BORRAR'!H971="","",IF('FUENTE NO BORRAR'!$A971&lt;&gt;"Resultado total",('FUENTE NO BORRAR'!H971),""))</f>
        <v>32400</v>
      </c>
      <c r="I953" s="6">
        <f>IF('FUENTE NO BORRAR'!I971="","",IF('FUENTE NO BORRAR'!$A971&lt;&gt;"Resultado total",('FUENTE NO BORRAR'!I971),""))</f>
        <v>0</v>
      </c>
    </row>
    <row r="954" spans="1:9" x14ac:dyDescent="0.2">
      <c r="A954" s="5" t="str">
        <f>IF('FUENTE NO BORRAR'!A972="","",(IF('FUENTE NO BORRAR'!A972&lt;&gt;"Resultado total",'FUENTE NO BORRAR'!A972,"")))</f>
        <v/>
      </c>
      <c r="B954" s="5" t="str">
        <f>IF('FUENTE NO BORRAR'!B972="","",'FUENTE NO BORRAR'!B972)</f>
        <v/>
      </c>
      <c r="C954" s="5" t="str">
        <f>IF('FUENTE NO BORRAR'!C972="","",'FUENTE NO BORRAR'!C972)</f>
        <v/>
      </c>
      <c r="D954" s="5" t="str">
        <f>IF('FUENTE NO BORRAR'!D972="","",'FUENTE NO BORRAR'!D972)</f>
        <v/>
      </c>
      <c r="E954" s="5" t="str">
        <f>IF('FUENTE NO BORRAR'!E972="","",'FUENTE NO BORRAR'!E972)</f>
        <v/>
      </c>
      <c r="F954" s="6">
        <f>IF('FUENTE NO BORRAR'!F972="","",IF('FUENTE NO BORRAR'!$A972&lt;&gt;"Resultado total",('FUENTE NO BORRAR'!F972),""))</f>
        <v>1392</v>
      </c>
      <c r="G954" s="6">
        <f>IF('FUENTE NO BORRAR'!G972="","",IF('FUENTE NO BORRAR'!$A972&lt;&gt;"Resultado total",('FUENTE NO BORRAR'!G972),""))</f>
        <v>1392</v>
      </c>
      <c r="H954" s="6">
        <f>IF('FUENTE NO BORRAR'!H972="","",IF('FUENTE NO BORRAR'!$A972&lt;&gt;"Resultado total",('FUENTE NO BORRAR'!H972),""))</f>
        <v>1392</v>
      </c>
      <c r="I954" s="6">
        <f>IF('FUENTE NO BORRAR'!I972="","",IF('FUENTE NO BORRAR'!$A972&lt;&gt;"Resultado total",('FUENTE NO BORRAR'!I972),""))</f>
        <v>0</v>
      </c>
    </row>
    <row r="955" spans="1:9" x14ac:dyDescent="0.2">
      <c r="A955" s="5" t="str">
        <f>IF('FUENTE NO BORRAR'!A973="","",(IF('FUENTE NO BORRAR'!A973&lt;&gt;"Resultado total",'FUENTE NO BORRAR'!A973,"")))</f>
        <v/>
      </c>
      <c r="B955" s="5" t="str">
        <f>IF('FUENTE NO BORRAR'!B973="","",'FUENTE NO BORRAR'!B973)</f>
        <v/>
      </c>
      <c r="C955" s="5" t="str">
        <f>IF('FUENTE NO BORRAR'!C973="","",'FUENTE NO BORRAR'!C973)</f>
        <v/>
      </c>
      <c r="D955" s="5" t="str">
        <f>IF('FUENTE NO BORRAR'!D973="","",'FUENTE NO BORRAR'!D973)</f>
        <v/>
      </c>
      <c r="E955" s="5" t="str">
        <f>IF('FUENTE NO BORRAR'!E973="","",'FUENTE NO BORRAR'!E973)</f>
        <v/>
      </c>
      <c r="F955" s="6">
        <f>IF('FUENTE NO BORRAR'!F973="","",IF('FUENTE NO BORRAR'!$A973&lt;&gt;"Resultado total",('FUENTE NO BORRAR'!F973),""))</f>
        <v>0</v>
      </c>
      <c r="G955" s="6">
        <f>IF('FUENTE NO BORRAR'!G973="","",IF('FUENTE NO BORRAR'!$A973&lt;&gt;"Resultado total",('FUENTE NO BORRAR'!G973),""))</f>
        <v>0</v>
      </c>
      <c r="H955" s="6">
        <f>IF('FUENTE NO BORRAR'!H973="","",IF('FUENTE NO BORRAR'!$A973&lt;&gt;"Resultado total",('FUENTE NO BORRAR'!H973),""))</f>
        <v>0</v>
      </c>
      <c r="I955" s="6">
        <f>IF('FUENTE NO BORRAR'!I973="","",IF('FUENTE NO BORRAR'!$A973&lt;&gt;"Resultado total",('FUENTE NO BORRAR'!I973),""))</f>
        <v>0</v>
      </c>
    </row>
    <row r="956" spans="1:9" x14ac:dyDescent="0.2">
      <c r="A956" s="5" t="str">
        <f>IF('FUENTE NO BORRAR'!A974="","",(IF('FUENTE NO BORRAR'!A974&lt;&gt;"Resultado total",'FUENTE NO BORRAR'!A974,"")))</f>
        <v/>
      </c>
      <c r="B956" s="5" t="str">
        <f>IF('FUENTE NO BORRAR'!B974="","",'FUENTE NO BORRAR'!B974)</f>
        <v/>
      </c>
      <c r="C956" s="5" t="str">
        <f>IF('FUENTE NO BORRAR'!C974="","",'FUENTE NO BORRAR'!C974)</f>
        <v/>
      </c>
      <c r="D956" s="5" t="str">
        <f>IF('FUENTE NO BORRAR'!D974="","",'FUENTE NO BORRAR'!D974)</f>
        <v/>
      </c>
      <c r="E956" s="5" t="str">
        <f>IF('FUENTE NO BORRAR'!E974="","",'FUENTE NO BORRAR'!E974)</f>
        <v/>
      </c>
      <c r="F956" s="6">
        <f>IF('FUENTE NO BORRAR'!F974="","",IF('FUENTE NO BORRAR'!$A974&lt;&gt;"Resultado total",('FUENTE NO BORRAR'!F974),""))</f>
        <v>1960.6</v>
      </c>
      <c r="G956" s="6">
        <f>IF('FUENTE NO BORRAR'!G974="","",IF('FUENTE NO BORRAR'!$A974&lt;&gt;"Resultado total",('FUENTE NO BORRAR'!G974),""))</f>
        <v>1960.6</v>
      </c>
      <c r="H956" s="6">
        <f>IF('FUENTE NO BORRAR'!H974="","",IF('FUENTE NO BORRAR'!$A974&lt;&gt;"Resultado total",('FUENTE NO BORRAR'!H974),""))</f>
        <v>1960.6</v>
      </c>
      <c r="I956" s="6">
        <f>IF('FUENTE NO BORRAR'!I974="","",IF('FUENTE NO BORRAR'!$A974&lt;&gt;"Resultado total",('FUENTE NO BORRAR'!I974),""))</f>
        <v>0</v>
      </c>
    </row>
    <row r="957" spans="1:9" x14ac:dyDescent="0.2">
      <c r="A957" s="5" t="str">
        <f>IF('FUENTE NO BORRAR'!A975="","",(IF('FUENTE NO BORRAR'!A975&lt;&gt;"Resultado total",'FUENTE NO BORRAR'!A975,"")))</f>
        <v/>
      </c>
      <c r="B957" s="5" t="str">
        <f>IF('FUENTE NO BORRAR'!B975="","",'FUENTE NO BORRAR'!B975)</f>
        <v/>
      </c>
      <c r="C957" s="5" t="str">
        <f>IF('FUENTE NO BORRAR'!C975="","",'FUENTE NO BORRAR'!C975)</f>
        <v/>
      </c>
      <c r="D957" s="5" t="str">
        <f>IF('FUENTE NO BORRAR'!D975="","",'FUENTE NO BORRAR'!D975)</f>
        <v/>
      </c>
      <c r="E957" s="5" t="str">
        <f>IF('FUENTE NO BORRAR'!E975="","",'FUENTE NO BORRAR'!E975)</f>
        <v/>
      </c>
      <c r="F957" s="6">
        <f>IF('FUENTE NO BORRAR'!F975="","",IF('FUENTE NO BORRAR'!$A975&lt;&gt;"Resultado total",('FUENTE NO BORRAR'!F975),""))</f>
        <v>2743.4</v>
      </c>
      <c r="G957" s="6">
        <f>IF('FUENTE NO BORRAR'!G975="","",IF('FUENTE NO BORRAR'!$A975&lt;&gt;"Resultado total",('FUENTE NO BORRAR'!G975),""))</f>
        <v>2743.4</v>
      </c>
      <c r="H957" s="6">
        <f>IF('FUENTE NO BORRAR'!H975="","",IF('FUENTE NO BORRAR'!$A975&lt;&gt;"Resultado total",('FUENTE NO BORRAR'!H975),""))</f>
        <v>2743.4</v>
      </c>
      <c r="I957" s="6">
        <f>IF('FUENTE NO BORRAR'!I975="","",IF('FUENTE NO BORRAR'!$A975&lt;&gt;"Resultado total",('FUENTE NO BORRAR'!I975),""))</f>
        <v>0</v>
      </c>
    </row>
    <row r="958" spans="1:9" x14ac:dyDescent="0.2">
      <c r="A958" s="5" t="str">
        <f>IF('FUENTE NO BORRAR'!A976="","",(IF('FUENTE NO BORRAR'!A976&lt;&gt;"Resultado total",'FUENTE NO BORRAR'!A976,"")))</f>
        <v/>
      </c>
      <c r="B958" s="5" t="str">
        <f>IF('FUENTE NO BORRAR'!B976="","",'FUENTE NO BORRAR'!B976)</f>
        <v/>
      </c>
      <c r="C958" s="5" t="str">
        <f>IF('FUENTE NO BORRAR'!C976="","",'FUENTE NO BORRAR'!C976)</f>
        <v/>
      </c>
      <c r="D958" s="5" t="str">
        <f>IF('FUENTE NO BORRAR'!D976="","",'FUENTE NO BORRAR'!D976)</f>
        <v/>
      </c>
      <c r="E958" s="5" t="str">
        <f>IF('FUENTE NO BORRAR'!E976="","",'FUENTE NO BORRAR'!E976)</f>
        <v/>
      </c>
      <c r="F958" s="6">
        <f>IF('FUENTE NO BORRAR'!F976="","",IF('FUENTE NO BORRAR'!$A976&lt;&gt;"Resultado total",('FUENTE NO BORRAR'!F976),""))</f>
        <v>12500</v>
      </c>
      <c r="G958" s="6">
        <f>IF('FUENTE NO BORRAR'!G976="","",IF('FUENTE NO BORRAR'!$A976&lt;&gt;"Resultado total",('FUENTE NO BORRAR'!G976),""))</f>
        <v>12500</v>
      </c>
      <c r="H958" s="6">
        <f>IF('FUENTE NO BORRAR'!H976="","",IF('FUENTE NO BORRAR'!$A976&lt;&gt;"Resultado total",('FUENTE NO BORRAR'!H976),""))</f>
        <v>0</v>
      </c>
      <c r="I958" s="6">
        <f>IF('FUENTE NO BORRAR'!I976="","",IF('FUENTE NO BORRAR'!$A976&lt;&gt;"Resultado total",('FUENTE NO BORRAR'!I976),""))</f>
        <v>0</v>
      </c>
    </row>
    <row r="959" spans="1:9" x14ac:dyDescent="0.2">
      <c r="A959" s="5" t="str">
        <f>IF('FUENTE NO BORRAR'!A977="","",(IF('FUENTE NO BORRAR'!A977&lt;&gt;"Resultado total",'FUENTE NO BORRAR'!A977,"")))</f>
        <v/>
      </c>
      <c r="B959" s="5" t="str">
        <f>IF('FUENTE NO BORRAR'!B977="","",'FUENTE NO BORRAR'!B977)</f>
        <v/>
      </c>
      <c r="C959" s="5" t="str">
        <f>IF('FUENTE NO BORRAR'!C977="","",'FUENTE NO BORRAR'!C977)</f>
        <v/>
      </c>
      <c r="D959" s="5" t="str">
        <f>IF('FUENTE NO BORRAR'!D977="","",'FUENTE NO BORRAR'!D977)</f>
        <v/>
      </c>
      <c r="E959" s="5" t="str">
        <f>IF('FUENTE NO BORRAR'!E977="","",'FUENTE NO BORRAR'!E977)</f>
        <v/>
      </c>
      <c r="F959" s="6">
        <f>IF('FUENTE NO BORRAR'!F977="","",IF('FUENTE NO BORRAR'!$A977&lt;&gt;"Resultado total",('FUENTE NO BORRAR'!F977),""))</f>
        <v>0</v>
      </c>
      <c r="G959" s="6">
        <f>IF('FUENTE NO BORRAR'!G977="","",IF('FUENTE NO BORRAR'!$A977&lt;&gt;"Resultado total",('FUENTE NO BORRAR'!G977),""))</f>
        <v>0</v>
      </c>
      <c r="H959" s="6">
        <f>IF('FUENTE NO BORRAR'!H977="","",IF('FUENTE NO BORRAR'!$A977&lt;&gt;"Resultado total",('FUENTE NO BORRAR'!H977),""))</f>
        <v>0</v>
      </c>
      <c r="I959" s="6">
        <f>IF('FUENTE NO BORRAR'!I977="","",IF('FUENTE NO BORRAR'!$A977&lt;&gt;"Resultado total",('FUENTE NO BORRAR'!I977),""))</f>
        <v>0</v>
      </c>
    </row>
    <row r="960" spans="1:9" x14ac:dyDescent="0.2">
      <c r="A960" s="5" t="str">
        <f>IF('FUENTE NO BORRAR'!A978="","",(IF('FUENTE NO BORRAR'!A978&lt;&gt;"Resultado total",'FUENTE NO BORRAR'!A978,"")))</f>
        <v/>
      </c>
      <c r="B960" s="5" t="str">
        <f>IF('FUENTE NO BORRAR'!B978="","",'FUENTE NO BORRAR'!B978)</f>
        <v/>
      </c>
      <c r="C960" s="5" t="str">
        <f>IF('FUENTE NO BORRAR'!C978="","",'FUENTE NO BORRAR'!C978)</f>
        <v>17031021E103</v>
      </c>
      <c r="D960" s="5" t="str">
        <f>IF('FUENTE NO BORRAR'!D978="","",'FUENTE NO BORRAR'!D978)</f>
        <v>17031021E103</v>
      </c>
      <c r="E960" s="5" t="str">
        <f>IF('FUENTE NO BORRAR'!E978="","",'FUENTE NO BORRAR'!E978)</f>
        <v/>
      </c>
      <c r="F960" s="6">
        <f>IF('FUENTE NO BORRAR'!F978="","",IF('FUENTE NO BORRAR'!$A978&lt;&gt;"Resultado total",('FUENTE NO BORRAR'!F978),""))</f>
        <v>28198815.25</v>
      </c>
      <c r="G960" s="6">
        <f>IF('FUENTE NO BORRAR'!G978="","",IF('FUENTE NO BORRAR'!$A978&lt;&gt;"Resultado total",('FUENTE NO BORRAR'!G978),""))</f>
        <v>28198815.25</v>
      </c>
      <c r="H960" s="6">
        <f>IF('FUENTE NO BORRAR'!H978="","",IF('FUENTE NO BORRAR'!$A978&lt;&gt;"Resultado total",('FUENTE NO BORRAR'!H978),""))</f>
        <v>28198815.25</v>
      </c>
      <c r="I960" s="6">
        <f>IF('FUENTE NO BORRAR'!I978="","",IF('FUENTE NO BORRAR'!$A978&lt;&gt;"Resultado total",('FUENTE NO BORRAR'!I978),""))</f>
        <v>4.0000000000000002E-9</v>
      </c>
    </row>
    <row r="961" spans="1:9" x14ac:dyDescent="0.2">
      <c r="A961" s="5" t="str">
        <f>IF('FUENTE NO BORRAR'!A979="","",(IF('FUENTE NO BORRAR'!A979&lt;&gt;"Resultado total",'FUENTE NO BORRAR'!A979,"")))</f>
        <v/>
      </c>
      <c r="B961" s="5" t="str">
        <f>IF('FUENTE NO BORRAR'!B979="","",'FUENTE NO BORRAR'!B979)</f>
        <v/>
      </c>
      <c r="C961" s="5" t="str">
        <f>IF('FUENTE NO BORRAR'!C979="","",'FUENTE NO BORRAR'!C979)</f>
        <v/>
      </c>
      <c r="D961" s="5" t="str">
        <f>IF('FUENTE NO BORRAR'!D979="","",'FUENTE NO BORRAR'!D979)</f>
        <v/>
      </c>
      <c r="E961" s="5" t="str">
        <f>IF('FUENTE NO BORRAR'!E979="","",'FUENTE NO BORRAR'!E979)</f>
        <v/>
      </c>
      <c r="F961" s="6">
        <f>IF('FUENTE NO BORRAR'!F979="","",IF('FUENTE NO BORRAR'!$A979&lt;&gt;"Resultado total",('FUENTE NO BORRAR'!F979),""))</f>
        <v>2871046.62</v>
      </c>
      <c r="G961" s="6">
        <f>IF('FUENTE NO BORRAR'!G979="","",IF('FUENTE NO BORRAR'!$A979&lt;&gt;"Resultado total",('FUENTE NO BORRAR'!G979),""))</f>
        <v>2871046.62</v>
      </c>
      <c r="H961" s="6">
        <f>IF('FUENTE NO BORRAR'!H979="","",IF('FUENTE NO BORRAR'!$A979&lt;&gt;"Resultado total",('FUENTE NO BORRAR'!H979),""))</f>
        <v>2871046.62</v>
      </c>
      <c r="I961" s="6">
        <f>IF('FUENTE NO BORRAR'!I979="","",IF('FUENTE NO BORRAR'!$A979&lt;&gt;"Resultado total",('FUENTE NO BORRAR'!I979),""))</f>
        <v>0</v>
      </c>
    </row>
    <row r="962" spans="1:9" x14ac:dyDescent="0.2">
      <c r="A962" s="5" t="str">
        <f>IF('FUENTE NO BORRAR'!A980="","",(IF('FUENTE NO BORRAR'!A980&lt;&gt;"Resultado total",'FUENTE NO BORRAR'!A980,"")))</f>
        <v/>
      </c>
      <c r="B962" s="5" t="str">
        <f>IF('FUENTE NO BORRAR'!B980="","",'FUENTE NO BORRAR'!B980)</f>
        <v/>
      </c>
      <c r="C962" s="5" t="str">
        <f>IF('FUENTE NO BORRAR'!C980="","",'FUENTE NO BORRAR'!C980)</f>
        <v/>
      </c>
      <c r="D962" s="5" t="str">
        <f>IF('FUENTE NO BORRAR'!D980="","",'FUENTE NO BORRAR'!D980)</f>
        <v/>
      </c>
      <c r="E962" s="5" t="str">
        <f>IF('FUENTE NO BORRAR'!E980="","",'FUENTE NO BORRAR'!E980)</f>
        <v/>
      </c>
      <c r="F962" s="6">
        <f>IF('FUENTE NO BORRAR'!F980="","",IF('FUENTE NO BORRAR'!$A980&lt;&gt;"Resultado total",('FUENTE NO BORRAR'!F980),""))</f>
        <v>709392.05</v>
      </c>
      <c r="G962" s="6">
        <f>IF('FUENTE NO BORRAR'!G980="","",IF('FUENTE NO BORRAR'!$A980&lt;&gt;"Resultado total",('FUENTE NO BORRAR'!G980),""))</f>
        <v>709392.05</v>
      </c>
      <c r="H962" s="6">
        <f>IF('FUENTE NO BORRAR'!H980="","",IF('FUENTE NO BORRAR'!$A980&lt;&gt;"Resultado total",('FUENTE NO BORRAR'!H980),""))</f>
        <v>709392.05</v>
      </c>
      <c r="I962" s="6">
        <f>IF('FUENTE NO BORRAR'!I980="","",IF('FUENTE NO BORRAR'!$A980&lt;&gt;"Resultado total",('FUENTE NO BORRAR'!I980),""))</f>
        <v>0</v>
      </c>
    </row>
    <row r="963" spans="1:9" x14ac:dyDescent="0.2">
      <c r="A963" s="5" t="str">
        <f>IF('FUENTE NO BORRAR'!A981="","",(IF('FUENTE NO BORRAR'!A981&lt;&gt;"Resultado total",'FUENTE NO BORRAR'!A981,"")))</f>
        <v/>
      </c>
      <c r="B963" s="5" t="str">
        <f>IF('FUENTE NO BORRAR'!B981="","",'FUENTE NO BORRAR'!B981)</f>
        <v/>
      </c>
      <c r="C963" s="5" t="str">
        <f>IF('FUENTE NO BORRAR'!C981="","",'FUENTE NO BORRAR'!C981)</f>
        <v/>
      </c>
      <c r="D963" s="5" t="str">
        <f>IF('FUENTE NO BORRAR'!D981="","",'FUENTE NO BORRAR'!D981)</f>
        <v/>
      </c>
      <c r="E963" s="5" t="str">
        <f>IF('FUENTE NO BORRAR'!E981="","",'FUENTE NO BORRAR'!E981)</f>
        <v/>
      </c>
      <c r="F963" s="6">
        <f>IF('FUENTE NO BORRAR'!F981="","",IF('FUENTE NO BORRAR'!$A981&lt;&gt;"Resultado total",('FUENTE NO BORRAR'!F981),""))</f>
        <v>5920538.6500000004</v>
      </c>
      <c r="G963" s="6">
        <f>IF('FUENTE NO BORRAR'!G981="","",IF('FUENTE NO BORRAR'!$A981&lt;&gt;"Resultado total",('FUENTE NO BORRAR'!G981),""))</f>
        <v>5920538.6500000004</v>
      </c>
      <c r="H963" s="6">
        <f>IF('FUENTE NO BORRAR'!H981="","",IF('FUENTE NO BORRAR'!$A981&lt;&gt;"Resultado total",('FUENTE NO BORRAR'!H981),""))</f>
        <v>5920538.6500000004</v>
      </c>
      <c r="I963" s="6">
        <f>IF('FUENTE NO BORRAR'!I981="","",IF('FUENTE NO BORRAR'!$A981&lt;&gt;"Resultado total",('FUENTE NO BORRAR'!I981),""))</f>
        <v>1.0000000000000001E-9</v>
      </c>
    </row>
    <row r="964" spans="1:9" x14ac:dyDescent="0.2">
      <c r="A964" s="5" t="str">
        <f>IF('FUENTE NO BORRAR'!A982="","",(IF('FUENTE NO BORRAR'!A982&lt;&gt;"Resultado total",'FUENTE NO BORRAR'!A982,"")))</f>
        <v/>
      </c>
      <c r="B964" s="5" t="str">
        <f>IF('FUENTE NO BORRAR'!B982="","",'FUENTE NO BORRAR'!B982)</f>
        <v/>
      </c>
      <c r="C964" s="5" t="str">
        <f>IF('FUENTE NO BORRAR'!C982="","",'FUENTE NO BORRAR'!C982)</f>
        <v/>
      </c>
      <c r="D964" s="5" t="str">
        <f>IF('FUENTE NO BORRAR'!D982="","",'FUENTE NO BORRAR'!D982)</f>
        <v/>
      </c>
      <c r="E964" s="5" t="str">
        <f>IF('FUENTE NO BORRAR'!E982="","",'FUENTE NO BORRAR'!E982)</f>
        <v/>
      </c>
      <c r="F964" s="6">
        <f>IF('FUENTE NO BORRAR'!F982="","",IF('FUENTE NO BORRAR'!$A982&lt;&gt;"Resultado total",('FUENTE NO BORRAR'!F982),""))</f>
        <v>967659.35</v>
      </c>
      <c r="G964" s="6">
        <f>IF('FUENTE NO BORRAR'!G982="","",IF('FUENTE NO BORRAR'!$A982&lt;&gt;"Resultado total",('FUENTE NO BORRAR'!G982),""))</f>
        <v>967659.35</v>
      </c>
      <c r="H964" s="6">
        <f>IF('FUENTE NO BORRAR'!H982="","",IF('FUENTE NO BORRAR'!$A982&lt;&gt;"Resultado total",('FUENTE NO BORRAR'!H982),""))</f>
        <v>980633.05</v>
      </c>
      <c r="I964" s="6">
        <f>IF('FUENTE NO BORRAR'!I982="","",IF('FUENTE NO BORRAR'!$A982&lt;&gt;"Resultado total",('FUENTE NO BORRAR'!I982),""))</f>
        <v>0</v>
      </c>
    </row>
    <row r="965" spans="1:9" x14ac:dyDescent="0.2">
      <c r="A965" s="5" t="str">
        <f>IF('FUENTE NO BORRAR'!A983="","",(IF('FUENTE NO BORRAR'!A983&lt;&gt;"Resultado total",'FUENTE NO BORRAR'!A983,"")))</f>
        <v/>
      </c>
      <c r="B965" s="5" t="str">
        <f>IF('FUENTE NO BORRAR'!B983="","",'FUENTE NO BORRAR'!B983)</f>
        <v/>
      </c>
      <c r="C965" s="5" t="str">
        <f>IF('FUENTE NO BORRAR'!C983="","",'FUENTE NO BORRAR'!C983)</f>
        <v/>
      </c>
      <c r="D965" s="5" t="str">
        <f>IF('FUENTE NO BORRAR'!D983="","",'FUENTE NO BORRAR'!D983)</f>
        <v/>
      </c>
      <c r="E965" s="5" t="str">
        <f>IF('FUENTE NO BORRAR'!E983="","",'FUENTE NO BORRAR'!E983)</f>
        <v/>
      </c>
      <c r="F965" s="6">
        <f>IF('FUENTE NO BORRAR'!F983="","",IF('FUENTE NO BORRAR'!$A983&lt;&gt;"Resultado total",('FUENTE NO BORRAR'!F983),""))</f>
        <v>5621941.5899999999</v>
      </c>
      <c r="G965" s="6">
        <f>IF('FUENTE NO BORRAR'!G983="","",IF('FUENTE NO BORRAR'!$A983&lt;&gt;"Resultado total",('FUENTE NO BORRAR'!G983),""))</f>
        <v>5621941.5899999999</v>
      </c>
      <c r="H965" s="6">
        <f>IF('FUENTE NO BORRAR'!H983="","",IF('FUENTE NO BORRAR'!$A983&lt;&gt;"Resultado total",('FUENTE NO BORRAR'!H983),""))</f>
        <v>5621941.5899999999</v>
      </c>
      <c r="I965" s="6">
        <f>IF('FUENTE NO BORRAR'!I983="","",IF('FUENTE NO BORRAR'!$A983&lt;&gt;"Resultado total",('FUENTE NO BORRAR'!I983),""))</f>
        <v>-1.0000000000000001E-9</v>
      </c>
    </row>
    <row r="966" spans="1:9" x14ac:dyDescent="0.2">
      <c r="A966" s="5" t="str">
        <f>IF('FUENTE NO BORRAR'!A984="","",(IF('FUENTE NO BORRAR'!A984&lt;&gt;"Resultado total",'FUENTE NO BORRAR'!A984,"")))</f>
        <v/>
      </c>
      <c r="B966" s="5" t="str">
        <f>IF('FUENTE NO BORRAR'!B984="","",'FUENTE NO BORRAR'!B984)</f>
        <v/>
      </c>
      <c r="C966" s="5" t="str">
        <f>IF('FUENTE NO BORRAR'!C984="","",'FUENTE NO BORRAR'!C984)</f>
        <v/>
      </c>
      <c r="D966" s="5" t="str">
        <f>IF('FUENTE NO BORRAR'!D984="","",'FUENTE NO BORRAR'!D984)</f>
        <v/>
      </c>
      <c r="E966" s="5" t="str">
        <f>IF('FUENTE NO BORRAR'!E984="","",'FUENTE NO BORRAR'!E984)</f>
        <v/>
      </c>
      <c r="F966" s="6">
        <f>IF('FUENTE NO BORRAR'!F984="","",IF('FUENTE NO BORRAR'!$A984&lt;&gt;"Resultado total",('FUENTE NO BORRAR'!F984),""))</f>
        <v>4224441.63</v>
      </c>
      <c r="G966" s="6">
        <f>IF('FUENTE NO BORRAR'!G984="","",IF('FUENTE NO BORRAR'!$A984&lt;&gt;"Resultado total",('FUENTE NO BORRAR'!G984),""))</f>
        <v>4224441.63</v>
      </c>
      <c r="H966" s="6">
        <f>IF('FUENTE NO BORRAR'!H984="","",IF('FUENTE NO BORRAR'!$A984&lt;&gt;"Resultado total",('FUENTE NO BORRAR'!H984),""))</f>
        <v>4224441.63</v>
      </c>
      <c r="I966" s="6">
        <f>IF('FUENTE NO BORRAR'!I984="","",IF('FUENTE NO BORRAR'!$A984&lt;&gt;"Resultado total",('FUENTE NO BORRAR'!I984),""))</f>
        <v>0</v>
      </c>
    </row>
    <row r="967" spans="1:9" x14ac:dyDescent="0.2">
      <c r="A967" s="5" t="str">
        <f>IF('FUENTE NO BORRAR'!A985="","",(IF('FUENTE NO BORRAR'!A985&lt;&gt;"Resultado total",'FUENTE NO BORRAR'!A985,"")))</f>
        <v/>
      </c>
      <c r="B967" s="5" t="str">
        <f>IF('FUENTE NO BORRAR'!B985="","",'FUENTE NO BORRAR'!B985)</f>
        <v/>
      </c>
      <c r="C967" s="5" t="str">
        <f>IF('FUENTE NO BORRAR'!C985="","",'FUENTE NO BORRAR'!C985)</f>
        <v/>
      </c>
      <c r="D967" s="5" t="str">
        <f>IF('FUENTE NO BORRAR'!D985="","",'FUENTE NO BORRAR'!D985)</f>
        <v/>
      </c>
      <c r="E967" s="5" t="str">
        <f>IF('FUENTE NO BORRAR'!E985="","",'FUENTE NO BORRAR'!E985)</f>
        <v/>
      </c>
      <c r="F967" s="6">
        <f>IF('FUENTE NO BORRAR'!F985="","",IF('FUENTE NO BORRAR'!$A985&lt;&gt;"Resultado total",('FUENTE NO BORRAR'!F985),""))</f>
        <v>1364789.92</v>
      </c>
      <c r="G967" s="6">
        <f>IF('FUENTE NO BORRAR'!G985="","",IF('FUENTE NO BORRAR'!$A985&lt;&gt;"Resultado total",('FUENTE NO BORRAR'!G985),""))</f>
        <v>1364789.92</v>
      </c>
      <c r="H967" s="6">
        <f>IF('FUENTE NO BORRAR'!H985="","",IF('FUENTE NO BORRAR'!$A985&lt;&gt;"Resultado total",('FUENTE NO BORRAR'!H985),""))</f>
        <v>1364789.92</v>
      </c>
      <c r="I967" s="6">
        <f>IF('FUENTE NO BORRAR'!I985="","",IF('FUENTE NO BORRAR'!$A985&lt;&gt;"Resultado total",('FUENTE NO BORRAR'!I985),""))</f>
        <v>0</v>
      </c>
    </row>
    <row r="968" spans="1:9" x14ac:dyDescent="0.2">
      <c r="A968" s="5" t="str">
        <f>IF('FUENTE NO BORRAR'!A986="","",(IF('FUENTE NO BORRAR'!A986&lt;&gt;"Resultado total",'FUENTE NO BORRAR'!A986,"")))</f>
        <v/>
      </c>
      <c r="B968" s="5" t="str">
        <f>IF('FUENTE NO BORRAR'!B986="","",'FUENTE NO BORRAR'!B986)</f>
        <v/>
      </c>
      <c r="C968" s="5" t="str">
        <f>IF('FUENTE NO BORRAR'!C986="","",'FUENTE NO BORRAR'!C986)</f>
        <v/>
      </c>
      <c r="D968" s="5" t="str">
        <f>IF('FUENTE NO BORRAR'!D986="","",'FUENTE NO BORRAR'!D986)</f>
        <v/>
      </c>
      <c r="E968" s="5" t="str">
        <f>IF('FUENTE NO BORRAR'!E986="","",'FUENTE NO BORRAR'!E986)</f>
        <v/>
      </c>
      <c r="F968" s="6">
        <f>IF('FUENTE NO BORRAR'!F986="","",IF('FUENTE NO BORRAR'!$A986&lt;&gt;"Resultado total",('FUENTE NO BORRAR'!F986),""))</f>
        <v>650379.01</v>
      </c>
      <c r="G968" s="6">
        <f>IF('FUENTE NO BORRAR'!G986="","",IF('FUENTE NO BORRAR'!$A986&lt;&gt;"Resultado total",('FUENTE NO BORRAR'!G986),""))</f>
        <v>650379.01</v>
      </c>
      <c r="H968" s="6">
        <f>IF('FUENTE NO BORRAR'!H986="","",IF('FUENTE NO BORRAR'!$A986&lt;&gt;"Resultado total",('FUENTE NO BORRAR'!H986),""))</f>
        <v>650379.01</v>
      </c>
      <c r="I968" s="6">
        <f>IF('FUENTE NO BORRAR'!I986="","",IF('FUENTE NO BORRAR'!$A986&lt;&gt;"Resultado total",('FUENTE NO BORRAR'!I986),""))</f>
        <v>0</v>
      </c>
    </row>
    <row r="969" spans="1:9" x14ac:dyDescent="0.2">
      <c r="A969" s="5" t="str">
        <f>IF('FUENTE NO BORRAR'!A987="","",(IF('FUENTE NO BORRAR'!A987&lt;&gt;"Resultado total",'FUENTE NO BORRAR'!A987,"")))</f>
        <v/>
      </c>
      <c r="B969" s="5" t="str">
        <f>IF('FUENTE NO BORRAR'!B987="","",'FUENTE NO BORRAR'!B987)</f>
        <v/>
      </c>
      <c r="C969" s="5" t="str">
        <f>IF('FUENTE NO BORRAR'!C987="","",'FUENTE NO BORRAR'!C987)</f>
        <v/>
      </c>
      <c r="D969" s="5" t="str">
        <f>IF('FUENTE NO BORRAR'!D987="","",'FUENTE NO BORRAR'!D987)</f>
        <v/>
      </c>
      <c r="E969" s="5" t="str">
        <f>IF('FUENTE NO BORRAR'!E987="","",'FUENTE NO BORRAR'!E987)</f>
        <v/>
      </c>
      <c r="F969" s="6">
        <f>IF('FUENTE NO BORRAR'!F987="","",IF('FUENTE NO BORRAR'!$A987&lt;&gt;"Resultado total",('FUENTE NO BORRAR'!F987),""))</f>
        <v>0</v>
      </c>
      <c r="G969" s="6">
        <f>IF('FUENTE NO BORRAR'!G987="","",IF('FUENTE NO BORRAR'!$A987&lt;&gt;"Resultado total",('FUENTE NO BORRAR'!G987),""))</f>
        <v>0</v>
      </c>
      <c r="H969" s="6">
        <f>IF('FUENTE NO BORRAR'!H987="","",IF('FUENTE NO BORRAR'!$A987&lt;&gt;"Resultado total",('FUENTE NO BORRAR'!H987),""))</f>
        <v>0</v>
      </c>
      <c r="I969" s="6">
        <f>IF('FUENTE NO BORRAR'!I987="","",IF('FUENTE NO BORRAR'!$A987&lt;&gt;"Resultado total",('FUENTE NO BORRAR'!I987),""))</f>
        <v>0</v>
      </c>
    </row>
    <row r="970" spans="1:9" x14ac:dyDescent="0.2">
      <c r="A970" s="5" t="str">
        <f>IF('FUENTE NO BORRAR'!A988="","",(IF('FUENTE NO BORRAR'!A988&lt;&gt;"Resultado total",'FUENTE NO BORRAR'!A988,"")))</f>
        <v/>
      </c>
      <c r="B970" s="5" t="str">
        <f>IF('FUENTE NO BORRAR'!B988="","",'FUENTE NO BORRAR'!B988)</f>
        <v/>
      </c>
      <c r="C970" s="5" t="str">
        <f>IF('FUENTE NO BORRAR'!C988="","",'FUENTE NO BORRAR'!C988)</f>
        <v/>
      </c>
      <c r="D970" s="5" t="str">
        <f>IF('FUENTE NO BORRAR'!D988="","",'FUENTE NO BORRAR'!D988)</f>
        <v/>
      </c>
      <c r="E970" s="5" t="str">
        <f>IF('FUENTE NO BORRAR'!E988="","",'FUENTE NO BORRAR'!E988)</f>
        <v/>
      </c>
      <c r="F970" s="6">
        <f>IF('FUENTE NO BORRAR'!F988="","",IF('FUENTE NO BORRAR'!$A988&lt;&gt;"Resultado total",('FUENTE NO BORRAR'!F988),""))</f>
        <v>4670225.74</v>
      </c>
      <c r="G970" s="6">
        <f>IF('FUENTE NO BORRAR'!G988="","",IF('FUENTE NO BORRAR'!$A988&lt;&gt;"Resultado total",('FUENTE NO BORRAR'!G988),""))</f>
        <v>4670225.74</v>
      </c>
      <c r="H970" s="6">
        <f>IF('FUENTE NO BORRAR'!H988="","",IF('FUENTE NO BORRAR'!$A988&lt;&gt;"Resultado total",('FUENTE NO BORRAR'!H988),""))</f>
        <v>4670225.74</v>
      </c>
      <c r="I970" s="6">
        <f>IF('FUENTE NO BORRAR'!I988="","",IF('FUENTE NO BORRAR'!$A988&lt;&gt;"Resultado total",('FUENTE NO BORRAR'!I988),""))</f>
        <v>-1.0000000000000001E-9</v>
      </c>
    </row>
    <row r="971" spans="1:9" x14ac:dyDescent="0.2">
      <c r="A971" s="5" t="str">
        <f>IF('FUENTE NO BORRAR'!A989="","",(IF('FUENTE NO BORRAR'!A989&lt;&gt;"Resultado total",'FUENTE NO BORRAR'!A989,"")))</f>
        <v/>
      </c>
      <c r="B971" s="5" t="str">
        <f>IF('FUENTE NO BORRAR'!B989="","",'FUENTE NO BORRAR'!B989)</f>
        <v/>
      </c>
      <c r="C971" s="5" t="str">
        <f>IF('FUENTE NO BORRAR'!C989="","",'FUENTE NO BORRAR'!C989)</f>
        <v/>
      </c>
      <c r="D971" s="5" t="str">
        <f>IF('FUENTE NO BORRAR'!D989="","",'FUENTE NO BORRAR'!D989)</f>
        <v/>
      </c>
      <c r="E971" s="5" t="str">
        <f>IF('FUENTE NO BORRAR'!E989="","",'FUENTE NO BORRAR'!E989)</f>
        <v/>
      </c>
      <c r="F971" s="6">
        <f>IF('FUENTE NO BORRAR'!F989="","",IF('FUENTE NO BORRAR'!$A989&lt;&gt;"Resultado total",('FUENTE NO BORRAR'!F989),""))</f>
        <v>0</v>
      </c>
      <c r="G971" s="6">
        <f>IF('FUENTE NO BORRAR'!G989="","",IF('FUENTE NO BORRAR'!$A989&lt;&gt;"Resultado total",('FUENTE NO BORRAR'!G989),""))</f>
        <v>0</v>
      </c>
      <c r="H971" s="6">
        <f>IF('FUENTE NO BORRAR'!H989="","",IF('FUENTE NO BORRAR'!$A989&lt;&gt;"Resultado total",('FUENTE NO BORRAR'!H989),""))</f>
        <v>0</v>
      </c>
      <c r="I971" s="6">
        <f>IF('FUENTE NO BORRAR'!I989="","",IF('FUENTE NO BORRAR'!$A989&lt;&gt;"Resultado total",('FUENTE NO BORRAR'!I989),""))</f>
        <v>-1.0000000000000001E-9</v>
      </c>
    </row>
    <row r="972" spans="1:9" x14ac:dyDescent="0.2">
      <c r="A972" s="5" t="str">
        <f>IF('FUENTE NO BORRAR'!A990="","",(IF('FUENTE NO BORRAR'!A990&lt;&gt;"Resultado total",'FUENTE NO BORRAR'!A990,"")))</f>
        <v/>
      </c>
      <c r="B972" s="5" t="str">
        <f>IF('FUENTE NO BORRAR'!B990="","",'FUENTE NO BORRAR'!B990)</f>
        <v/>
      </c>
      <c r="C972" s="5" t="str">
        <f>IF('FUENTE NO BORRAR'!C990="","",'FUENTE NO BORRAR'!C990)</f>
        <v/>
      </c>
      <c r="D972" s="5" t="str">
        <f>IF('FUENTE NO BORRAR'!D990="","",'FUENTE NO BORRAR'!D990)</f>
        <v/>
      </c>
      <c r="E972" s="5" t="str">
        <f>IF('FUENTE NO BORRAR'!E990="","",'FUENTE NO BORRAR'!E990)</f>
        <v/>
      </c>
      <c r="F972" s="6">
        <f>IF('FUENTE NO BORRAR'!F990="","",IF('FUENTE NO BORRAR'!$A990&lt;&gt;"Resultado total",('FUENTE NO BORRAR'!F990),""))</f>
        <v>51400.27</v>
      </c>
      <c r="G972" s="6">
        <f>IF('FUENTE NO BORRAR'!G990="","",IF('FUENTE NO BORRAR'!$A990&lt;&gt;"Resultado total",('FUENTE NO BORRAR'!G990),""))</f>
        <v>51400.27</v>
      </c>
      <c r="H972" s="6">
        <f>IF('FUENTE NO BORRAR'!H990="","",IF('FUENTE NO BORRAR'!$A990&lt;&gt;"Resultado total",('FUENTE NO BORRAR'!H990),""))</f>
        <v>51400.27</v>
      </c>
      <c r="I972" s="6">
        <f>IF('FUENTE NO BORRAR'!I990="","",IF('FUENTE NO BORRAR'!$A990&lt;&gt;"Resultado total",('FUENTE NO BORRAR'!I990),""))</f>
        <v>0</v>
      </c>
    </row>
    <row r="973" spans="1:9" x14ac:dyDescent="0.2">
      <c r="A973" s="5" t="str">
        <f>IF('FUENTE NO BORRAR'!A991="","",(IF('FUENTE NO BORRAR'!A991&lt;&gt;"Resultado total",'FUENTE NO BORRAR'!A991,"")))</f>
        <v/>
      </c>
      <c r="B973" s="5" t="str">
        <f>IF('FUENTE NO BORRAR'!B991="","",'FUENTE NO BORRAR'!B991)</f>
        <v/>
      </c>
      <c r="C973" s="5" t="str">
        <f>IF('FUENTE NO BORRAR'!C991="","",'FUENTE NO BORRAR'!C991)</f>
        <v/>
      </c>
      <c r="D973" s="5" t="str">
        <f>IF('FUENTE NO BORRAR'!D991="","",'FUENTE NO BORRAR'!D991)</f>
        <v/>
      </c>
      <c r="E973" s="5" t="str">
        <f>IF('FUENTE NO BORRAR'!E991="","",'FUENTE NO BORRAR'!E991)</f>
        <v/>
      </c>
      <c r="F973" s="6">
        <f>IF('FUENTE NO BORRAR'!F991="","",IF('FUENTE NO BORRAR'!$A991&lt;&gt;"Resultado total",('FUENTE NO BORRAR'!F991),""))</f>
        <v>7503.83</v>
      </c>
      <c r="G973" s="6">
        <f>IF('FUENTE NO BORRAR'!G991="","",IF('FUENTE NO BORRAR'!$A991&lt;&gt;"Resultado total",('FUENTE NO BORRAR'!G991),""))</f>
        <v>7503.83</v>
      </c>
      <c r="H973" s="6">
        <f>IF('FUENTE NO BORRAR'!H991="","",IF('FUENTE NO BORRAR'!$A991&lt;&gt;"Resultado total",('FUENTE NO BORRAR'!H991),""))</f>
        <v>7503.83</v>
      </c>
      <c r="I973" s="6">
        <f>IF('FUENTE NO BORRAR'!I991="","",IF('FUENTE NO BORRAR'!$A991&lt;&gt;"Resultado total",('FUENTE NO BORRAR'!I991),""))</f>
        <v>0</v>
      </c>
    </row>
    <row r="974" spans="1:9" x14ac:dyDescent="0.2">
      <c r="A974" s="5" t="str">
        <f>IF('FUENTE NO BORRAR'!A992="","",(IF('FUENTE NO BORRAR'!A992&lt;&gt;"Resultado total",'FUENTE NO BORRAR'!A992,"")))</f>
        <v/>
      </c>
      <c r="B974" s="5" t="str">
        <f>IF('FUENTE NO BORRAR'!B992="","",'FUENTE NO BORRAR'!B992)</f>
        <v/>
      </c>
      <c r="C974" s="5" t="str">
        <f>IF('FUENTE NO BORRAR'!C992="","",'FUENTE NO BORRAR'!C992)</f>
        <v/>
      </c>
      <c r="D974" s="5" t="str">
        <f>IF('FUENTE NO BORRAR'!D992="","",'FUENTE NO BORRAR'!D992)</f>
        <v/>
      </c>
      <c r="E974" s="5" t="str">
        <f>IF('FUENTE NO BORRAR'!E992="","",'FUENTE NO BORRAR'!E992)</f>
        <v/>
      </c>
      <c r="F974" s="6">
        <f>IF('FUENTE NO BORRAR'!F992="","",IF('FUENTE NO BORRAR'!$A992&lt;&gt;"Resultado total",('FUENTE NO BORRAR'!F992),""))</f>
        <v>10202.280000000001</v>
      </c>
      <c r="G974" s="6">
        <f>IF('FUENTE NO BORRAR'!G992="","",IF('FUENTE NO BORRAR'!$A992&lt;&gt;"Resultado total",('FUENTE NO BORRAR'!G992),""))</f>
        <v>10202.280000000001</v>
      </c>
      <c r="H974" s="6">
        <f>IF('FUENTE NO BORRAR'!H992="","",IF('FUENTE NO BORRAR'!$A992&lt;&gt;"Resultado total",('FUENTE NO BORRAR'!H992),""))</f>
        <v>10202.280000000001</v>
      </c>
      <c r="I974" s="6">
        <f>IF('FUENTE NO BORRAR'!I992="","",IF('FUENTE NO BORRAR'!$A992&lt;&gt;"Resultado total",('FUENTE NO BORRAR'!I992),""))</f>
        <v>0</v>
      </c>
    </row>
    <row r="975" spans="1:9" x14ac:dyDescent="0.2">
      <c r="A975" s="5" t="str">
        <f>IF('FUENTE NO BORRAR'!A993="","",(IF('FUENTE NO BORRAR'!A993&lt;&gt;"Resultado total",'FUENTE NO BORRAR'!A993,"")))</f>
        <v/>
      </c>
      <c r="B975" s="5" t="str">
        <f>IF('FUENTE NO BORRAR'!B993="","",'FUENTE NO BORRAR'!B993)</f>
        <v/>
      </c>
      <c r="C975" s="5" t="str">
        <f>IF('FUENTE NO BORRAR'!C993="","",'FUENTE NO BORRAR'!C993)</f>
        <v/>
      </c>
      <c r="D975" s="5" t="str">
        <f>IF('FUENTE NO BORRAR'!D993="","",'FUENTE NO BORRAR'!D993)</f>
        <v/>
      </c>
      <c r="E975" s="5" t="str">
        <f>IF('FUENTE NO BORRAR'!E993="","",'FUENTE NO BORRAR'!E993)</f>
        <v/>
      </c>
      <c r="F975" s="6">
        <f>IF('FUENTE NO BORRAR'!F993="","",IF('FUENTE NO BORRAR'!$A993&lt;&gt;"Resultado total",('FUENTE NO BORRAR'!F993),""))</f>
        <v>15277.2</v>
      </c>
      <c r="G975" s="6">
        <f>IF('FUENTE NO BORRAR'!G993="","",IF('FUENTE NO BORRAR'!$A993&lt;&gt;"Resultado total",('FUENTE NO BORRAR'!G993),""))</f>
        <v>15277.2</v>
      </c>
      <c r="H975" s="6">
        <f>IF('FUENTE NO BORRAR'!H993="","",IF('FUENTE NO BORRAR'!$A993&lt;&gt;"Resultado total",('FUENTE NO BORRAR'!H993),""))</f>
        <v>15277.2</v>
      </c>
      <c r="I975" s="6">
        <f>IF('FUENTE NO BORRAR'!I993="","",IF('FUENTE NO BORRAR'!$A993&lt;&gt;"Resultado total",('FUENTE NO BORRAR'!I993),""))</f>
        <v>0</v>
      </c>
    </row>
    <row r="976" spans="1:9" x14ac:dyDescent="0.2">
      <c r="A976" s="5" t="str">
        <f>IF('FUENTE NO BORRAR'!A994="","",(IF('FUENTE NO BORRAR'!A994&lt;&gt;"Resultado total",'FUENTE NO BORRAR'!A994,"")))</f>
        <v/>
      </c>
      <c r="B976" s="5" t="str">
        <f>IF('FUENTE NO BORRAR'!B994="","",'FUENTE NO BORRAR'!B994)</f>
        <v/>
      </c>
      <c r="C976" s="5" t="str">
        <f>IF('FUENTE NO BORRAR'!C994="","",'FUENTE NO BORRAR'!C994)</f>
        <v/>
      </c>
      <c r="D976" s="5" t="str">
        <f>IF('FUENTE NO BORRAR'!D994="","",'FUENTE NO BORRAR'!D994)</f>
        <v/>
      </c>
      <c r="E976" s="5" t="str">
        <f>IF('FUENTE NO BORRAR'!E994="","",'FUENTE NO BORRAR'!E994)</f>
        <v/>
      </c>
      <c r="F976" s="6">
        <f>IF('FUENTE NO BORRAR'!F994="","",IF('FUENTE NO BORRAR'!$A994&lt;&gt;"Resultado total",('FUENTE NO BORRAR'!F994),""))</f>
        <v>4155.18</v>
      </c>
      <c r="G976" s="6">
        <f>IF('FUENTE NO BORRAR'!G994="","",IF('FUENTE NO BORRAR'!$A994&lt;&gt;"Resultado total",('FUENTE NO BORRAR'!G994),""))</f>
        <v>4155.18</v>
      </c>
      <c r="H976" s="6">
        <f>IF('FUENTE NO BORRAR'!H994="","",IF('FUENTE NO BORRAR'!$A994&lt;&gt;"Resultado total",('FUENTE NO BORRAR'!H994),""))</f>
        <v>4155.18</v>
      </c>
      <c r="I976" s="6">
        <f>IF('FUENTE NO BORRAR'!I994="","",IF('FUENTE NO BORRAR'!$A994&lt;&gt;"Resultado total",('FUENTE NO BORRAR'!I994),""))</f>
        <v>0</v>
      </c>
    </row>
    <row r="977" spans="1:9" x14ac:dyDescent="0.2">
      <c r="A977" s="5" t="str">
        <f>IF('FUENTE NO BORRAR'!A995="","",(IF('FUENTE NO BORRAR'!A995&lt;&gt;"Resultado total",'FUENTE NO BORRAR'!A995,"")))</f>
        <v/>
      </c>
      <c r="B977" s="5" t="str">
        <f>IF('FUENTE NO BORRAR'!B995="","",'FUENTE NO BORRAR'!B995)</f>
        <v/>
      </c>
      <c r="C977" s="5" t="str">
        <f>IF('FUENTE NO BORRAR'!C995="","",'FUENTE NO BORRAR'!C995)</f>
        <v/>
      </c>
      <c r="D977" s="5" t="str">
        <f>IF('FUENTE NO BORRAR'!D995="","",'FUENTE NO BORRAR'!D995)</f>
        <v/>
      </c>
      <c r="E977" s="5" t="str">
        <f>IF('FUENTE NO BORRAR'!E995="","",'FUENTE NO BORRAR'!E995)</f>
        <v/>
      </c>
      <c r="F977" s="6">
        <f>IF('FUENTE NO BORRAR'!F995="","",IF('FUENTE NO BORRAR'!$A995&lt;&gt;"Resultado total",('FUENTE NO BORRAR'!F995),""))</f>
        <v>1527.1</v>
      </c>
      <c r="G977" s="6">
        <f>IF('FUENTE NO BORRAR'!G995="","",IF('FUENTE NO BORRAR'!$A995&lt;&gt;"Resultado total",('FUENTE NO BORRAR'!G995),""))</f>
        <v>1527.1</v>
      </c>
      <c r="H977" s="6">
        <f>IF('FUENTE NO BORRAR'!H995="","",IF('FUENTE NO BORRAR'!$A995&lt;&gt;"Resultado total",('FUENTE NO BORRAR'!H995),""))</f>
        <v>1527.1</v>
      </c>
      <c r="I977" s="6">
        <f>IF('FUENTE NO BORRAR'!I995="","",IF('FUENTE NO BORRAR'!$A995&lt;&gt;"Resultado total",('FUENTE NO BORRAR'!I995),""))</f>
        <v>0</v>
      </c>
    </row>
    <row r="978" spans="1:9" x14ac:dyDescent="0.2">
      <c r="A978" s="5" t="str">
        <f>IF('FUENTE NO BORRAR'!A996="","",(IF('FUENTE NO BORRAR'!A996&lt;&gt;"Resultado total",'FUENTE NO BORRAR'!A996,"")))</f>
        <v/>
      </c>
      <c r="B978" s="5" t="str">
        <f>IF('FUENTE NO BORRAR'!B996="","",'FUENTE NO BORRAR'!B996)</f>
        <v/>
      </c>
      <c r="C978" s="5" t="str">
        <f>IF('FUENTE NO BORRAR'!C996="","",'FUENTE NO BORRAR'!C996)</f>
        <v/>
      </c>
      <c r="D978" s="5" t="str">
        <f>IF('FUENTE NO BORRAR'!D996="","",'FUENTE NO BORRAR'!D996)</f>
        <v/>
      </c>
      <c r="E978" s="5" t="str">
        <f>IF('FUENTE NO BORRAR'!E996="","",'FUENTE NO BORRAR'!E996)</f>
        <v/>
      </c>
      <c r="F978" s="6">
        <f>IF('FUENTE NO BORRAR'!F996="","",IF('FUENTE NO BORRAR'!$A996&lt;&gt;"Resultado total",('FUENTE NO BORRAR'!F996),""))</f>
        <v>1589.2</v>
      </c>
      <c r="G978" s="6">
        <f>IF('FUENTE NO BORRAR'!G996="","",IF('FUENTE NO BORRAR'!$A996&lt;&gt;"Resultado total",('FUENTE NO BORRAR'!G996),""))</f>
        <v>1589.2</v>
      </c>
      <c r="H978" s="6">
        <f>IF('FUENTE NO BORRAR'!H996="","",IF('FUENTE NO BORRAR'!$A996&lt;&gt;"Resultado total",('FUENTE NO BORRAR'!H996),""))</f>
        <v>1589.2</v>
      </c>
      <c r="I978" s="6">
        <f>IF('FUENTE NO BORRAR'!I996="","",IF('FUENTE NO BORRAR'!$A996&lt;&gt;"Resultado total",('FUENTE NO BORRAR'!I996),""))</f>
        <v>0</v>
      </c>
    </row>
    <row r="979" spans="1:9" x14ac:dyDescent="0.2">
      <c r="A979" s="5" t="str">
        <f>IF('FUENTE NO BORRAR'!A997="","",(IF('FUENTE NO BORRAR'!A997&lt;&gt;"Resultado total",'FUENTE NO BORRAR'!A997,"")))</f>
        <v/>
      </c>
      <c r="B979" s="5" t="str">
        <f>IF('FUENTE NO BORRAR'!B997="","",'FUENTE NO BORRAR'!B997)</f>
        <v/>
      </c>
      <c r="C979" s="5" t="str">
        <f>IF('FUENTE NO BORRAR'!C997="","",'FUENTE NO BORRAR'!C997)</f>
        <v/>
      </c>
      <c r="D979" s="5" t="str">
        <f>IF('FUENTE NO BORRAR'!D997="","",'FUENTE NO BORRAR'!D997)</f>
        <v/>
      </c>
      <c r="E979" s="5" t="str">
        <f>IF('FUENTE NO BORRAR'!E997="","",'FUENTE NO BORRAR'!E997)</f>
        <v/>
      </c>
      <c r="F979" s="6">
        <f>IF('FUENTE NO BORRAR'!F997="","",IF('FUENTE NO BORRAR'!$A997&lt;&gt;"Resultado total",('FUENTE NO BORRAR'!F997),""))</f>
        <v>625</v>
      </c>
      <c r="G979" s="6">
        <f>IF('FUENTE NO BORRAR'!G997="","",IF('FUENTE NO BORRAR'!$A997&lt;&gt;"Resultado total",('FUENTE NO BORRAR'!G997),""))</f>
        <v>625</v>
      </c>
      <c r="H979" s="6">
        <f>IF('FUENTE NO BORRAR'!H997="","",IF('FUENTE NO BORRAR'!$A997&lt;&gt;"Resultado total",('FUENTE NO BORRAR'!H997),""))</f>
        <v>625</v>
      </c>
      <c r="I979" s="6">
        <f>IF('FUENTE NO BORRAR'!I997="","",IF('FUENTE NO BORRAR'!$A997&lt;&gt;"Resultado total",('FUENTE NO BORRAR'!I997),""))</f>
        <v>0</v>
      </c>
    </row>
    <row r="980" spans="1:9" x14ac:dyDescent="0.2">
      <c r="A980" s="5" t="str">
        <f>IF('FUENTE NO BORRAR'!A998="","",(IF('FUENTE NO BORRAR'!A998&lt;&gt;"Resultado total",'FUENTE NO BORRAR'!A998,"")))</f>
        <v/>
      </c>
      <c r="B980" s="5" t="str">
        <f>IF('FUENTE NO BORRAR'!B998="","",'FUENTE NO BORRAR'!B998)</f>
        <v/>
      </c>
      <c r="C980" s="5" t="str">
        <f>IF('FUENTE NO BORRAR'!C998="","",'FUENTE NO BORRAR'!C998)</f>
        <v/>
      </c>
      <c r="D980" s="5" t="str">
        <f>IF('FUENTE NO BORRAR'!D998="","",'FUENTE NO BORRAR'!D998)</f>
        <v/>
      </c>
      <c r="E980" s="5" t="str">
        <f>IF('FUENTE NO BORRAR'!E998="","",'FUENTE NO BORRAR'!E998)</f>
        <v/>
      </c>
      <c r="F980" s="6">
        <f>IF('FUENTE NO BORRAR'!F998="","",IF('FUENTE NO BORRAR'!$A998&lt;&gt;"Resultado total",('FUENTE NO BORRAR'!F998),""))</f>
        <v>106019.92</v>
      </c>
      <c r="G980" s="6">
        <f>IF('FUENTE NO BORRAR'!G998="","",IF('FUENTE NO BORRAR'!$A998&lt;&gt;"Resultado total",('FUENTE NO BORRAR'!G998),""))</f>
        <v>106019.92</v>
      </c>
      <c r="H980" s="6">
        <f>IF('FUENTE NO BORRAR'!H998="","",IF('FUENTE NO BORRAR'!$A998&lt;&gt;"Resultado total",('FUENTE NO BORRAR'!H998),""))</f>
        <v>106019.92</v>
      </c>
      <c r="I980" s="6">
        <f>IF('FUENTE NO BORRAR'!I998="","",IF('FUENTE NO BORRAR'!$A998&lt;&gt;"Resultado total",('FUENTE NO BORRAR'!I998),""))</f>
        <v>0</v>
      </c>
    </row>
    <row r="981" spans="1:9" x14ac:dyDescent="0.2">
      <c r="A981" s="5" t="str">
        <f>IF('FUENTE NO BORRAR'!A999="","",(IF('FUENTE NO BORRAR'!A999&lt;&gt;"Resultado total",'FUENTE NO BORRAR'!A999,"")))</f>
        <v/>
      </c>
      <c r="B981" s="5" t="str">
        <f>IF('FUENTE NO BORRAR'!B999="","",'FUENTE NO BORRAR'!B999)</f>
        <v/>
      </c>
      <c r="C981" s="5" t="str">
        <f>IF('FUENTE NO BORRAR'!C999="","",'FUENTE NO BORRAR'!C999)</f>
        <v/>
      </c>
      <c r="D981" s="5" t="str">
        <f>IF('FUENTE NO BORRAR'!D999="","",'FUENTE NO BORRAR'!D999)</f>
        <v/>
      </c>
      <c r="E981" s="5" t="str">
        <f>IF('FUENTE NO BORRAR'!E999="","",'FUENTE NO BORRAR'!E999)</f>
        <v/>
      </c>
      <c r="F981" s="6">
        <f>IF('FUENTE NO BORRAR'!F999="","",IF('FUENTE NO BORRAR'!$A999&lt;&gt;"Resultado total",('FUENTE NO BORRAR'!F999),""))</f>
        <v>99.83</v>
      </c>
      <c r="G981" s="6">
        <f>IF('FUENTE NO BORRAR'!G999="","",IF('FUENTE NO BORRAR'!$A999&lt;&gt;"Resultado total",('FUENTE NO BORRAR'!G999),""))</f>
        <v>99.83</v>
      </c>
      <c r="H981" s="6">
        <f>IF('FUENTE NO BORRAR'!H999="","",IF('FUENTE NO BORRAR'!$A999&lt;&gt;"Resultado total",('FUENTE NO BORRAR'!H999),""))</f>
        <v>99.83</v>
      </c>
      <c r="I981" s="6">
        <f>IF('FUENTE NO BORRAR'!I999="","",IF('FUENTE NO BORRAR'!$A999&lt;&gt;"Resultado total",('FUENTE NO BORRAR'!I999),""))</f>
        <v>0</v>
      </c>
    </row>
    <row r="982" spans="1:9" x14ac:dyDescent="0.2">
      <c r="A982" s="5" t="str">
        <f>IF('FUENTE NO BORRAR'!A1000="","",(IF('FUENTE NO BORRAR'!A1000&lt;&gt;"Resultado total",'FUENTE NO BORRAR'!A1000,"")))</f>
        <v/>
      </c>
      <c r="B982" s="5" t="str">
        <f>IF('FUENTE NO BORRAR'!B1000="","",'FUENTE NO BORRAR'!B1000)</f>
        <v/>
      </c>
      <c r="C982" s="5" t="str">
        <f>IF('FUENTE NO BORRAR'!C1000="","",'FUENTE NO BORRAR'!C1000)</f>
        <v/>
      </c>
      <c r="D982" s="5" t="str">
        <f>IF('FUENTE NO BORRAR'!D1000="","",'FUENTE NO BORRAR'!D1000)</f>
        <v/>
      </c>
      <c r="E982" s="5" t="str">
        <f>IF('FUENTE NO BORRAR'!E1000="","",'FUENTE NO BORRAR'!E1000)</f>
        <v/>
      </c>
      <c r="F982" s="6">
        <f>IF('FUENTE NO BORRAR'!F1000="","",IF('FUENTE NO BORRAR'!$A1000&lt;&gt;"Resultado total",('FUENTE NO BORRAR'!F1000),""))</f>
        <v>924.23</v>
      </c>
      <c r="G982" s="6">
        <f>IF('FUENTE NO BORRAR'!G1000="","",IF('FUENTE NO BORRAR'!$A1000&lt;&gt;"Resultado total",('FUENTE NO BORRAR'!G1000),""))</f>
        <v>924.23</v>
      </c>
      <c r="H982" s="6">
        <f>IF('FUENTE NO BORRAR'!H1000="","",IF('FUENTE NO BORRAR'!$A1000&lt;&gt;"Resultado total",('FUENTE NO BORRAR'!H1000),""))</f>
        <v>924.23</v>
      </c>
      <c r="I982" s="6">
        <f>IF('FUENTE NO BORRAR'!I1000="","",IF('FUENTE NO BORRAR'!$A1000&lt;&gt;"Resultado total",('FUENTE NO BORRAR'!I1000),""))</f>
        <v>0</v>
      </c>
    </row>
    <row r="983" spans="1:9" x14ac:dyDescent="0.2">
      <c r="A983" s="5" t="str">
        <f>IF('FUENTE NO BORRAR'!A1001="","",(IF('FUENTE NO BORRAR'!A1001&lt;&gt;"Resultado total",'FUENTE NO BORRAR'!A1001,"")))</f>
        <v/>
      </c>
      <c r="B983" s="5" t="str">
        <f>IF('FUENTE NO BORRAR'!B1001="","",'FUENTE NO BORRAR'!B1001)</f>
        <v/>
      </c>
      <c r="C983" s="5" t="str">
        <f>IF('FUENTE NO BORRAR'!C1001="","",'FUENTE NO BORRAR'!C1001)</f>
        <v/>
      </c>
      <c r="D983" s="5" t="str">
        <f>IF('FUENTE NO BORRAR'!D1001="","",'FUENTE NO BORRAR'!D1001)</f>
        <v/>
      </c>
      <c r="E983" s="5" t="str">
        <f>IF('FUENTE NO BORRAR'!E1001="","",'FUENTE NO BORRAR'!E1001)</f>
        <v/>
      </c>
      <c r="F983" s="6">
        <f>IF('FUENTE NO BORRAR'!F1001="","",IF('FUENTE NO BORRAR'!$A1001&lt;&gt;"Resultado total",('FUENTE NO BORRAR'!F1001),""))</f>
        <v>899.56</v>
      </c>
      <c r="G983" s="6">
        <f>IF('FUENTE NO BORRAR'!G1001="","",IF('FUENTE NO BORRAR'!$A1001&lt;&gt;"Resultado total",('FUENTE NO BORRAR'!G1001),""))</f>
        <v>899.56</v>
      </c>
      <c r="H983" s="6">
        <f>IF('FUENTE NO BORRAR'!H1001="","",IF('FUENTE NO BORRAR'!$A1001&lt;&gt;"Resultado total",('FUENTE NO BORRAR'!H1001),""))</f>
        <v>899.56</v>
      </c>
      <c r="I983" s="6">
        <f>IF('FUENTE NO BORRAR'!I1001="","",IF('FUENTE NO BORRAR'!$A1001&lt;&gt;"Resultado total",('FUENTE NO BORRAR'!I1001),""))</f>
        <v>0</v>
      </c>
    </row>
    <row r="984" spans="1:9" x14ac:dyDescent="0.2">
      <c r="A984" s="5" t="str">
        <f>IF('FUENTE NO BORRAR'!A1002="","",(IF('FUENTE NO BORRAR'!A1002&lt;&gt;"Resultado total",'FUENTE NO BORRAR'!A1002,"")))</f>
        <v/>
      </c>
      <c r="B984" s="5" t="str">
        <f>IF('FUENTE NO BORRAR'!B1002="","",'FUENTE NO BORRAR'!B1002)</f>
        <v/>
      </c>
      <c r="C984" s="5" t="str">
        <f>IF('FUENTE NO BORRAR'!C1002="","",'FUENTE NO BORRAR'!C1002)</f>
        <v/>
      </c>
      <c r="D984" s="5" t="str">
        <f>IF('FUENTE NO BORRAR'!D1002="","",'FUENTE NO BORRAR'!D1002)</f>
        <v/>
      </c>
      <c r="E984" s="5" t="str">
        <f>IF('FUENTE NO BORRAR'!E1002="","",'FUENTE NO BORRAR'!E1002)</f>
        <v/>
      </c>
      <c r="F984" s="6">
        <f>IF('FUENTE NO BORRAR'!F1002="","",IF('FUENTE NO BORRAR'!$A1002&lt;&gt;"Resultado total",('FUENTE NO BORRAR'!F1002),""))</f>
        <v>6300.45</v>
      </c>
      <c r="G984" s="6">
        <f>IF('FUENTE NO BORRAR'!G1002="","",IF('FUENTE NO BORRAR'!$A1002&lt;&gt;"Resultado total",('FUENTE NO BORRAR'!G1002),""))</f>
        <v>6300.45</v>
      </c>
      <c r="H984" s="6">
        <f>IF('FUENTE NO BORRAR'!H1002="","",IF('FUENTE NO BORRAR'!$A1002&lt;&gt;"Resultado total",('FUENTE NO BORRAR'!H1002),""))</f>
        <v>6300.45</v>
      </c>
      <c r="I984" s="6">
        <f>IF('FUENTE NO BORRAR'!I1002="","",IF('FUENTE NO BORRAR'!$A1002&lt;&gt;"Resultado total",('FUENTE NO BORRAR'!I1002),""))</f>
        <v>0</v>
      </c>
    </row>
    <row r="985" spans="1:9" x14ac:dyDescent="0.2">
      <c r="A985" s="5" t="str">
        <f>IF('FUENTE NO BORRAR'!A1003="","",(IF('FUENTE NO BORRAR'!A1003&lt;&gt;"Resultado total",'FUENTE NO BORRAR'!A1003,"")))</f>
        <v/>
      </c>
      <c r="B985" s="5" t="str">
        <f>IF('FUENTE NO BORRAR'!B1003="","",'FUENTE NO BORRAR'!B1003)</f>
        <v/>
      </c>
      <c r="C985" s="5" t="str">
        <f>IF('FUENTE NO BORRAR'!C1003="","",'FUENTE NO BORRAR'!C1003)</f>
        <v/>
      </c>
      <c r="D985" s="5" t="str">
        <f>IF('FUENTE NO BORRAR'!D1003="","",'FUENTE NO BORRAR'!D1003)</f>
        <v/>
      </c>
      <c r="E985" s="5" t="str">
        <f>IF('FUENTE NO BORRAR'!E1003="","",'FUENTE NO BORRAR'!E1003)</f>
        <v/>
      </c>
      <c r="F985" s="6">
        <f>IF('FUENTE NO BORRAR'!F1003="","",IF('FUENTE NO BORRAR'!$A1003&lt;&gt;"Resultado total",('FUENTE NO BORRAR'!F1003),""))</f>
        <v>1572.58</v>
      </c>
      <c r="G985" s="6">
        <f>IF('FUENTE NO BORRAR'!G1003="","",IF('FUENTE NO BORRAR'!$A1003&lt;&gt;"Resultado total",('FUENTE NO BORRAR'!G1003),""))</f>
        <v>1572.58</v>
      </c>
      <c r="H985" s="6">
        <f>IF('FUENTE NO BORRAR'!H1003="","",IF('FUENTE NO BORRAR'!$A1003&lt;&gt;"Resultado total",('FUENTE NO BORRAR'!H1003),""))</f>
        <v>1572.58</v>
      </c>
      <c r="I985" s="6">
        <f>IF('FUENTE NO BORRAR'!I1003="","",IF('FUENTE NO BORRAR'!$A1003&lt;&gt;"Resultado total",('FUENTE NO BORRAR'!I1003),""))</f>
        <v>0</v>
      </c>
    </row>
    <row r="986" spans="1:9" x14ac:dyDescent="0.2">
      <c r="A986" s="5" t="str">
        <f>IF('FUENTE NO BORRAR'!A1004="","",(IF('FUENTE NO BORRAR'!A1004&lt;&gt;"Resultado total",'FUENTE NO BORRAR'!A1004,"")))</f>
        <v/>
      </c>
      <c r="B986" s="5" t="str">
        <f>IF('FUENTE NO BORRAR'!B1004="","",'FUENTE NO BORRAR'!B1004)</f>
        <v/>
      </c>
      <c r="C986" s="5" t="str">
        <f>IF('FUENTE NO BORRAR'!C1004="","",'FUENTE NO BORRAR'!C1004)</f>
        <v/>
      </c>
      <c r="D986" s="5" t="str">
        <f>IF('FUENTE NO BORRAR'!D1004="","",'FUENTE NO BORRAR'!D1004)</f>
        <v/>
      </c>
      <c r="E986" s="5" t="str">
        <f>IF('FUENTE NO BORRAR'!E1004="","",'FUENTE NO BORRAR'!E1004)</f>
        <v/>
      </c>
      <c r="F986" s="6">
        <f>IF('FUENTE NO BORRAR'!F1004="","",IF('FUENTE NO BORRAR'!$A1004&lt;&gt;"Resultado total",('FUENTE NO BORRAR'!F1004),""))</f>
        <v>338197.1</v>
      </c>
      <c r="G986" s="6">
        <f>IF('FUENTE NO BORRAR'!G1004="","",IF('FUENTE NO BORRAR'!$A1004&lt;&gt;"Resultado total",('FUENTE NO BORRAR'!G1004),""))</f>
        <v>338197.1</v>
      </c>
      <c r="H986" s="6">
        <f>IF('FUENTE NO BORRAR'!H1004="","",IF('FUENTE NO BORRAR'!$A1004&lt;&gt;"Resultado total",('FUENTE NO BORRAR'!H1004),""))</f>
        <v>338197.1</v>
      </c>
      <c r="I986" s="6">
        <f>IF('FUENTE NO BORRAR'!I1004="","",IF('FUENTE NO BORRAR'!$A1004&lt;&gt;"Resultado total",('FUENTE NO BORRAR'!I1004),""))</f>
        <v>0</v>
      </c>
    </row>
    <row r="987" spans="1:9" x14ac:dyDescent="0.2">
      <c r="A987" s="5" t="str">
        <f>IF('FUENTE NO BORRAR'!A1005="","",(IF('FUENTE NO BORRAR'!A1005&lt;&gt;"Resultado total",'FUENTE NO BORRAR'!A1005,"")))</f>
        <v/>
      </c>
      <c r="B987" s="5" t="str">
        <f>IF('FUENTE NO BORRAR'!B1005="","",'FUENTE NO BORRAR'!B1005)</f>
        <v/>
      </c>
      <c r="C987" s="5" t="str">
        <f>IF('FUENTE NO BORRAR'!C1005="","",'FUENTE NO BORRAR'!C1005)</f>
        <v/>
      </c>
      <c r="D987" s="5" t="str">
        <f>IF('FUENTE NO BORRAR'!D1005="","",'FUENTE NO BORRAR'!D1005)</f>
        <v/>
      </c>
      <c r="E987" s="5" t="str">
        <f>IF('FUENTE NO BORRAR'!E1005="","",'FUENTE NO BORRAR'!E1005)</f>
        <v/>
      </c>
      <c r="F987" s="6">
        <f>IF('FUENTE NO BORRAR'!F1005="","",IF('FUENTE NO BORRAR'!$A1005&lt;&gt;"Resultado total",('FUENTE NO BORRAR'!F1005),""))</f>
        <v>1135.47</v>
      </c>
      <c r="G987" s="6">
        <f>IF('FUENTE NO BORRAR'!G1005="","",IF('FUENTE NO BORRAR'!$A1005&lt;&gt;"Resultado total",('FUENTE NO BORRAR'!G1005),""))</f>
        <v>1135.47</v>
      </c>
      <c r="H987" s="6">
        <f>IF('FUENTE NO BORRAR'!H1005="","",IF('FUENTE NO BORRAR'!$A1005&lt;&gt;"Resultado total",('FUENTE NO BORRAR'!H1005),""))</f>
        <v>1135.47</v>
      </c>
      <c r="I987" s="6">
        <f>IF('FUENTE NO BORRAR'!I1005="","",IF('FUENTE NO BORRAR'!$A1005&lt;&gt;"Resultado total",('FUENTE NO BORRAR'!I1005),""))</f>
        <v>0</v>
      </c>
    </row>
    <row r="988" spans="1:9" x14ac:dyDescent="0.2">
      <c r="A988" s="5" t="str">
        <f>IF('FUENTE NO BORRAR'!A1006="","",(IF('FUENTE NO BORRAR'!A1006&lt;&gt;"Resultado total",'FUENTE NO BORRAR'!A1006,"")))</f>
        <v/>
      </c>
      <c r="B988" s="5" t="str">
        <f>IF('FUENTE NO BORRAR'!B1006="","",'FUENTE NO BORRAR'!B1006)</f>
        <v/>
      </c>
      <c r="C988" s="5" t="str">
        <f>IF('FUENTE NO BORRAR'!C1006="","",'FUENTE NO BORRAR'!C1006)</f>
        <v/>
      </c>
      <c r="D988" s="5" t="str">
        <f>IF('FUENTE NO BORRAR'!D1006="","",'FUENTE NO BORRAR'!D1006)</f>
        <v/>
      </c>
      <c r="E988" s="5" t="str">
        <f>IF('FUENTE NO BORRAR'!E1006="","",'FUENTE NO BORRAR'!E1006)</f>
        <v/>
      </c>
      <c r="F988" s="6">
        <f>IF('FUENTE NO BORRAR'!F1006="","",IF('FUENTE NO BORRAR'!$A1006&lt;&gt;"Resultado total",('FUENTE NO BORRAR'!F1006),""))</f>
        <v>2529.61</v>
      </c>
      <c r="G988" s="6">
        <f>IF('FUENTE NO BORRAR'!G1006="","",IF('FUENTE NO BORRAR'!$A1006&lt;&gt;"Resultado total",('FUENTE NO BORRAR'!G1006),""))</f>
        <v>2529.61</v>
      </c>
      <c r="H988" s="6">
        <f>IF('FUENTE NO BORRAR'!H1006="","",IF('FUENTE NO BORRAR'!$A1006&lt;&gt;"Resultado total",('FUENTE NO BORRAR'!H1006),""))</f>
        <v>2529.61</v>
      </c>
      <c r="I988" s="6">
        <f>IF('FUENTE NO BORRAR'!I1006="","",IF('FUENTE NO BORRAR'!$A1006&lt;&gt;"Resultado total",('FUENTE NO BORRAR'!I1006),""))</f>
        <v>0</v>
      </c>
    </row>
    <row r="989" spans="1:9" x14ac:dyDescent="0.2">
      <c r="A989" s="5" t="str">
        <f>IF('FUENTE NO BORRAR'!A1007="","",(IF('FUENTE NO BORRAR'!A1007&lt;&gt;"Resultado total",'FUENTE NO BORRAR'!A1007,"")))</f>
        <v/>
      </c>
      <c r="B989" s="5" t="str">
        <f>IF('FUENTE NO BORRAR'!B1007="","",'FUENTE NO BORRAR'!B1007)</f>
        <v/>
      </c>
      <c r="C989" s="5" t="str">
        <f>IF('FUENTE NO BORRAR'!C1007="","",'FUENTE NO BORRAR'!C1007)</f>
        <v/>
      </c>
      <c r="D989" s="5" t="str">
        <f>IF('FUENTE NO BORRAR'!D1007="","",'FUENTE NO BORRAR'!D1007)</f>
        <v/>
      </c>
      <c r="E989" s="5" t="str">
        <f>IF('FUENTE NO BORRAR'!E1007="","",'FUENTE NO BORRAR'!E1007)</f>
        <v/>
      </c>
      <c r="F989" s="6">
        <f>IF('FUENTE NO BORRAR'!F1007="","",IF('FUENTE NO BORRAR'!$A1007&lt;&gt;"Resultado total",('FUENTE NO BORRAR'!F1007),""))</f>
        <v>917.05</v>
      </c>
      <c r="G989" s="6">
        <f>IF('FUENTE NO BORRAR'!G1007="","",IF('FUENTE NO BORRAR'!$A1007&lt;&gt;"Resultado total",('FUENTE NO BORRAR'!G1007),""))</f>
        <v>917.05</v>
      </c>
      <c r="H989" s="6">
        <f>IF('FUENTE NO BORRAR'!H1007="","",IF('FUENTE NO BORRAR'!$A1007&lt;&gt;"Resultado total",('FUENTE NO BORRAR'!H1007),""))</f>
        <v>917.05</v>
      </c>
      <c r="I989" s="6">
        <f>IF('FUENTE NO BORRAR'!I1007="","",IF('FUENTE NO BORRAR'!$A1007&lt;&gt;"Resultado total",('FUENTE NO BORRAR'!I1007),""))</f>
        <v>0</v>
      </c>
    </row>
    <row r="990" spans="1:9" x14ac:dyDescent="0.2">
      <c r="A990" s="5" t="str">
        <f>IF('FUENTE NO BORRAR'!A1008="","",(IF('FUENTE NO BORRAR'!A1008&lt;&gt;"Resultado total",'FUENTE NO BORRAR'!A1008,"")))</f>
        <v/>
      </c>
      <c r="B990" s="5" t="str">
        <f>IF('FUENTE NO BORRAR'!B1008="","",'FUENTE NO BORRAR'!B1008)</f>
        <v/>
      </c>
      <c r="C990" s="5" t="str">
        <f>IF('FUENTE NO BORRAR'!C1008="","",'FUENTE NO BORRAR'!C1008)</f>
        <v/>
      </c>
      <c r="D990" s="5" t="str">
        <f>IF('FUENTE NO BORRAR'!D1008="","",'FUENTE NO BORRAR'!D1008)</f>
        <v/>
      </c>
      <c r="E990" s="5" t="str">
        <f>IF('FUENTE NO BORRAR'!E1008="","",'FUENTE NO BORRAR'!E1008)</f>
        <v/>
      </c>
      <c r="F990" s="6">
        <f>IF('FUENTE NO BORRAR'!F1008="","",IF('FUENTE NO BORRAR'!$A1008&lt;&gt;"Resultado total",('FUENTE NO BORRAR'!F1008),""))</f>
        <v>1698979.19</v>
      </c>
      <c r="G990" s="6">
        <f>IF('FUENTE NO BORRAR'!G1008="","",IF('FUENTE NO BORRAR'!$A1008&lt;&gt;"Resultado total",('FUENTE NO BORRAR'!G1008),""))</f>
        <v>1698979.19</v>
      </c>
      <c r="H990" s="6">
        <f>IF('FUENTE NO BORRAR'!H1008="","",IF('FUENTE NO BORRAR'!$A1008&lt;&gt;"Resultado total",('FUENTE NO BORRAR'!H1008),""))</f>
        <v>1698979.19</v>
      </c>
      <c r="I990" s="6">
        <f>IF('FUENTE NO BORRAR'!I1008="","",IF('FUENTE NO BORRAR'!$A1008&lt;&gt;"Resultado total",('FUENTE NO BORRAR'!I1008),""))</f>
        <v>0</v>
      </c>
    </row>
    <row r="991" spans="1:9" x14ac:dyDescent="0.2">
      <c r="A991" s="5" t="str">
        <f>IF('FUENTE NO BORRAR'!A1009="","",(IF('FUENTE NO BORRAR'!A1009&lt;&gt;"Resultado total",'FUENTE NO BORRAR'!A1009,"")))</f>
        <v/>
      </c>
      <c r="B991" s="5" t="str">
        <f>IF('FUENTE NO BORRAR'!B1009="","",'FUENTE NO BORRAR'!B1009)</f>
        <v/>
      </c>
      <c r="C991" s="5" t="str">
        <f>IF('FUENTE NO BORRAR'!C1009="","",'FUENTE NO BORRAR'!C1009)</f>
        <v/>
      </c>
      <c r="D991" s="5" t="str">
        <f>IF('FUENTE NO BORRAR'!D1009="","",'FUENTE NO BORRAR'!D1009)</f>
        <v/>
      </c>
      <c r="E991" s="5" t="str">
        <f>IF('FUENTE NO BORRAR'!E1009="","",'FUENTE NO BORRAR'!E1009)</f>
        <v/>
      </c>
      <c r="F991" s="6">
        <f>IF('FUENTE NO BORRAR'!F1009="","",IF('FUENTE NO BORRAR'!$A1009&lt;&gt;"Resultado total",('FUENTE NO BORRAR'!F1009),""))</f>
        <v>807.36</v>
      </c>
      <c r="G991" s="6">
        <f>IF('FUENTE NO BORRAR'!G1009="","",IF('FUENTE NO BORRAR'!$A1009&lt;&gt;"Resultado total",('FUENTE NO BORRAR'!G1009),""))</f>
        <v>807.36</v>
      </c>
      <c r="H991" s="6">
        <f>IF('FUENTE NO BORRAR'!H1009="","",IF('FUENTE NO BORRAR'!$A1009&lt;&gt;"Resultado total",('FUENTE NO BORRAR'!H1009),""))</f>
        <v>807.36</v>
      </c>
      <c r="I991" s="6">
        <f>IF('FUENTE NO BORRAR'!I1009="","",IF('FUENTE NO BORRAR'!$A1009&lt;&gt;"Resultado total",('FUENTE NO BORRAR'!I1009),""))</f>
        <v>0</v>
      </c>
    </row>
    <row r="992" spans="1:9" x14ac:dyDescent="0.2">
      <c r="A992" s="5" t="str">
        <f>IF('FUENTE NO BORRAR'!A1010="","",(IF('FUENTE NO BORRAR'!A1010&lt;&gt;"Resultado total",'FUENTE NO BORRAR'!A1010,"")))</f>
        <v/>
      </c>
      <c r="B992" s="5" t="str">
        <f>IF('FUENTE NO BORRAR'!B1010="","",'FUENTE NO BORRAR'!B1010)</f>
        <v/>
      </c>
      <c r="C992" s="5" t="str">
        <f>IF('FUENTE NO BORRAR'!C1010="","",'FUENTE NO BORRAR'!C1010)</f>
        <v/>
      </c>
      <c r="D992" s="5" t="str">
        <f>IF('FUENTE NO BORRAR'!D1010="","",'FUENTE NO BORRAR'!D1010)</f>
        <v/>
      </c>
      <c r="E992" s="5" t="str">
        <f>IF('FUENTE NO BORRAR'!E1010="","",'FUENTE NO BORRAR'!E1010)</f>
        <v/>
      </c>
      <c r="F992" s="6">
        <f>IF('FUENTE NO BORRAR'!F1010="","",IF('FUENTE NO BORRAR'!$A1010&lt;&gt;"Resultado total",('FUENTE NO BORRAR'!F1010),""))</f>
        <v>1647</v>
      </c>
      <c r="G992" s="6">
        <f>IF('FUENTE NO BORRAR'!G1010="","",IF('FUENTE NO BORRAR'!$A1010&lt;&gt;"Resultado total",('FUENTE NO BORRAR'!G1010),""))</f>
        <v>1647</v>
      </c>
      <c r="H992" s="6">
        <f>IF('FUENTE NO BORRAR'!H1010="","",IF('FUENTE NO BORRAR'!$A1010&lt;&gt;"Resultado total",('FUENTE NO BORRAR'!H1010),""))</f>
        <v>1647</v>
      </c>
      <c r="I992" s="6">
        <f>IF('FUENTE NO BORRAR'!I1010="","",IF('FUENTE NO BORRAR'!$A1010&lt;&gt;"Resultado total",('FUENTE NO BORRAR'!I1010),""))</f>
        <v>0</v>
      </c>
    </row>
    <row r="993" spans="1:9" x14ac:dyDescent="0.2">
      <c r="A993" s="5" t="str">
        <f>IF('FUENTE NO BORRAR'!A1011="","",(IF('FUENTE NO BORRAR'!A1011&lt;&gt;"Resultado total",'FUENTE NO BORRAR'!A1011,"")))</f>
        <v/>
      </c>
      <c r="B993" s="5" t="str">
        <f>IF('FUENTE NO BORRAR'!B1011="","",'FUENTE NO BORRAR'!B1011)</f>
        <v/>
      </c>
      <c r="C993" s="5" t="str">
        <f>IF('FUENTE NO BORRAR'!C1011="","",'FUENTE NO BORRAR'!C1011)</f>
        <v/>
      </c>
      <c r="D993" s="5" t="str">
        <f>IF('FUENTE NO BORRAR'!D1011="","",'FUENTE NO BORRAR'!D1011)</f>
        <v/>
      </c>
      <c r="E993" s="5" t="str">
        <f>IF('FUENTE NO BORRAR'!E1011="","",'FUENTE NO BORRAR'!E1011)</f>
        <v/>
      </c>
      <c r="F993" s="6">
        <f>IF('FUENTE NO BORRAR'!F1011="","",IF('FUENTE NO BORRAR'!$A1011&lt;&gt;"Resultado total",('FUENTE NO BORRAR'!F1011),""))</f>
        <v>556.1</v>
      </c>
      <c r="G993" s="6">
        <f>IF('FUENTE NO BORRAR'!G1011="","",IF('FUENTE NO BORRAR'!$A1011&lt;&gt;"Resultado total",('FUENTE NO BORRAR'!G1011),""))</f>
        <v>556.1</v>
      </c>
      <c r="H993" s="6">
        <f>IF('FUENTE NO BORRAR'!H1011="","",IF('FUENTE NO BORRAR'!$A1011&lt;&gt;"Resultado total",('FUENTE NO BORRAR'!H1011),""))</f>
        <v>556.1</v>
      </c>
      <c r="I993" s="6">
        <f>IF('FUENTE NO BORRAR'!I1011="","",IF('FUENTE NO BORRAR'!$A1011&lt;&gt;"Resultado total",('FUENTE NO BORRAR'!I1011),""))</f>
        <v>0</v>
      </c>
    </row>
    <row r="994" spans="1:9" x14ac:dyDescent="0.2">
      <c r="A994" s="5" t="str">
        <f>IF('FUENTE NO BORRAR'!A1012="","",(IF('FUENTE NO BORRAR'!A1012&lt;&gt;"Resultado total",'FUENTE NO BORRAR'!A1012,"")))</f>
        <v/>
      </c>
      <c r="B994" s="5" t="str">
        <f>IF('FUENTE NO BORRAR'!B1012="","",'FUENTE NO BORRAR'!B1012)</f>
        <v/>
      </c>
      <c r="C994" s="5" t="str">
        <f>IF('FUENTE NO BORRAR'!C1012="","",'FUENTE NO BORRAR'!C1012)</f>
        <v/>
      </c>
      <c r="D994" s="5" t="str">
        <f>IF('FUENTE NO BORRAR'!D1012="","",'FUENTE NO BORRAR'!D1012)</f>
        <v/>
      </c>
      <c r="E994" s="5" t="str">
        <f>IF('FUENTE NO BORRAR'!E1012="","",'FUENTE NO BORRAR'!E1012)</f>
        <v/>
      </c>
      <c r="F994" s="6">
        <f>IF('FUENTE NO BORRAR'!F1012="","",IF('FUENTE NO BORRAR'!$A1012&lt;&gt;"Resultado total",('FUENTE NO BORRAR'!F1012),""))</f>
        <v>2897.44</v>
      </c>
      <c r="G994" s="6">
        <f>IF('FUENTE NO BORRAR'!G1012="","",IF('FUENTE NO BORRAR'!$A1012&lt;&gt;"Resultado total",('FUENTE NO BORRAR'!G1012),""))</f>
        <v>2897.44</v>
      </c>
      <c r="H994" s="6">
        <f>IF('FUENTE NO BORRAR'!H1012="","",IF('FUENTE NO BORRAR'!$A1012&lt;&gt;"Resultado total",('FUENTE NO BORRAR'!H1012),""))</f>
        <v>2897.44</v>
      </c>
      <c r="I994" s="6">
        <f>IF('FUENTE NO BORRAR'!I1012="","",IF('FUENTE NO BORRAR'!$A1012&lt;&gt;"Resultado total",('FUENTE NO BORRAR'!I1012),""))</f>
        <v>0</v>
      </c>
    </row>
    <row r="995" spans="1:9" x14ac:dyDescent="0.2">
      <c r="A995" s="5" t="str">
        <f>IF('FUENTE NO BORRAR'!A1013="","",(IF('FUENTE NO BORRAR'!A1013&lt;&gt;"Resultado total",'FUENTE NO BORRAR'!A1013,"")))</f>
        <v/>
      </c>
      <c r="B995" s="5" t="str">
        <f>IF('FUENTE NO BORRAR'!B1013="","",'FUENTE NO BORRAR'!B1013)</f>
        <v/>
      </c>
      <c r="C995" s="5" t="str">
        <f>IF('FUENTE NO BORRAR'!C1013="","",'FUENTE NO BORRAR'!C1013)</f>
        <v/>
      </c>
      <c r="D995" s="5" t="str">
        <f>IF('FUENTE NO BORRAR'!D1013="","",'FUENTE NO BORRAR'!D1013)</f>
        <v/>
      </c>
      <c r="E995" s="5" t="str">
        <f>IF('FUENTE NO BORRAR'!E1013="","",'FUENTE NO BORRAR'!E1013)</f>
        <v/>
      </c>
      <c r="F995" s="6">
        <f>IF('FUENTE NO BORRAR'!F1013="","",IF('FUENTE NO BORRAR'!$A1013&lt;&gt;"Resultado total",('FUENTE NO BORRAR'!F1013),""))</f>
        <v>21769.759999999998</v>
      </c>
      <c r="G995" s="6">
        <f>IF('FUENTE NO BORRAR'!G1013="","",IF('FUENTE NO BORRAR'!$A1013&lt;&gt;"Resultado total",('FUENTE NO BORRAR'!G1013),""))</f>
        <v>21769.759999999998</v>
      </c>
      <c r="H995" s="6">
        <f>IF('FUENTE NO BORRAR'!H1013="","",IF('FUENTE NO BORRAR'!$A1013&lt;&gt;"Resultado total",('FUENTE NO BORRAR'!H1013),""))</f>
        <v>21769.759999999998</v>
      </c>
      <c r="I995" s="6">
        <f>IF('FUENTE NO BORRAR'!I1013="","",IF('FUENTE NO BORRAR'!$A1013&lt;&gt;"Resultado total",('FUENTE NO BORRAR'!I1013),""))</f>
        <v>0</v>
      </c>
    </row>
    <row r="996" spans="1:9" x14ac:dyDescent="0.2">
      <c r="A996" s="5" t="str">
        <f>IF('FUENTE NO BORRAR'!A1014="","",(IF('FUENTE NO BORRAR'!A1014&lt;&gt;"Resultado total",'FUENTE NO BORRAR'!A1014,"")))</f>
        <v/>
      </c>
      <c r="B996" s="5" t="str">
        <f>IF('FUENTE NO BORRAR'!B1014="","",'FUENTE NO BORRAR'!B1014)</f>
        <v/>
      </c>
      <c r="C996" s="5" t="str">
        <f>IF('FUENTE NO BORRAR'!C1014="","",'FUENTE NO BORRAR'!C1014)</f>
        <v/>
      </c>
      <c r="D996" s="5" t="str">
        <f>IF('FUENTE NO BORRAR'!D1014="","",'FUENTE NO BORRAR'!D1014)</f>
        <v/>
      </c>
      <c r="E996" s="5" t="str">
        <f>IF('FUENTE NO BORRAR'!E1014="","",'FUENTE NO BORRAR'!E1014)</f>
        <v/>
      </c>
      <c r="F996" s="6">
        <f>IF('FUENTE NO BORRAR'!F1014="","",IF('FUENTE NO BORRAR'!$A1014&lt;&gt;"Resultado total",('FUENTE NO BORRAR'!F1014),""))</f>
        <v>333.51</v>
      </c>
      <c r="G996" s="6">
        <f>IF('FUENTE NO BORRAR'!G1014="","",IF('FUENTE NO BORRAR'!$A1014&lt;&gt;"Resultado total",('FUENTE NO BORRAR'!G1014),""))</f>
        <v>333.51</v>
      </c>
      <c r="H996" s="6">
        <f>IF('FUENTE NO BORRAR'!H1014="","",IF('FUENTE NO BORRAR'!$A1014&lt;&gt;"Resultado total",('FUENTE NO BORRAR'!H1014),""))</f>
        <v>333.51</v>
      </c>
      <c r="I996" s="6">
        <f>IF('FUENTE NO BORRAR'!I1014="","",IF('FUENTE NO BORRAR'!$A1014&lt;&gt;"Resultado total",('FUENTE NO BORRAR'!I1014),""))</f>
        <v>0</v>
      </c>
    </row>
    <row r="997" spans="1:9" x14ac:dyDescent="0.2">
      <c r="A997" s="5" t="str">
        <f>IF('FUENTE NO BORRAR'!A1015="","",(IF('FUENTE NO BORRAR'!A1015&lt;&gt;"Resultado total",'FUENTE NO BORRAR'!A1015,"")))</f>
        <v/>
      </c>
      <c r="B997" s="5" t="str">
        <f>IF('FUENTE NO BORRAR'!B1015="","",'FUENTE NO BORRAR'!B1015)</f>
        <v/>
      </c>
      <c r="C997" s="5" t="str">
        <f>IF('FUENTE NO BORRAR'!C1015="","",'FUENTE NO BORRAR'!C1015)</f>
        <v/>
      </c>
      <c r="D997" s="5" t="str">
        <f>IF('FUENTE NO BORRAR'!D1015="","",'FUENTE NO BORRAR'!D1015)</f>
        <v/>
      </c>
      <c r="E997" s="5" t="str">
        <f>IF('FUENTE NO BORRAR'!E1015="","",'FUENTE NO BORRAR'!E1015)</f>
        <v/>
      </c>
      <c r="F997" s="6">
        <f>IF('FUENTE NO BORRAR'!F1015="","",IF('FUENTE NO BORRAR'!$A1015&lt;&gt;"Resultado total",('FUENTE NO BORRAR'!F1015),""))</f>
        <v>0</v>
      </c>
      <c r="G997" s="6">
        <f>IF('FUENTE NO BORRAR'!G1015="","",IF('FUENTE NO BORRAR'!$A1015&lt;&gt;"Resultado total",('FUENTE NO BORRAR'!G1015),""))</f>
        <v>0</v>
      </c>
      <c r="H997" s="6">
        <f>IF('FUENTE NO BORRAR'!H1015="","",IF('FUENTE NO BORRAR'!$A1015&lt;&gt;"Resultado total",('FUENTE NO BORRAR'!H1015),""))</f>
        <v>0</v>
      </c>
      <c r="I997" s="6">
        <f>IF('FUENTE NO BORRAR'!I1015="","",IF('FUENTE NO BORRAR'!$A1015&lt;&gt;"Resultado total",('FUENTE NO BORRAR'!I1015),""))</f>
        <v>0</v>
      </c>
    </row>
    <row r="998" spans="1:9" x14ac:dyDescent="0.2">
      <c r="A998" s="5" t="str">
        <f>IF('FUENTE NO BORRAR'!A1016="","",(IF('FUENTE NO BORRAR'!A1016&lt;&gt;"Resultado total",'FUENTE NO BORRAR'!A1016,"")))</f>
        <v/>
      </c>
      <c r="B998" s="5" t="str">
        <f>IF('FUENTE NO BORRAR'!B1016="","",'FUENTE NO BORRAR'!B1016)</f>
        <v/>
      </c>
      <c r="C998" s="5" t="str">
        <f>IF('FUENTE NO BORRAR'!C1016="","",'FUENTE NO BORRAR'!C1016)</f>
        <v/>
      </c>
      <c r="D998" s="5" t="str">
        <f>IF('FUENTE NO BORRAR'!D1016="","",'FUENTE NO BORRAR'!D1016)</f>
        <v/>
      </c>
      <c r="E998" s="5" t="str">
        <f>IF('FUENTE NO BORRAR'!E1016="","",'FUENTE NO BORRAR'!E1016)</f>
        <v/>
      </c>
      <c r="F998" s="6">
        <f>IF('FUENTE NO BORRAR'!F1016="","",IF('FUENTE NO BORRAR'!$A1016&lt;&gt;"Resultado total",('FUENTE NO BORRAR'!F1016),""))</f>
        <v>1566</v>
      </c>
      <c r="G998" s="6">
        <f>IF('FUENTE NO BORRAR'!G1016="","",IF('FUENTE NO BORRAR'!$A1016&lt;&gt;"Resultado total",('FUENTE NO BORRAR'!G1016),""))</f>
        <v>1566</v>
      </c>
      <c r="H998" s="6">
        <f>IF('FUENTE NO BORRAR'!H1016="","",IF('FUENTE NO BORRAR'!$A1016&lt;&gt;"Resultado total",('FUENTE NO BORRAR'!H1016),""))</f>
        <v>1566</v>
      </c>
      <c r="I998" s="6">
        <f>IF('FUENTE NO BORRAR'!I1016="","",IF('FUENTE NO BORRAR'!$A1016&lt;&gt;"Resultado total",('FUENTE NO BORRAR'!I1016),""))</f>
        <v>0</v>
      </c>
    </row>
    <row r="999" spans="1:9" x14ac:dyDescent="0.2">
      <c r="A999" s="5" t="str">
        <f>IF('FUENTE NO BORRAR'!A1017="","",(IF('FUENTE NO BORRAR'!A1017&lt;&gt;"Resultado total",'FUENTE NO BORRAR'!A1017,"")))</f>
        <v/>
      </c>
      <c r="B999" s="5" t="str">
        <f>IF('FUENTE NO BORRAR'!B1017="","",'FUENTE NO BORRAR'!B1017)</f>
        <v/>
      </c>
      <c r="C999" s="5" t="str">
        <f>IF('FUENTE NO BORRAR'!C1017="","",'FUENTE NO BORRAR'!C1017)</f>
        <v/>
      </c>
      <c r="D999" s="5" t="str">
        <f>IF('FUENTE NO BORRAR'!D1017="","",'FUENTE NO BORRAR'!D1017)</f>
        <v/>
      </c>
      <c r="E999" s="5" t="str">
        <f>IF('FUENTE NO BORRAR'!E1017="","",'FUENTE NO BORRAR'!E1017)</f>
        <v/>
      </c>
      <c r="F999" s="6">
        <f>IF('FUENTE NO BORRAR'!F1017="","",IF('FUENTE NO BORRAR'!$A1017&lt;&gt;"Resultado total",('FUENTE NO BORRAR'!F1017),""))</f>
        <v>670</v>
      </c>
      <c r="G999" s="6">
        <f>IF('FUENTE NO BORRAR'!G1017="","",IF('FUENTE NO BORRAR'!$A1017&lt;&gt;"Resultado total",('FUENTE NO BORRAR'!G1017),""))</f>
        <v>670</v>
      </c>
      <c r="H999" s="6">
        <f>IF('FUENTE NO BORRAR'!H1017="","",IF('FUENTE NO BORRAR'!$A1017&lt;&gt;"Resultado total",('FUENTE NO BORRAR'!H1017),""))</f>
        <v>670</v>
      </c>
      <c r="I999" s="6">
        <f>IF('FUENTE NO BORRAR'!I1017="","",IF('FUENTE NO BORRAR'!$A1017&lt;&gt;"Resultado total",('FUENTE NO BORRAR'!I1017),""))</f>
        <v>0</v>
      </c>
    </row>
    <row r="1000" spans="1:9" x14ac:dyDescent="0.2">
      <c r="A1000" s="5" t="str">
        <f>IF('FUENTE NO BORRAR'!A1018="","",(IF('FUENTE NO BORRAR'!A1018&lt;&gt;"Resultado total",'FUENTE NO BORRAR'!A1018,"")))</f>
        <v/>
      </c>
      <c r="B1000" s="5" t="str">
        <f>IF('FUENTE NO BORRAR'!B1018="","",'FUENTE NO BORRAR'!B1018)</f>
        <v/>
      </c>
      <c r="C1000" s="5" t="str">
        <f>IF('FUENTE NO BORRAR'!C1018="","",'FUENTE NO BORRAR'!C1018)</f>
        <v/>
      </c>
      <c r="D1000" s="5" t="str">
        <f>IF('FUENTE NO BORRAR'!D1018="","",'FUENTE NO BORRAR'!D1018)</f>
        <v/>
      </c>
      <c r="E1000" s="5" t="str">
        <f>IF('FUENTE NO BORRAR'!E1018="","",'FUENTE NO BORRAR'!E1018)</f>
        <v/>
      </c>
      <c r="F1000" s="6">
        <f>IF('FUENTE NO BORRAR'!F1018="","",IF('FUENTE NO BORRAR'!$A1018&lt;&gt;"Resultado total",('FUENTE NO BORRAR'!F1018),""))</f>
        <v>3248</v>
      </c>
      <c r="G1000" s="6">
        <f>IF('FUENTE NO BORRAR'!G1018="","",IF('FUENTE NO BORRAR'!$A1018&lt;&gt;"Resultado total",('FUENTE NO BORRAR'!G1018),""))</f>
        <v>3248</v>
      </c>
      <c r="H1000" s="6">
        <f>IF('FUENTE NO BORRAR'!H1018="","",IF('FUENTE NO BORRAR'!$A1018&lt;&gt;"Resultado total",('FUENTE NO BORRAR'!H1018),""))</f>
        <v>3248</v>
      </c>
      <c r="I1000" s="6">
        <f>IF('FUENTE NO BORRAR'!I1018="","",IF('FUENTE NO BORRAR'!$A1018&lt;&gt;"Resultado total",('FUENTE NO BORRAR'!I1018),""))</f>
        <v>0</v>
      </c>
    </row>
    <row r="1001" spans="1:9" x14ac:dyDescent="0.2">
      <c r="A1001" s="5" t="str">
        <f>IF('FUENTE NO BORRAR'!A1019="","",(IF('FUENTE NO BORRAR'!A1019&lt;&gt;"Resultado total",'FUENTE NO BORRAR'!A1019,"")))</f>
        <v/>
      </c>
      <c r="B1001" s="5" t="str">
        <f>IF('FUENTE NO BORRAR'!B1019="","",'FUENTE NO BORRAR'!B1019)</f>
        <v/>
      </c>
      <c r="C1001" s="5" t="str">
        <f>IF('FUENTE NO BORRAR'!C1019="","",'FUENTE NO BORRAR'!C1019)</f>
        <v/>
      </c>
      <c r="D1001" s="5" t="str">
        <f>IF('FUENTE NO BORRAR'!D1019="","",'FUENTE NO BORRAR'!D1019)</f>
        <v/>
      </c>
      <c r="E1001" s="5" t="str">
        <f>IF('FUENTE NO BORRAR'!E1019="","",'FUENTE NO BORRAR'!E1019)</f>
        <v/>
      </c>
      <c r="F1001" s="6">
        <f>IF('FUENTE NO BORRAR'!F1019="","",IF('FUENTE NO BORRAR'!$A1019&lt;&gt;"Resultado total",('FUENTE NO BORRAR'!F1019),""))</f>
        <v>292952.75</v>
      </c>
      <c r="G1001" s="6">
        <f>IF('FUENTE NO BORRAR'!G1019="","",IF('FUENTE NO BORRAR'!$A1019&lt;&gt;"Resultado total",('FUENTE NO BORRAR'!G1019),""))</f>
        <v>292952.75</v>
      </c>
      <c r="H1001" s="6">
        <f>IF('FUENTE NO BORRAR'!H1019="","",IF('FUENTE NO BORRAR'!$A1019&lt;&gt;"Resultado total",('FUENTE NO BORRAR'!H1019),""))</f>
        <v>252352.75</v>
      </c>
      <c r="I1001" s="6">
        <f>IF('FUENTE NO BORRAR'!I1019="","",IF('FUENTE NO BORRAR'!$A1019&lt;&gt;"Resultado total",('FUENTE NO BORRAR'!I1019),""))</f>
        <v>0</v>
      </c>
    </row>
    <row r="1002" spans="1:9" x14ac:dyDescent="0.2">
      <c r="A1002" s="5" t="str">
        <f>IF('FUENTE NO BORRAR'!A1020="","",(IF('FUENTE NO BORRAR'!A1020&lt;&gt;"Resultado total",'FUENTE NO BORRAR'!A1020,"")))</f>
        <v/>
      </c>
      <c r="B1002" s="5" t="str">
        <f>IF('FUENTE NO BORRAR'!B1020="","",'FUENTE NO BORRAR'!B1020)</f>
        <v/>
      </c>
      <c r="C1002" s="5" t="str">
        <f>IF('FUENTE NO BORRAR'!C1020="","",'FUENTE NO BORRAR'!C1020)</f>
        <v/>
      </c>
      <c r="D1002" s="5" t="str">
        <f>IF('FUENTE NO BORRAR'!D1020="","",'FUENTE NO BORRAR'!D1020)</f>
        <v/>
      </c>
      <c r="E1002" s="5" t="str">
        <f>IF('FUENTE NO BORRAR'!E1020="","",'FUENTE NO BORRAR'!E1020)</f>
        <v/>
      </c>
      <c r="F1002" s="6">
        <f>IF('FUENTE NO BORRAR'!F1020="","",IF('FUENTE NO BORRAR'!$A1020&lt;&gt;"Resultado total",('FUENTE NO BORRAR'!F1020),""))</f>
        <v>659.98</v>
      </c>
      <c r="G1002" s="6">
        <f>IF('FUENTE NO BORRAR'!G1020="","",IF('FUENTE NO BORRAR'!$A1020&lt;&gt;"Resultado total",('FUENTE NO BORRAR'!G1020),""))</f>
        <v>659.98</v>
      </c>
      <c r="H1002" s="6">
        <f>IF('FUENTE NO BORRAR'!H1020="","",IF('FUENTE NO BORRAR'!$A1020&lt;&gt;"Resultado total",('FUENTE NO BORRAR'!H1020),""))</f>
        <v>659.98</v>
      </c>
      <c r="I1002" s="6">
        <f>IF('FUENTE NO BORRAR'!I1020="","",IF('FUENTE NO BORRAR'!$A1020&lt;&gt;"Resultado total",('FUENTE NO BORRAR'!I1020),""))</f>
        <v>0</v>
      </c>
    </row>
    <row r="1003" spans="1:9" x14ac:dyDescent="0.2">
      <c r="A1003" s="5" t="str">
        <f>IF('FUENTE NO BORRAR'!A1021="","",(IF('FUENTE NO BORRAR'!A1021&lt;&gt;"Resultado total",'FUENTE NO BORRAR'!A1021,"")))</f>
        <v/>
      </c>
      <c r="B1003" s="5" t="str">
        <f>IF('FUENTE NO BORRAR'!B1021="","",'FUENTE NO BORRAR'!B1021)</f>
        <v/>
      </c>
      <c r="C1003" s="5" t="str">
        <f>IF('FUENTE NO BORRAR'!C1021="","",'FUENTE NO BORRAR'!C1021)</f>
        <v/>
      </c>
      <c r="D1003" s="5" t="str">
        <f>IF('FUENTE NO BORRAR'!D1021="","",'FUENTE NO BORRAR'!D1021)</f>
        <v/>
      </c>
      <c r="E1003" s="5" t="str">
        <f>IF('FUENTE NO BORRAR'!E1021="","",'FUENTE NO BORRAR'!E1021)</f>
        <v/>
      </c>
      <c r="F1003" s="6">
        <f>IF('FUENTE NO BORRAR'!F1021="","",IF('FUENTE NO BORRAR'!$A1021&lt;&gt;"Resultado total",('FUENTE NO BORRAR'!F1021),""))</f>
        <v>193108.96</v>
      </c>
      <c r="G1003" s="6">
        <f>IF('FUENTE NO BORRAR'!G1021="","",IF('FUENTE NO BORRAR'!$A1021&lt;&gt;"Resultado total",('FUENTE NO BORRAR'!G1021),""))</f>
        <v>193108.96</v>
      </c>
      <c r="H1003" s="6">
        <f>IF('FUENTE NO BORRAR'!H1021="","",IF('FUENTE NO BORRAR'!$A1021&lt;&gt;"Resultado total",('FUENTE NO BORRAR'!H1021),""))</f>
        <v>188783.96</v>
      </c>
      <c r="I1003" s="6">
        <f>IF('FUENTE NO BORRAR'!I1021="","",IF('FUENTE NO BORRAR'!$A1021&lt;&gt;"Resultado total",('FUENTE NO BORRAR'!I1021),""))</f>
        <v>0</v>
      </c>
    </row>
    <row r="1004" spans="1:9" x14ac:dyDescent="0.2">
      <c r="A1004" s="5" t="str">
        <f>IF('FUENTE NO BORRAR'!A1022="","",(IF('FUENTE NO BORRAR'!A1022&lt;&gt;"Resultado total",'FUENTE NO BORRAR'!A1022,"")))</f>
        <v/>
      </c>
      <c r="B1004" s="5" t="str">
        <f>IF('FUENTE NO BORRAR'!B1022="","",'FUENTE NO BORRAR'!B1022)</f>
        <v/>
      </c>
      <c r="C1004" s="5" t="str">
        <f>IF('FUENTE NO BORRAR'!C1022="","",'FUENTE NO BORRAR'!C1022)</f>
        <v/>
      </c>
      <c r="D1004" s="5" t="str">
        <f>IF('FUENTE NO BORRAR'!D1022="","",'FUENTE NO BORRAR'!D1022)</f>
        <v/>
      </c>
      <c r="E1004" s="5" t="str">
        <f>IF('FUENTE NO BORRAR'!E1022="","",'FUENTE NO BORRAR'!E1022)</f>
        <v/>
      </c>
      <c r="F1004" s="6">
        <f>IF('FUENTE NO BORRAR'!F1022="","",IF('FUENTE NO BORRAR'!$A1022&lt;&gt;"Resultado total",('FUENTE NO BORRAR'!F1022),""))</f>
        <v>3250</v>
      </c>
      <c r="G1004" s="6">
        <f>IF('FUENTE NO BORRAR'!G1022="","",IF('FUENTE NO BORRAR'!$A1022&lt;&gt;"Resultado total",('FUENTE NO BORRAR'!G1022),""))</f>
        <v>3250</v>
      </c>
      <c r="H1004" s="6">
        <f>IF('FUENTE NO BORRAR'!H1022="","",IF('FUENTE NO BORRAR'!$A1022&lt;&gt;"Resultado total",('FUENTE NO BORRAR'!H1022),""))</f>
        <v>3250</v>
      </c>
      <c r="I1004" s="6">
        <f>IF('FUENTE NO BORRAR'!I1022="","",IF('FUENTE NO BORRAR'!$A1022&lt;&gt;"Resultado total",('FUENTE NO BORRAR'!I1022),""))</f>
        <v>0</v>
      </c>
    </row>
    <row r="1005" spans="1:9" x14ac:dyDescent="0.2">
      <c r="A1005" s="5" t="str">
        <f>IF('FUENTE NO BORRAR'!A1023="","",(IF('FUENTE NO BORRAR'!A1023&lt;&gt;"Resultado total",'FUENTE NO BORRAR'!A1023,"")))</f>
        <v/>
      </c>
      <c r="B1005" s="5" t="str">
        <f>IF('FUENTE NO BORRAR'!B1023="","",'FUENTE NO BORRAR'!B1023)</f>
        <v/>
      </c>
      <c r="C1005" s="5" t="str">
        <f>IF('FUENTE NO BORRAR'!C1023="","",'FUENTE NO BORRAR'!C1023)</f>
        <v/>
      </c>
      <c r="D1005" s="5" t="str">
        <f>IF('FUENTE NO BORRAR'!D1023="","",'FUENTE NO BORRAR'!D1023)</f>
        <v/>
      </c>
      <c r="E1005" s="5" t="str">
        <f>IF('FUENTE NO BORRAR'!E1023="","",'FUENTE NO BORRAR'!E1023)</f>
        <v/>
      </c>
      <c r="F1005" s="6">
        <f>IF('FUENTE NO BORRAR'!F1023="","",IF('FUENTE NO BORRAR'!$A1023&lt;&gt;"Resultado total",('FUENTE NO BORRAR'!F1023),""))</f>
        <v>27857.13</v>
      </c>
      <c r="G1005" s="6">
        <f>IF('FUENTE NO BORRAR'!G1023="","",IF('FUENTE NO BORRAR'!$A1023&lt;&gt;"Resultado total",('FUENTE NO BORRAR'!G1023),""))</f>
        <v>27857.13</v>
      </c>
      <c r="H1005" s="6">
        <f>IF('FUENTE NO BORRAR'!H1023="","",IF('FUENTE NO BORRAR'!$A1023&lt;&gt;"Resultado total",('FUENTE NO BORRAR'!H1023),""))</f>
        <v>27857.13</v>
      </c>
      <c r="I1005" s="6">
        <f>IF('FUENTE NO BORRAR'!I1023="","",IF('FUENTE NO BORRAR'!$A1023&lt;&gt;"Resultado total",('FUENTE NO BORRAR'!I1023),""))</f>
        <v>0</v>
      </c>
    </row>
    <row r="1006" spans="1:9" x14ac:dyDescent="0.2">
      <c r="A1006" s="5" t="str">
        <f>IF('FUENTE NO BORRAR'!A1024="","",(IF('FUENTE NO BORRAR'!A1024&lt;&gt;"Resultado total",'FUENTE NO BORRAR'!A1024,"")))</f>
        <v/>
      </c>
      <c r="B1006" s="5" t="str">
        <f>IF('FUENTE NO BORRAR'!B1024="","",'FUENTE NO BORRAR'!B1024)</f>
        <v/>
      </c>
      <c r="C1006" s="5" t="str">
        <f>IF('FUENTE NO BORRAR'!C1024="","",'FUENTE NO BORRAR'!C1024)</f>
        <v/>
      </c>
      <c r="D1006" s="5" t="str">
        <f>IF('FUENTE NO BORRAR'!D1024="","",'FUENTE NO BORRAR'!D1024)</f>
        <v/>
      </c>
      <c r="E1006" s="5" t="str">
        <f>IF('FUENTE NO BORRAR'!E1024="","",'FUENTE NO BORRAR'!E1024)</f>
        <v/>
      </c>
      <c r="F1006" s="6">
        <f>IF('FUENTE NO BORRAR'!F1024="","",IF('FUENTE NO BORRAR'!$A1024&lt;&gt;"Resultado total",('FUENTE NO BORRAR'!F1024),""))</f>
        <v>2099371.08</v>
      </c>
      <c r="G1006" s="6">
        <f>IF('FUENTE NO BORRAR'!G1024="","",IF('FUENTE NO BORRAR'!$A1024&lt;&gt;"Resultado total",('FUENTE NO BORRAR'!G1024),""))</f>
        <v>2099371.08</v>
      </c>
      <c r="H1006" s="6">
        <f>IF('FUENTE NO BORRAR'!H1024="","",IF('FUENTE NO BORRAR'!$A1024&lt;&gt;"Resultado total",('FUENTE NO BORRAR'!H1024),""))</f>
        <v>1924423.49</v>
      </c>
      <c r="I1006" s="6">
        <f>IF('FUENTE NO BORRAR'!I1024="","",IF('FUENTE NO BORRAR'!$A1024&lt;&gt;"Resultado total",('FUENTE NO BORRAR'!I1024),""))</f>
        <v>0</v>
      </c>
    </row>
    <row r="1007" spans="1:9" x14ac:dyDescent="0.2">
      <c r="A1007" s="5" t="str">
        <f>IF('FUENTE NO BORRAR'!A1025="","",(IF('FUENTE NO BORRAR'!A1025&lt;&gt;"Resultado total",'FUENTE NO BORRAR'!A1025,"")))</f>
        <v/>
      </c>
      <c r="B1007" s="5" t="str">
        <f>IF('FUENTE NO BORRAR'!B1025="","",'FUENTE NO BORRAR'!B1025)</f>
        <v/>
      </c>
      <c r="C1007" s="5" t="str">
        <f>IF('FUENTE NO BORRAR'!C1025="","",'FUENTE NO BORRAR'!C1025)</f>
        <v/>
      </c>
      <c r="D1007" s="5" t="str">
        <f>IF('FUENTE NO BORRAR'!D1025="","",'FUENTE NO BORRAR'!D1025)</f>
        <v/>
      </c>
      <c r="E1007" s="5" t="str">
        <f>IF('FUENTE NO BORRAR'!E1025="","",'FUENTE NO BORRAR'!E1025)</f>
        <v/>
      </c>
      <c r="F1007" s="6">
        <f>IF('FUENTE NO BORRAR'!F1025="","",IF('FUENTE NO BORRAR'!$A1025&lt;&gt;"Resultado total",('FUENTE NO BORRAR'!F1025),""))</f>
        <v>992347.18</v>
      </c>
      <c r="G1007" s="6">
        <f>IF('FUENTE NO BORRAR'!G1025="","",IF('FUENTE NO BORRAR'!$A1025&lt;&gt;"Resultado total",('FUENTE NO BORRAR'!G1025),""))</f>
        <v>992347.18</v>
      </c>
      <c r="H1007" s="6">
        <f>IF('FUENTE NO BORRAR'!H1025="","",IF('FUENTE NO BORRAR'!$A1025&lt;&gt;"Resultado total",('FUENTE NO BORRAR'!H1025),""))</f>
        <v>916947.18</v>
      </c>
      <c r="I1007" s="6">
        <f>IF('FUENTE NO BORRAR'!I1025="","",IF('FUENTE NO BORRAR'!$A1025&lt;&gt;"Resultado total",('FUENTE NO BORRAR'!I1025),""))</f>
        <v>0</v>
      </c>
    </row>
    <row r="1008" spans="1:9" x14ac:dyDescent="0.2">
      <c r="A1008" s="5" t="str">
        <f>IF('FUENTE NO BORRAR'!A1026="","",(IF('FUENTE NO BORRAR'!A1026&lt;&gt;"Resultado total",'FUENTE NO BORRAR'!A1026,"")))</f>
        <v/>
      </c>
      <c r="B1008" s="5" t="str">
        <f>IF('FUENTE NO BORRAR'!B1026="","",'FUENTE NO BORRAR'!B1026)</f>
        <v/>
      </c>
      <c r="C1008" s="5" t="str">
        <f>IF('FUENTE NO BORRAR'!C1026="","",'FUENTE NO BORRAR'!C1026)</f>
        <v/>
      </c>
      <c r="D1008" s="5" t="str">
        <f>IF('FUENTE NO BORRAR'!D1026="","",'FUENTE NO BORRAR'!D1026)</f>
        <v/>
      </c>
      <c r="E1008" s="5" t="str">
        <f>IF('FUENTE NO BORRAR'!E1026="","",'FUENTE NO BORRAR'!E1026)</f>
        <v/>
      </c>
      <c r="F1008" s="6">
        <f>IF('FUENTE NO BORRAR'!F1026="","",IF('FUENTE NO BORRAR'!$A1026&lt;&gt;"Resultado total",('FUENTE NO BORRAR'!F1026),""))</f>
        <v>118606.71</v>
      </c>
      <c r="G1008" s="6">
        <f>IF('FUENTE NO BORRAR'!G1026="","",IF('FUENTE NO BORRAR'!$A1026&lt;&gt;"Resultado total",('FUENTE NO BORRAR'!G1026),""))</f>
        <v>118606.71</v>
      </c>
      <c r="H1008" s="6">
        <f>IF('FUENTE NO BORRAR'!H1026="","",IF('FUENTE NO BORRAR'!$A1026&lt;&gt;"Resultado total",('FUENTE NO BORRAR'!H1026),""))</f>
        <v>95655.53</v>
      </c>
      <c r="I1008" s="6">
        <f>IF('FUENTE NO BORRAR'!I1026="","",IF('FUENTE NO BORRAR'!$A1026&lt;&gt;"Resultado total",('FUENTE NO BORRAR'!I1026),""))</f>
        <v>0</v>
      </c>
    </row>
    <row r="1009" spans="1:9" x14ac:dyDescent="0.2">
      <c r="A1009" s="5" t="str">
        <f>IF('FUENTE NO BORRAR'!A1027="","",(IF('FUENTE NO BORRAR'!A1027&lt;&gt;"Resultado total",'FUENTE NO BORRAR'!A1027,"")))</f>
        <v/>
      </c>
      <c r="B1009" s="5" t="str">
        <f>IF('FUENTE NO BORRAR'!B1027="","",'FUENTE NO BORRAR'!B1027)</f>
        <v/>
      </c>
      <c r="C1009" s="5" t="str">
        <f>IF('FUENTE NO BORRAR'!C1027="","",'FUENTE NO BORRAR'!C1027)</f>
        <v/>
      </c>
      <c r="D1009" s="5" t="str">
        <f>IF('FUENTE NO BORRAR'!D1027="","",'FUENTE NO BORRAR'!D1027)</f>
        <v/>
      </c>
      <c r="E1009" s="5" t="str">
        <f>IF('FUENTE NO BORRAR'!E1027="","",'FUENTE NO BORRAR'!E1027)</f>
        <v/>
      </c>
      <c r="F1009" s="6">
        <f>IF('FUENTE NO BORRAR'!F1027="","",IF('FUENTE NO BORRAR'!$A1027&lt;&gt;"Resultado total",('FUENTE NO BORRAR'!F1027),""))</f>
        <v>348</v>
      </c>
      <c r="G1009" s="6">
        <f>IF('FUENTE NO BORRAR'!G1027="","",IF('FUENTE NO BORRAR'!$A1027&lt;&gt;"Resultado total",('FUENTE NO BORRAR'!G1027),""))</f>
        <v>348</v>
      </c>
      <c r="H1009" s="6">
        <f>IF('FUENTE NO BORRAR'!H1027="","",IF('FUENTE NO BORRAR'!$A1027&lt;&gt;"Resultado total",('FUENTE NO BORRAR'!H1027),""))</f>
        <v>348</v>
      </c>
      <c r="I1009" s="6">
        <f>IF('FUENTE NO BORRAR'!I1027="","",IF('FUENTE NO BORRAR'!$A1027&lt;&gt;"Resultado total",('FUENTE NO BORRAR'!I1027),""))</f>
        <v>0</v>
      </c>
    </row>
    <row r="1010" spans="1:9" x14ac:dyDescent="0.2">
      <c r="A1010" s="5" t="str">
        <f>IF('FUENTE NO BORRAR'!A1028="","",(IF('FUENTE NO BORRAR'!A1028&lt;&gt;"Resultado total",'FUENTE NO BORRAR'!A1028,"")))</f>
        <v/>
      </c>
      <c r="B1010" s="5" t="str">
        <f>IF('FUENTE NO BORRAR'!B1028="","",'FUENTE NO BORRAR'!B1028)</f>
        <v/>
      </c>
      <c r="C1010" s="5" t="str">
        <f>IF('FUENTE NO BORRAR'!C1028="","",'FUENTE NO BORRAR'!C1028)</f>
        <v/>
      </c>
      <c r="D1010" s="5" t="str">
        <f>IF('FUENTE NO BORRAR'!D1028="","",'FUENTE NO BORRAR'!D1028)</f>
        <v/>
      </c>
      <c r="E1010" s="5" t="str">
        <f>IF('FUENTE NO BORRAR'!E1028="","",'FUENTE NO BORRAR'!E1028)</f>
        <v/>
      </c>
      <c r="F1010" s="6">
        <f>IF('FUENTE NO BORRAR'!F1028="","",IF('FUENTE NO BORRAR'!$A1028&lt;&gt;"Resultado total",('FUENTE NO BORRAR'!F1028),""))</f>
        <v>2320</v>
      </c>
      <c r="G1010" s="6">
        <f>IF('FUENTE NO BORRAR'!G1028="","",IF('FUENTE NO BORRAR'!$A1028&lt;&gt;"Resultado total",('FUENTE NO BORRAR'!G1028),""))</f>
        <v>2320</v>
      </c>
      <c r="H1010" s="6">
        <f>IF('FUENTE NO BORRAR'!H1028="","",IF('FUENTE NO BORRAR'!$A1028&lt;&gt;"Resultado total",('FUENTE NO BORRAR'!H1028),""))</f>
        <v>2320</v>
      </c>
      <c r="I1010" s="6">
        <f>IF('FUENTE NO BORRAR'!I1028="","",IF('FUENTE NO BORRAR'!$A1028&lt;&gt;"Resultado total",('FUENTE NO BORRAR'!I1028),""))</f>
        <v>0</v>
      </c>
    </row>
    <row r="1011" spans="1:9" x14ac:dyDescent="0.2">
      <c r="A1011" s="5" t="str">
        <f>IF('FUENTE NO BORRAR'!A1029="","",(IF('FUENTE NO BORRAR'!A1029&lt;&gt;"Resultado total",'FUENTE NO BORRAR'!A1029,"")))</f>
        <v/>
      </c>
      <c r="B1011" s="5" t="str">
        <f>IF('FUENTE NO BORRAR'!B1029="","",'FUENTE NO BORRAR'!B1029)</f>
        <v/>
      </c>
      <c r="C1011" s="5" t="str">
        <f>IF('FUENTE NO BORRAR'!C1029="","",'FUENTE NO BORRAR'!C1029)</f>
        <v/>
      </c>
      <c r="D1011" s="5" t="str">
        <f>IF('FUENTE NO BORRAR'!D1029="","",'FUENTE NO BORRAR'!D1029)</f>
        <v/>
      </c>
      <c r="E1011" s="5" t="str">
        <f>IF('FUENTE NO BORRAR'!E1029="","",'FUENTE NO BORRAR'!E1029)</f>
        <v/>
      </c>
      <c r="F1011" s="6">
        <f>IF('FUENTE NO BORRAR'!F1029="","",IF('FUENTE NO BORRAR'!$A1029&lt;&gt;"Resultado total",('FUENTE NO BORRAR'!F1029),""))</f>
        <v>1102</v>
      </c>
      <c r="G1011" s="6">
        <f>IF('FUENTE NO BORRAR'!G1029="","",IF('FUENTE NO BORRAR'!$A1029&lt;&gt;"Resultado total",('FUENTE NO BORRAR'!G1029),""))</f>
        <v>1102</v>
      </c>
      <c r="H1011" s="6">
        <f>IF('FUENTE NO BORRAR'!H1029="","",IF('FUENTE NO BORRAR'!$A1029&lt;&gt;"Resultado total",('FUENTE NO BORRAR'!H1029),""))</f>
        <v>1102</v>
      </c>
      <c r="I1011" s="6">
        <f>IF('FUENTE NO BORRAR'!I1029="","",IF('FUENTE NO BORRAR'!$A1029&lt;&gt;"Resultado total",('FUENTE NO BORRAR'!I1029),""))</f>
        <v>0</v>
      </c>
    </row>
    <row r="1012" spans="1:9" x14ac:dyDescent="0.2">
      <c r="A1012" s="5" t="str">
        <f>IF('FUENTE NO BORRAR'!A1030="","",(IF('FUENTE NO BORRAR'!A1030&lt;&gt;"Resultado total",'FUENTE NO BORRAR'!A1030,"")))</f>
        <v/>
      </c>
      <c r="B1012" s="5" t="str">
        <f>IF('FUENTE NO BORRAR'!B1030="","",'FUENTE NO BORRAR'!B1030)</f>
        <v/>
      </c>
      <c r="C1012" s="5" t="str">
        <f>IF('FUENTE NO BORRAR'!C1030="","",'FUENTE NO BORRAR'!C1030)</f>
        <v/>
      </c>
      <c r="D1012" s="5" t="str">
        <f>IF('FUENTE NO BORRAR'!D1030="","",'FUENTE NO BORRAR'!D1030)</f>
        <v/>
      </c>
      <c r="E1012" s="5" t="str">
        <f>IF('FUENTE NO BORRAR'!E1030="","",'FUENTE NO BORRAR'!E1030)</f>
        <v/>
      </c>
      <c r="F1012" s="6">
        <f>IF('FUENTE NO BORRAR'!F1030="","",IF('FUENTE NO BORRAR'!$A1030&lt;&gt;"Resultado total",('FUENTE NO BORRAR'!F1030),""))</f>
        <v>4466</v>
      </c>
      <c r="G1012" s="6">
        <f>IF('FUENTE NO BORRAR'!G1030="","",IF('FUENTE NO BORRAR'!$A1030&lt;&gt;"Resultado total",('FUENTE NO BORRAR'!G1030),""))</f>
        <v>4466</v>
      </c>
      <c r="H1012" s="6">
        <f>IF('FUENTE NO BORRAR'!H1030="","",IF('FUENTE NO BORRAR'!$A1030&lt;&gt;"Resultado total",('FUENTE NO BORRAR'!H1030),""))</f>
        <v>4466</v>
      </c>
      <c r="I1012" s="6">
        <f>IF('FUENTE NO BORRAR'!I1030="","",IF('FUENTE NO BORRAR'!$A1030&lt;&gt;"Resultado total",('FUENTE NO BORRAR'!I1030),""))</f>
        <v>0</v>
      </c>
    </row>
    <row r="1013" spans="1:9" x14ac:dyDescent="0.2">
      <c r="A1013" s="5" t="str">
        <f>IF('FUENTE NO BORRAR'!A1031="","",(IF('FUENTE NO BORRAR'!A1031&lt;&gt;"Resultado total",'FUENTE NO BORRAR'!A1031,"")))</f>
        <v/>
      </c>
      <c r="B1013" s="5" t="str">
        <f>IF('FUENTE NO BORRAR'!B1031="","",'FUENTE NO BORRAR'!B1031)</f>
        <v/>
      </c>
      <c r="C1013" s="5" t="str">
        <f>IF('FUENTE NO BORRAR'!C1031="","",'FUENTE NO BORRAR'!C1031)</f>
        <v/>
      </c>
      <c r="D1013" s="5" t="str">
        <f>IF('FUENTE NO BORRAR'!D1031="","",'FUENTE NO BORRAR'!D1031)</f>
        <v/>
      </c>
      <c r="E1013" s="5" t="str">
        <f>IF('FUENTE NO BORRAR'!E1031="","",'FUENTE NO BORRAR'!E1031)</f>
        <v/>
      </c>
      <c r="F1013" s="6">
        <f>IF('FUENTE NO BORRAR'!F1031="","",IF('FUENTE NO BORRAR'!$A1031&lt;&gt;"Resultado total",('FUENTE NO BORRAR'!F1031),""))</f>
        <v>0</v>
      </c>
      <c r="G1013" s="6">
        <f>IF('FUENTE NO BORRAR'!G1031="","",IF('FUENTE NO BORRAR'!$A1031&lt;&gt;"Resultado total",('FUENTE NO BORRAR'!G1031),""))</f>
        <v>0</v>
      </c>
      <c r="H1013" s="6">
        <f>IF('FUENTE NO BORRAR'!H1031="","",IF('FUENTE NO BORRAR'!$A1031&lt;&gt;"Resultado total",('FUENTE NO BORRAR'!H1031),""))</f>
        <v>0</v>
      </c>
      <c r="I1013" s="6">
        <f>IF('FUENTE NO BORRAR'!I1031="","",IF('FUENTE NO BORRAR'!$A1031&lt;&gt;"Resultado total",('FUENTE NO BORRAR'!I1031),""))</f>
        <v>0</v>
      </c>
    </row>
    <row r="1014" spans="1:9" x14ac:dyDescent="0.2">
      <c r="A1014" s="5" t="str">
        <f>IF('FUENTE NO BORRAR'!A1032="","",(IF('FUENTE NO BORRAR'!A1032&lt;&gt;"Resultado total",'FUENTE NO BORRAR'!A1032,"")))</f>
        <v/>
      </c>
      <c r="B1014" s="5" t="str">
        <f>IF('FUENTE NO BORRAR'!B1032="","",'FUENTE NO BORRAR'!B1032)</f>
        <v/>
      </c>
      <c r="C1014" s="5" t="str">
        <f>IF('FUENTE NO BORRAR'!C1032="","",'FUENTE NO BORRAR'!C1032)</f>
        <v/>
      </c>
      <c r="D1014" s="5" t="str">
        <f>IF('FUENTE NO BORRAR'!D1032="","",'FUENTE NO BORRAR'!D1032)</f>
        <v/>
      </c>
      <c r="E1014" s="5" t="str">
        <f>IF('FUENTE NO BORRAR'!E1032="","",'FUENTE NO BORRAR'!E1032)</f>
        <v/>
      </c>
      <c r="F1014" s="6">
        <f>IF('FUENTE NO BORRAR'!F1032="","",IF('FUENTE NO BORRAR'!$A1032&lt;&gt;"Resultado total",('FUENTE NO BORRAR'!F1032),""))</f>
        <v>27140</v>
      </c>
      <c r="G1014" s="6">
        <f>IF('FUENTE NO BORRAR'!G1032="","",IF('FUENTE NO BORRAR'!$A1032&lt;&gt;"Resultado total",('FUENTE NO BORRAR'!G1032),""))</f>
        <v>27140</v>
      </c>
      <c r="H1014" s="6">
        <f>IF('FUENTE NO BORRAR'!H1032="","",IF('FUENTE NO BORRAR'!$A1032&lt;&gt;"Resultado total",('FUENTE NO BORRAR'!H1032),""))</f>
        <v>8000</v>
      </c>
      <c r="I1014" s="6">
        <f>IF('FUENTE NO BORRAR'!I1032="","",IF('FUENTE NO BORRAR'!$A1032&lt;&gt;"Resultado total",('FUENTE NO BORRAR'!I1032),""))</f>
        <v>0</v>
      </c>
    </row>
    <row r="1015" spans="1:9" x14ac:dyDescent="0.2">
      <c r="A1015" s="5" t="str">
        <f>IF('FUENTE NO BORRAR'!A1033="","",(IF('FUENTE NO BORRAR'!A1033&lt;&gt;"Resultado total",'FUENTE NO BORRAR'!A1033,"")))</f>
        <v/>
      </c>
      <c r="B1015" s="5" t="str">
        <f>IF('FUENTE NO BORRAR'!B1033="","",'FUENTE NO BORRAR'!B1033)</f>
        <v/>
      </c>
      <c r="C1015" s="5" t="str">
        <f>IF('FUENTE NO BORRAR'!C1033="","",'FUENTE NO BORRAR'!C1033)</f>
        <v/>
      </c>
      <c r="D1015" s="5" t="str">
        <f>IF('FUENTE NO BORRAR'!D1033="","",'FUENTE NO BORRAR'!D1033)</f>
        <v/>
      </c>
      <c r="E1015" s="5" t="str">
        <f>IF('FUENTE NO BORRAR'!E1033="","",'FUENTE NO BORRAR'!E1033)</f>
        <v/>
      </c>
      <c r="F1015" s="6">
        <f>IF('FUENTE NO BORRAR'!F1033="","",IF('FUENTE NO BORRAR'!$A1033&lt;&gt;"Resultado total",('FUENTE NO BORRAR'!F1033),""))</f>
        <v>650</v>
      </c>
      <c r="G1015" s="6">
        <f>IF('FUENTE NO BORRAR'!G1033="","",IF('FUENTE NO BORRAR'!$A1033&lt;&gt;"Resultado total",('FUENTE NO BORRAR'!G1033),""))</f>
        <v>650</v>
      </c>
      <c r="H1015" s="6">
        <f>IF('FUENTE NO BORRAR'!H1033="","",IF('FUENTE NO BORRAR'!$A1033&lt;&gt;"Resultado total",('FUENTE NO BORRAR'!H1033),""))</f>
        <v>650</v>
      </c>
      <c r="I1015" s="6">
        <f>IF('FUENTE NO BORRAR'!I1033="","",IF('FUENTE NO BORRAR'!$A1033&lt;&gt;"Resultado total",('FUENTE NO BORRAR'!I1033),""))</f>
        <v>0</v>
      </c>
    </row>
    <row r="1016" spans="1:9" x14ac:dyDescent="0.2">
      <c r="A1016" s="5" t="str">
        <f>IF('FUENTE NO BORRAR'!A1034="","",(IF('FUENTE NO BORRAR'!A1034&lt;&gt;"Resultado total",'FUENTE NO BORRAR'!A1034,"")))</f>
        <v/>
      </c>
      <c r="B1016" s="5" t="str">
        <f>IF('FUENTE NO BORRAR'!B1034="","",'FUENTE NO BORRAR'!B1034)</f>
        <v/>
      </c>
      <c r="C1016" s="5" t="str">
        <f>IF('FUENTE NO BORRAR'!C1034="","",'FUENTE NO BORRAR'!C1034)</f>
        <v/>
      </c>
      <c r="D1016" s="5" t="str">
        <f>IF('FUENTE NO BORRAR'!D1034="","",'FUENTE NO BORRAR'!D1034)</f>
        <v/>
      </c>
      <c r="E1016" s="5" t="str">
        <f>IF('FUENTE NO BORRAR'!E1034="","",'FUENTE NO BORRAR'!E1034)</f>
        <v/>
      </c>
      <c r="F1016" s="6">
        <f>IF('FUENTE NO BORRAR'!F1034="","",IF('FUENTE NO BORRAR'!$A1034&lt;&gt;"Resultado total",('FUENTE NO BORRAR'!F1034),""))</f>
        <v>7888</v>
      </c>
      <c r="G1016" s="6">
        <f>IF('FUENTE NO BORRAR'!G1034="","",IF('FUENTE NO BORRAR'!$A1034&lt;&gt;"Resultado total",('FUENTE NO BORRAR'!G1034),""))</f>
        <v>7888</v>
      </c>
      <c r="H1016" s="6">
        <f>IF('FUENTE NO BORRAR'!H1034="","",IF('FUENTE NO BORRAR'!$A1034&lt;&gt;"Resultado total",('FUENTE NO BORRAR'!H1034),""))</f>
        <v>7888</v>
      </c>
      <c r="I1016" s="6">
        <f>IF('FUENTE NO BORRAR'!I1034="","",IF('FUENTE NO BORRAR'!$A1034&lt;&gt;"Resultado total",('FUENTE NO BORRAR'!I1034),""))</f>
        <v>0</v>
      </c>
    </row>
    <row r="1017" spans="1:9" x14ac:dyDescent="0.2">
      <c r="A1017" s="5" t="str">
        <f>IF('FUENTE NO BORRAR'!A1035="","",(IF('FUENTE NO BORRAR'!A1035&lt;&gt;"Resultado total",'FUENTE NO BORRAR'!A1035,"")))</f>
        <v/>
      </c>
      <c r="B1017" s="5" t="str">
        <f>IF('FUENTE NO BORRAR'!B1035="","",'FUENTE NO BORRAR'!B1035)</f>
        <v/>
      </c>
      <c r="C1017" s="5" t="str">
        <f>IF('FUENTE NO BORRAR'!C1035="","",'FUENTE NO BORRAR'!C1035)</f>
        <v/>
      </c>
      <c r="D1017" s="5" t="str">
        <f>IF('FUENTE NO BORRAR'!D1035="","",'FUENTE NO BORRAR'!D1035)</f>
        <v/>
      </c>
      <c r="E1017" s="5" t="str">
        <f>IF('FUENTE NO BORRAR'!E1035="","",'FUENTE NO BORRAR'!E1035)</f>
        <v/>
      </c>
      <c r="F1017" s="6">
        <f>IF('FUENTE NO BORRAR'!F1035="","",IF('FUENTE NO BORRAR'!$A1035&lt;&gt;"Resultado total",('FUENTE NO BORRAR'!F1035),""))</f>
        <v>0</v>
      </c>
      <c r="G1017" s="6">
        <f>IF('FUENTE NO BORRAR'!G1035="","",IF('FUENTE NO BORRAR'!$A1035&lt;&gt;"Resultado total",('FUENTE NO BORRAR'!G1035),""))</f>
        <v>0</v>
      </c>
      <c r="H1017" s="6">
        <f>IF('FUENTE NO BORRAR'!H1035="","",IF('FUENTE NO BORRAR'!$A1035&lt;&gt;"Resultado total",('FUENTE NO BORRAR'!H1035),""))</f>
        <v>0</v>
      </c>
      <c r="I1017" s="6">
        <f>IF('FUENTE NO BORRAR'!I1035="","",IF('FUENTE NO BORRAR'!$A1035&lt;&gt;"Resultado total",('FUENTE NO BORRAR'!I1035),""))</f>
        <v>0</v>
      </c>
    </row>
    <row r="1018" spans="1:9" x14ac:dyDescent="0.2">
      <c r="A1018" s="5" t="str">
        <f>IF('FUENTE NO BORRAR'!A1036="","",(IF('FUENTE NO BORRAR'!A1036&lt;&gt;"Resultado total",'FUENTE NO BORRAR'!A1036,"")))</f>
        <v/>
      </c>
      <c r="B1018" s="5" t="str">
        <f>IF('FUENTE NO BORRAR'!B1036="","",'FUENTE NO BORRAR'!B1036)</f>
        <v/>
      </c>
      <c r="C1018" s="5" t="str">
        <f>IF('FUENTE NO BORRAR'!C1036="","",'FUENTE NO BORRAR'!C1036)</f>
        <v/>
      </c>
      <c r="D1018" s="5" t="str">
        <f>IF('FUENTE NO BORRAR'!D1036="","",'FUENTE NO BORRAR'!D1036)</f>
        <v/>
      </c>
      <c r="E1018" s="5" t="str">
        <f>IF('FUENTE NO BORRAR'!E1036="","",'FUENTE NO BORRAR'!E1036)</f>
        <v/>
      </c>
      <c r="F1018" s="6">
        <f>IF('FUENTE NO BORRAR'!F1036="","",IF('FUENTE NO BORRAR'!$A1036&lt;&gt;"Resultado total",('FUENTE NO BORRAR'!F1036),""))</f>
        <v>0</v>
      </c>
      <c r="G1018" s="6">
        <f>IF('FUENTE NO BORRAR'!G1036="","",IF('FUENTE NO BORRAR'!$A1036&lt;&gt;"Resultado total",('FUENTE NO BORRAR'!G1036),""))</f>
        <v>0</v>
      </c>
      <c r="H1018" s="6">
        <f>IF('FUENTE NO BORRAR'!H1036="","",IF('FUENTE NO BORRAR'!$A1036&lt;&gt;"Resultado total",('FUENTE NO BORRAR'!H1036),""))</f>
        <v>0</v>
      </c>
      <c r="I1018" s="6">
        <f>IF('FUENTE NO BORRAR'!I1036="","",IF('FUENTE NO BORRAR'!$A1036&lt;&gt;"Resultado total",('FUENTE NO BORRAR'!I1036),""))</f>
        <v>0</v>
      </c>
    </row>
    <row r="1019" spans="1:9" x14ac:dyDescent="0.2">
      <c r="A1019" s="5" t="str">
        <f>IF('FUENTE NO BORRAR'!A1037="","",(IF('FUENTE NO BORRAR'!A1037&lt;&gt;"Resultado total",'FUENTE NO BORRAR'!A1037,"")))</f>
        <v/>
      </c>
      <c r="B1019" s="5" t="str">
        <f>IF('FUENTE NO BORRAR'!B1037="","",'FUENTE NO BORRAR'!B1037)</f>
        <v/>
      </c>
      <c r="C1019" s="5" t="str">
        <f>IF('FUENTE NO BORRAR'!C1037="","",'FUENTE NO BORRAR'!C1037)</f>
        <v/>
      </c>
      <c r="D1019" s="5" t="str">
        <f>IF('FUENTE NO BORRAR'!D1037="","",'FUENTE NO BORRAR'!D1037)</f>
        <v/>
      </c>
      <c r="E1019" s="5" t="str">
        <f>IF('FUENTE NO BORRAR'!E1037="","",'FUENTE NO BORRAR'!E1037)</f>
        <v/>
      </c>
      <c r="F1019" s="6">
        <f>IF('FUENTE NO BORRAR'!F1037="","",IF('FUENTE NO BORRAR'!$A1037&lt;&gt;"Resultado total",('FUENTE NO BORRAR'!F1037),""))</f>
        <v>0</v>
      </c>
      <c r="G1019" s="6">
        <f>IF('FUENTE NO BORRAR'!G1037="","",IF('FUENTE NO BORRAR'!$A1037&lt;&gt;"Resultado total",('FUENTE NO BORRAR'!G1037),""))</f>
        <v>0</v>
      </c>
      <c r="H1019" s="6">
        <f>IF('FUENTE NO BORRAR'!H1037="","",IF('FUENTE NO BORRAR'!$A1037&lt;&gt;"Resultado total",('FUENTE NO BORRAR'!H1037),""))</f>
        <v>0</v>
      </c>
      <c r="I1019" s="6">
        <f>IF('FUENTE NO BORRAR'!I1037="","",IF('FUENTE NO BORRAR'!$A1037&lt;&gt;"Resultado total",('FUENTE NO BORRAR'!I1037),""))</f>
        <v>0</v>
      </c>
    </row>
    <row r="1020" spans="1:9" x14ac:dyDescent="0.2">
      <c r="A1020" s="5" t="str">
        <f>IF('FUENTE NO BORRAR'!A1038="","",(IF('FUENTE NO BORRAR'!A1038&lt;&gt;"Resultado total",'FUENTE NO BORRAR'!A1038,"")))</f>
        <v/>
      </c>
      <c r="B1020" s="5" t="str">
        <f>IF('FUENTE NO BORRAR'!B1038="","",'FUENTE NO BORRAR'!B1038)</f>
        <v/>
      </c>
      <c r="C1020" s="5" t="str">
        <f>IF('FUENTE NO BORRAR'!C1038="","",'FUENTE NO BORRAR'!C1038)</f>
        <v/>
      </c>
      <c r="D1020" s="5" t="str">
        <f>IF('FUENTE NO BORRAR'!D1038="","",'FUENTE NO BORRAR'!D1038)</f>
        <v/>
      </c>
      <c r="E1020" s="5" t="str">
        <f>IF('FUENTE NO BORRAR'!E1038="","",'FUENTE NO BORRAR'!E1038)</f>
        <v/>
      </c>
      <c r="F1020" s="6">
        <f>IF('FUENTE NO BORRAR'!F1038="","",IF('FUENTE NO BORRAR'!$A1038&lt;&gt;"Resultado total",('FUENTE NO BORRAR'!F1038),""))</f>
        <v>1020.8</v>
      </c>
      <c r="G1020" s="6">
        <f>IF('FUENTE NO BORRAR'!G1038="","",IF('FUENTE NO BORRAR'!$A1038&lt;&gt;"Resultado total",('FUENTE NO BORRAR'!G1038),""))</f>
        <v>1020.8</v>
      </c>
      <c r="H1020" s="6">
        <f>IF('FUENTE NO BORRAR'!H1038="","",IF('FUENTE NO BORRAR'!$A1038&lt;&gt;"Resultado total",('FUENTE NO BORRAR'!H1038),""))</f>
        <v>1020.8</v>
      </c>
      <c r="I1020" s="6">
        <f>IF('FUENTE NO BORRAR'!I1038="","",IF('FUENTE NO BORRAR'!$A1038&lt;&gt;"Resultado total",('FUENTE NO BORRAR'!I1038),""))</f>
        <v>0</v>
      </c>
    </row>
    <row r="1021" spans="1:9" x14ac:dyDescent="0.2">
      <c r="A1021" s="5" t="str">
        <f>IF('FUENTE NO BORRAR'!A1039="","",(IF('FUENTE NO BORRAR'!A1039&lt;&gt;"Resultado total",'FUENTE NO BORRAR'!A1039,"")))</f>
        <v/>
      </c>
      <c r="B1021" s="5" t="str">
        <f>IF('FUENTE NO BORRAR'!B1039="","",'FUENTE NO BORRAR'!B1039)</f>
        <v/>
      </c>
      <c r="C1021" s="5" t="str">
        <f>IF('FUENTE NO BORRAR'!C1039="","",'FUENTE NO BORRAR'!C1039)</f>
        <v/>
      </c>
      <c r="D1021" s="5" t="str">
        <f>IF('FUENTE NO BORRAR'!D1039="","",'FUENTE NO BORRAR'!D1039)</f>
        <v/>
      </c>
      <c r="E1021" s="5" t="str">
        <f>IF('FUENTE NO BORRAR'!E1039="","",'FUENTE NO BORRAR'!E1039)</f>
        <v/>
      </c>
      <c r="F1021" s="6">
        <f>IF('FUENTE NO BORRAR'!F1039="","",IF('FUENTE NO BORRAR'!$A1039&lt;&gt;"Resultado total",('FUENTE NO BORRAR'!F1039),""))</f>
        <v>40000</v>
      </c>
      <c r="G1021" s="6">
        <f>IF('FUENTE NO BORRAR'!G1039="","",IF('FUENTE NO BORRAR'!$A1039&lt;&gt;"Resultado total",('FUENTE NO BORRAR'!G1039),""))</f>
        <v>40000</v>
      </c>
      <c r="H1021" s="6">
        <f>IF('FUENTE NO BORRAR'!H1039="","",IF('FUENTE NO BORRAR'!$A1039&lt;&gt;"Resultado total",('FUENTE NO BORRAR'!H1039),""))</f>
        <v>40000</v>
      </c>
      <c r="I1021" s="6">
        <f>IF('FUENTE NO BORRAR'!I1039="","",IF('FUENTE NO BORRAR'!$A1039&lt;&gt;"Resultado total",('FUENTE NO BORRAR'!I1039),""))</f>
        <v>0</v>
      </c>
    </row>
    <row r="1022" spans="1:9" x14ac:dyDescent="0.2">
      <c r="A1022" s="5" t="str">
        <f>IF('FUENTE NO BORRAR'!A1040="","",(IF('FUENTE NO BORRAR'!A1040&lt;&gt;"Resultado total",'FUENTE NO BORRAR'!A1040,"")))</f>
        <v/>
      </c>
      <c r="B1022" s="5" t="str">
        <f>IF('FUENTE NO BORRAR'!B1040="","",'FUENTE NO BORRAR'!B1040)</f>
        <v/>
      </c>
      <c r="C1022" s="5" t="str">
        <f>IF('FUENTE NO BORRAR'!C1040="","",'FUENTE NO BORRAR'!C1040)</f>
        <v>18032121E206</v>
      </c>
      <c r="D1022" s="5" t="str">
        <f>IF('FUENTE NO BORRAR'!D1040="","",'FUENTE NO BORRAR'!D1040)</f>
        <v>18032121E206</v>
      </c>
      <c r="E1022" s="5" t="str">
        <f>IF('FUENTE NO BORRAR'!E1040="","",'FUENTE NO BORRAR'!E1040)</f>
        <v/>
      </c>
      <c r="F1022" s="6">
        <f>IF('FUENTE NO BORRAR'!F1040="","",IF('FUENTE NO BORRAR'!$A1040&lt;&gt;"Resultado total",('FUENTE NO BORRAR'!F1040),""))</f>
        <v>678969.77</v>
      </c>
      <c r="G1022" s="6">
        <f>IF('FUENTE NO BORRAR'!G1040="","",IF('FUENTE NO BORRAR'!$A1040&lt;&gt;"Resultado total",('FUENTE NO BORRAR'!G1040),""))</f>
        <v>678969.77</v>
      </c>
      <c r="H1022" s="6">
        <f>IF('FUENTE NO BORRAR'!H1040="","",IF('FUENTE NO BORRAR'!$A1040&lt;&gt;"Resultado total",('FUENTE NO BORRAR'!H1040),""))</f>
        <v>678969.77</v>
      </c>
      <c r="I1022" s="6">
        <f>IF('FUENTE NO BORRAR'!I1040="","",IF('FUENTE NO BORRAR'!$A1040&lt;&gt;"Resultado total",('FUENTE NO BORRAR'!I1040),""))</f>
        <v>0</v>
      </c>
    </row>
    <row r="1023" spans="1:9" x14ac:dyDescent="0.2">
      <c r="A1023" s="5" t="str">
        <f>IF('FUENTE NO BORRAR'!A1041="","",(IF('FUENTE NO BORRAR'!A1041&lt;&gt;"Resultado total",'FUENTE NO BORRAR'!A1041,"")))</f>
        <v/>
      </c>
      <c r="B1023" s="5" t="str">
        <f>IF('FUENTE NO BORRAR'!B1041="","",'FUENTE NO BORRAR'!B1041)</f>
        <v/>
      </c>
      <c r="C1023" s="5" t="str">
        <f>IF('FUENTE NO BORRAR'!C1041="","",'FUENTE NO BORRAR'!C1041)</f>
        <v/>
      </c>
      <c r="D1023" s="5" t="str">
        <f>IF('FUENTE NO BORRAR'!D1041="","",'FUENTE NO BORRAR'!D1041)</f>
        <v/>
      </c>
      <c r="E1023" s="5" t="str">
        <f>IF('FUENTE NO BORRAR'!E1041="","",'FUENTE NO BORRAR'!E1041)</f>
        <v/>
      </c>
      <c r="F1023" s="6">
        <f>IF('FUENTE NO BORRAR'!F1041="","",IF('FUENTE NO BORRAR'!$A1041&lt;&gt;"Resultado total",('FUENTE NO BORRAR'!F1041),""))</f>
        <v>610017.78</v>
      </c>
      <c r="G1023" s="6">
        <f>IF('FUENTE NO BORRAR'!G1041="","",IF('FUENTE NO BORRAR'!$A1041&lt;&gt;"Resultado total",('FUENTE NO BORRAR'!G1041),""))</f>
        <v>610017.78</v>
      </c>
      <c r="H1023" s="6">
        <f>IF('FUENTE NO BORRAR'!H1041="","",IF('FUENTE NO BORRAR'!$A1041&lt;&gt;"Resultado total",('FUENTE NO BORRAR'!H1041),""))</f>
        <v>610017.78</v>
      </c>
      <c r="I1023" s="6">
        <f>IF('FUENTE NO BORRAR'!I1041="","",IF('FUENTE NO BORRAR'!$A1041&lt;&gt;"Resultado total",('FUENTE NO BORRAR'!I1041),""))</f>
        <v>0</v>
      </c>
    </row>
    <row r="1024" spans="1:9" x14ac:dyDescent="0.2">
      <c r="A1024" s="5" t="str">
        <f>IF('FUENTE NO BORRAR'!A1042="","",(IF('FUENTE NO BORRAR'!A1042&lt;&gt;"Resultado total",'FUENTE NO BORRAR'!A1042,"")))</f>
        <v/>
      </c>
      <c r="B1024" s="5" t="str">
        <f>IF('FUENTE NO BORRAR'!B1042="","",'FUENTE NO BORRAR'!B1042)</f>
        <v/>
      </c>
      <c r="C1024" s="5" t="str">
        <f>IF('FUENTE NO BORRAR'!C1042="","",'FUENTE NO BORRAR'!C1042)</f>
        <v/>
      </c>
      <c r="D1024" s="5" t="str">
        <f>IF('FUENTE NO BORRAR'!D1042="","",'FUENTE NO BORRAR'!D1042)</f>
        <v/>
      </c>
      <c r="E1024" s="5" t="str">
        <f>IF('FUENTE NO BORRAR'!E1042="","",'FUENTE NO BORRAR'!E1042)</f>
        <v/>
      </c>
      <c r="F1024" s="6">
        <f>IF('FUENTE NO BORRAR'!F1042="","",IF('FUENTE NO BORRAR'!$A1042&lt;&gt;"Resultado total",('FUENTE NO BORRAR'!F1042),""))</f>
        <v>2085547.2</v>
      </c>
      <c r="G1024" s="6">
        <f>IF('FUENTE NO BORRAR'!G1042="","",IF('FUENTE NO BORRAR'!$A1042&lt;&gt;"Resultado total",('FUENTE NO BORRAR'!G1042),""))</f>
        <v>2085547.2</v>
      </c>
      <c r="H1024" s="6">
        <f>IF('FUENTE NO BORRAR'!H1042="","",IF('FUENTE NO BORRAR'!$A1042&lt;&gt;"Resultado total",('FUENTE NO BORRAR'!H1042),""))</f>
        <v>1955251.2</v>
      </c>
      <c r="I1024" s="6">
        <f>IF('FUENTE NO BORRAR'!I1042="","",IF('FUENTE NO BORRAR'!$A1042&lt;&gt;"Resultado total",('FUENTE NO BORRAR'!I1042),""))</f>
        <v>0</v>
      </c>
    </row>
    <row r="1025" spans="1:9" x14ac:dyDescent="0.2">
      <c r="A1025" s="5" t="str">
        <f>IF('FUENTE NO BORRAR'!A1043="","",(IF('FUENTE NO BORRAR'!A1043&lt;&gt;"Resultado total",'FUENTE NO BORRAR'!A1043,"")))</f>
        <v/>
      </c>
      <c r="B1025" s="5" t="str">
        <f>IF('FUENTE NO BORRAR'!B1043="","",'FUENTE NO BORRAR'!B1043)</f>
        <v/>
      </c>
      <c r="C1025" s="5" t="str">
        <f>IF('FUENTE NO BORRAR'!C1043="","",'FUENTE NO BORRAR'!C1043)</f>
        <v/>
      </c>
      <c r="D1025" s="5" t="str">
        <f>IF('FUENTE NO BORRAR'!D1043="","",'FUENTE NO BORRAR'!D1043)</f>
        <v/>
      </c>
      <c r="E1025" s="5" t="str">
        <f>IF('FUENTE NO BORRAR'!E1043="","",'FUENTE NO BORRAR'!E1043)</f>
        <v/>
      </c>
      <c r="F1025" s="6">
        <f>IF('FUENTE NO BORRAR'!F1043="","",IF('FUENTE NO BORRAR'!$A1043&lt;&gt;"Resultado total",('FUENTE NO BORRAR'!F1043),""))</f>
        <v>91680.05</v>
      </c>
      <c r="G1025" s="6">
        <f>IF('FUENTE NO BORRAR'!G1043="","",IF('FUENTE NO BORRAR'!$A1043&lt;&gt;"Resultado total",('FUENTE NO BORRAR'!G1043),""))</f>
        <v>91680.05</v>
      </c>
      <c r="H1025" s="6">
        <f>IF('FUENTE NO BORRAR'!H1043="","",IF('FUENTE NO BORRAR'!$A1043&lt;&gt;"Resultado total",('FUENTE NO BORRAR'!H1043),""))</f>
        <v>91680.05</v>
      </c>
      <c r="I1025" s="6">
        <f>IF('FUENTE NO BORRAR'!I1043="","",IF('FUENTE NO BORRAR'!$A1043&lt;&gt;"Resultado total",('FUENTE NO BORRAR'!I1043),""))</f>
        <v>0</v>
      </c>
    </row>
    <row r="1026" spans="1:9" x14ac:dyDescent="0.2">
      <c r="A1026" s="5" t="str">
        <f>IF('FUENTE NO BORRAR'!A1044="","",(IF('FUENTE NO BORRAR'!A1044&lt;&gt;"Resultado total",'FUENTE NO BORRAR'!A1044,"")))</f>
        <v/>
      </c>
      <c r="B1026" s="5" t="str">
        <f>IF('FUENTE NO BORRAR'!B1044="","",'FUENTE NO BORRAR'!B1044)</f>
        <v/>
      </c>
      <c r="C1026" s="5" t="str">
        <f>IF('FUENTE NO BORRAR'!C1044="","",'FUENTE NO BORRAR'!C1044)</f>
        <v/>
      </c>
      <c r="D1026" s="5" t="str">
        <f>IF('FUENTE NO BORRAR'!D1044="","",'FUENTE NO BORRAR'!D1044)</f>
        <v/>
      </c>
      <c r="E1026" s="5" t="str">
        <f>IF('FUENTE NO BORRAR'!E1044="","",'FUENTE NO BORRAR'!E1044)</f>
        <v/>
      </c>
      <c r="F1026" s="6">
        <f>IF('FUENTE NO BORRAR'!F1044="","",IF('FUENTE NO BORRAR'!$A1044&lt;&gt;"Resultado total",('FUENTE NO BORRAR'!F1044),""))</f>
        <v>107976.2</v>
      </c>
      <c r="G1026" s="6">
        <f>IF('FUENTE NO BORRAR'!G1044="","",IF('FUENTE NO BORRAR'!$A1044&lt;&gt;"Resultado total",('FUENTE NO BORRAR'!G1044),""))</f>
        <v>107976.2</v>
      </c>
      <c r="H1026" s="6">
        <f>IF('FUENTE NO BORRAR'!H1044="","",IF('FUENTE NO BORRAR'!$A1044&lt;&gt;"Resultado total",('FUENTE NO BORRAR'!H1044),""))</f>
        <v>107976.2</v>
      </c>
      <c r="I1026" s="6">
        <f>IF('FUENTE NO BORRAR'!I1044="","",IF('FUENTE NO BORRAR'!$A1044&lt;&gt;"Resultado total",('FUENTE NO BORRAR'!I1044),""))</f>
        <v>0</v>
      </c>
    </row>
    <row r="1027" spans="1:9" x14ac:dyDescent="0.2">
      <c r="A1027" s="5" t="str">
        <f>IF('FUENTE NO BORRAR'!A1045="","",(IF('FUENTE NO BORRAR'!A1045&lt;&gt;"Resultado total",'FUENTE NO BORRAR'!A1045,"")))</f>
        <v/>
      </c>
      <c r="B1027" s="5" t="str">
        <f>IF('FUENTE NO BORRAR'!B1045="","",'FUENTE NO BORRAR'!B1045)</f>
        <v/>
      </c>
      <c r="C1027" s="5" t="str">
        <f>IF('FUENTE NO BORRAR'!C1045="","",'FUENTE NO BORRAR'!C1045)</f>
        <v/>
      </c>
      <c r="D1027" s="5" t="str">
        <f>IF('FUENTE NO BORRAR'!D1045="","",'FUENTE NO BORRAR'!D1045)</f>
        <v/>
      </c>
      <c r="E1027" s="5" t="str">
        <f>IF('FUENTE NO BORRAR'!E1045="","",'FUENTE NO BORRAR'!E1045)</f>
        <v/>
      </c>
      <c r="F1027" s="6">
        <f>IF('FUENTE NO BORRAR'!F1045="","",IF('FUENTE NO BORRAR'!$A1045&lt;&gt;"Resultado total",('FUENTE NO BORRAR'!F1045),""))</f>
        <v>3214.8</v>
      </c>
      <c r="G1027" s="6">
        <f>IF('FUENTE NO BORRAR'!G1045="","",IF('FUENTE NO BORRAR'!$A1045&lt;&gt;"Resultado total",('FUENTE NO BORRAR'!G1045),""))</f>
        <v>3214.8</v>
      </c>
      <c r="H1027" s="6">
        <f>IF('FUENTE NO BORRAR'!H1045="","",IF('FUENTE NO BORRAR'!$A1045&lt;&gt;"Resultado total",('FUENTE NO BORRAR'!H1045),""))</f>
        <v>3214.8</v>
      </c>
      <c r="I1027" s="6">
        <f>IF('FUENTE NO BORRAR'!I1045="","",IF('FUENTE NO BORRAR'!$A1045&lt;&gt;"Resultado total",('FUENTE NO BORRAR'!I1045),""))</f>
        <v>0</v>
      </c>
    </row>
    <row r="1028" spans="1:9" x14ac:dyDescent="0.2">
      <c r="A1028" s="5" t="str">
        <f>IF('FUENTE NO BORRAR'!A1046="","",(IF('FUENTE NO BORRAR'!A1046&lt;&gt;"Resultado total",'FUENTE NO BORRAR'!A1046,"")))</f>
        <v/>
      </c>
      <c r="B1028" s="5" t="str">
        <f>IF('FUENTE NO BORRAR'!B1046="","",'FUENTE NO BORRAR'!B1046)</f>
        <v/>
      </c>
      <c r="C1028" s="5" t="str">
        <f>IF('FUENTE NO BORRAR'!C1046="","",'FUENTE NO BORRAR'!C1046)</f>
        <v/>
      </c>
      <c r="D1028" s="5" t="str">
        <f>IF('FUENTE NO BORRAR'!D1046="","",'FUENTE NO BORRAR'!D1046)</f>
        <v/>
      </c>
      <c r="E1028" s="5" t="str">
        <f>IF('FUENTE NO BORRAR'!E1046="","",'FUENTE NO BORRAR'!E1046)</f>
        <v/>
      </c>
      <c r="F1028" s="6">
        <f>IF('FUENTE NO BORRAR'!F1046="","",IF('FUENTE NO BORRAR'!$A1046&lt;&gt;"Resultado total",('FUENTE NO BORRAR'!F1046),""))</f>
        <v>57596.54</v>
      </c>
      <c r="G1028" s="6">
        <f>IF('FUENTE NO BORRAR'!G1046="","",IF('FUENTE NO BORRAR'!$A1046&lt;&gt;"Resultado total",('FUENTE NO BORRAR'!G1046),""))</f>
        <v>57596.54</v>
      </c>
      <c r="H1028" s="6">
        <f>IF('FUENTE NO BORRAR'!H1046="","",IF('FUENTE NO BORRAR'!$A1046&lt;&gt;"Resultado total",('FUENTE NO BORRAR'!H1046),""))</f>
        <v>57596.54</v>
      </c>
      <c r="I1028" s="6">
        <f>IF('FUENTE NO BORRAR'!I1046="","",IF('FUENTE NO BORRAR'!$A1046&lt;&gt;"Resultado total",('FUENTE NO BORRAR'!I1046),""))</f>
        <v>0</v>
      </c>
    </row>
    <row r="1029" spans="1:9" x14ac:dyDescent="0.2">
      <c r="A1029" s="5" t="str">
        <f>IF('FUENTE NO BORRAR'!A1047="","",(IF('FUENTE NO BORRAR'!A1047&lt;&gt;"Resultado total",'FUENTE NO BORRAR'!A1047,"")))</f>
        <v/>
      </c>
      <c r="B1029" s="5" t="str">
        <f>IF('FUENTE NO BORRAR'!B1047="","",'FUENTE NO BORRAR'!B1047)</f>
        <v/>
      </c>
      <c r="C1029" s="5" t="str">
        <f>IF('FUENTE NO BORRAR'!C1047="","",'FUENTE NO BORRAR'!C1047)</f>
        <v/>
      </c>
      <c r="D1029" s="5" t="str">
        <f>IF('FUENTE NO BORRAR'!D1047="","",'FUENTE NO BORRAR'!D1047)</f>
        <v/>
      </c>
      <c r="E1029" s="5" t="str">
        <f>IF('FUENTE NO BORRAR'!E1047="","",'FUENTE NO BORRAR'!E1047)</f>
        <v/>
      </c>
      <c r="F1029" s="6">
        <f>IF('FUENTE NO BORRAR'!F1047="","",IF('FUENTE NO BORRAR'!$A1047&lt;&gt;"Resultado total",('FUENTE NO BORRAR'!F1047),""))</f>
        <v>271742.61</v>
      </c>
      <c r="G1029" s="6">
        <f>IF('FUENTE NO BORRAR'!G1047="","",IF('FUENTE NO BORRAR'!$A1047&lt;&gt;"Resultado total",('FUENTE NO BORRAR'!G1047),""))</f>
        <v>271742.61</v>
      </c>
      <c r="H1029" s="6">
        <f>IF('FUENTE NO BORRAR'!H1047="","",IF('FUENTE NO BORRAR'!$A1047&lt;&gt;"Resultado total",('FUENTE NO BORRAR'!H1047),""))</f>
        <v>271742.61</v>
      </c>
      <c r="I1029" s="6">
        <f>IF('FUENTE NO BORRAR'!I1047="","",IF('FUENTE NO BORRAR'!$A1047&lt;&gt;"Resultado total",('FUENTE NO BORRAR'!I1047),""))</f>
        <v>0</v>
      </c>
    </row>
    <row r="1030" spans="1:9" x14ac:dyDescent="0.2">
      <c r="A1030" s="5" t="str">
        <f>IF('FUENTE NO BORRAR'!A1048="","",(IF('FUENTE NO BORRAR'!A1048&lt;&gt;"Resultado total",'FUENTE NO BORRAR'!A1048,"")))</f>
        <v/>
      </c>
      <c r="B1030" s="5" t="str">
        <f>IF('FUENTE NO BORRAR'!B1048="","",'FUENTE NO BORRAR'!B1048)</f>
        <v/>
      </c>
      <c r="C1030" s="5" t="str">
        <f>IF('FUENTE NO BORRAR'!C1048="","",'FUENTE NO BORRAR'!C1048)</f>
        <v/>
      </c>
      <c r="D1030" s="5" t="str">
        <f>IF('FUENTE NO BORRAR'!D1048="","",'FUENTE NO BORRAR'!D1048)</f>
        <v/>
      </c>
      <c r="E1030" s="5" t="str">
        <f>IF('FUENTE NO BORRAR'!E1048="","",'FUENTE NO BORRAR'!E1048)</f>
        <v/>
      </c>
      <c r="F1030" s="6">
        <f>IF('FUENTE NO BORRAR'!F1048="","",IF('FUENTE NO BORRAR'!$A1048&lt;&gt;"Resultado total",('FUENTE NO BORRAR'!F1048),""))</f>
        <v>566777.04</v>
      </c>
      <c r="G1030" s="6">
        <f>IF('FUENTE NO BORRAR'!G1048="","",IF('FUENTE NO BORRAR'!$A1048&lt;&gt;"Resultado total",('FUENTE NO BORRAR'!G1048),""))</f>
        <v>566777.04</v>
      </c>
      <c r="H1030" s="6">
        <f>IF('FUENTE NO BORRAR'!H1048="","",IF('FUENTE NO BORRAR'!$A1048&lt;&gt;"Resultado total",('FUENTE NO BORRAR'!H1048),""))</f>
        <v>573267.21</v>
      </c>
      <c r="I1030" s="6">
        <f>IF('FUENTE NO BORRAR'!I1048="","",IF('FUENTE NO BORRAR'!$A1048&lt;&gt;"Resultado total",('FUENTE NO BORRAR'!I1048),""))</f>
        <v>0</v>
      </c>
    </row>
    <row r="1031" spans="1:9" x14ac:dyDescent="0.2">
      <c r="A1031" s="5" t="str">
        <f>IF('FUENTE NO BORRAR'!A1049="","",(IF('FUENTE NO BORRAR'!A1049&lt;&gt;"Resultado total",'FUENTE NO BORRAR'!A1049,"")))</f>
        <v/>
      </c>
      <c r="B1031" s="5" t="str">
        <f>IF('FUENTE NO BORRAR'!B1049="","",'FUENTE NO BORRAR'!B1049)</f>
        <v/>
      </c>
      <c r="C1031" s="5" t="str">
        <f>IF('FUENTE NO BORRAR'!C1049="","",'FUENTE NO BORRAR'!C1049)</f>
        <v/>
      </c>
      <c r="D1031" s="5" t="str">
        <f>IF('FUENTE NO BORRAR'!D1049="","",'FUENTE NO BORRAR'!D1049)</f>
        <v/>
      </c>
      <c r="E1031" s="5" t="str">
        <f>IF('FUENTE NO BORRAR'!E1049="","",'FUENTE NO BORRAR'!E1049)</f>
        <v/>
      </c>
      <c r="F1031" s="6">
        <f>IF('FUENTE NO BORRAR'!F1049="","",IF('FUENTE NO BORRAR'!$A1049&lt;&gt;"Resultado total",('FUENTE NO BORRAR'!F1049),""))</f>
        <v>671480.51</v>
      </c>
      <c r="G1031" s="6">
        <f>IF('FUENTE NO BORRAR'!G1049="","",IF('FUENTE NO BORRAR'!$A1049&lt;&gt;"Resultado total",('FUENTE NO BORRAR'!G1049),""))</f>
        <v>671480.51</v>
      </c>
      <c r="H1031" s="6">
        <f>IF('FUENTE NO BORRAR'!H1049="","",IF('FUENTE NO BORRAR'!$A1049&lt;&gt;"Resultado total",('FUENTE NO BORRAR'!H1049),""))</f>
        <v>671480.51</v>
      </c>
      <c r="I1031" s="6">
        <f>IF('FUENTE NO BORRAR'!I1049="","",IF('FUENTE NO BORRAR'!$A1049&lt;&gt;"Resultado total",('FUENTE NO BORRAR'!I1049),""))</f>
        <v>0</v>
      </c>
    </row>
    <row r="1032" spans="1:9" x14ac:dyDescent="0.2">
      <c r="A1032" s="5" t="str">
        <f>IF('FUENTE NO BORRAR'!A1050="","",(IF('FUENTE NO BORRAR'!A1050&lt;&gt;"Resultado total",'FUENTE NO BORRAR'!A1050,"")))</f>
        <v/>
      </c>
      <c r="B1032" s="5" t="str">
        <f>IF('FUENTE NO BORRAR'!B1050="","",'FUENTE NO BORRAR'!B1050)</f>
        <v/>
      </c>
      <c r="C1032" s="5" t="str">
        <f>IF('FUENTE NO BORRAR'!C1050="","",'FUENTE NO BORRAR'!C1050)</f>
        <v/>
      </c>
      <c r="D1032" s="5" t="str">
        <f>IF('FUENTE NO BORRAR'!D1050="","",'FUENTE NO BORRAR'!D1050)</f>
        <v/>
      </c>
      <c r="E1032" s="5" t="str">
        <f>IF('FUENTE NO BORRAR'!E1050="","",'FUENTE NO BORRAR'!E1050)</f>
        <v/>
      </c>
      <c r="F1032" s="6">
        <f>IF('FUENTE NO BORRAR'!F1050="","",IF('FUENTE NO BORRAR'!$A1050&lt;&gt;"Resultado total",('FUENTE NO BORRAR'!F1050),""))</f>
        <v>255381.99</v>
      </c>
      <c r="G1032" s="6">
        <f>IF('FUENTE NO BORRAR'!G1050="","",IF('FUENTE NO BORRAR'!$A1050&lt;&gt;"Resultado total",('FUENTE NO BORRAR'!G1050),""))</f>
        <v>255381.99</v>
      </c>
      <c r="H1032" s="6">
        <f>IF('FUENTE NO BORRAR'!H1050="","",IF('FUENTE NO BORRAR'!$A1050&lt;&gt;"Resultado total",('FUENTE NO BORRAR'!H1050),""))</f>
        <v>255381.99</v>
      </c>
      <c r="I1032" s="6">
        <f>IF('FUENTE NO BORRAR'!I1050="","",IF('FUENTE NO BORRAR'!$A1050&lt;&gt;"Resultado total",('FUENTE NO BORRAR'!I1050),""))</f>
        <v>0</v>
      </c>
    </row>
    <row r="1033" spans="1:9" x14ac:dyDescent="0.2">
      <c r="A1033" s="5" t="str">
        <f>IF('FUENTE NO BORRAR'!A1051="","",(IF('FUENTE NO BORRAR'!A1051&lt;&gt;"Resultado total",'FUENTE NO BORRAR'!A1051,"")))</f>
        <v/>
      </c>
      <c r="B1033" s="5" t="str">
        <f>IF('FUENTE NO BORRAR'!B1051="","",'FUENTE NO BORRAR'!B1051)</f>
        <v/>
      </c>
      <c r="C1033" s="5" t="str">
        <f>IF('FUENTE NO BORRAR'!C1051="","",'FUENTE NO BORRAR'!C1051)</f>
        <v/>
      </c>
      <c r="D1033" s="5" t="str">
        <f>IF('FUENTE NO BORRAR'!D1051="","",'FUENTE NO BORRAR'!D1051)</f>
        <v/>
      </c>
      <c r="E1033" s="5" t="str">
        <f>IF('FUENTE NO BORRAR'!E1051="","",'FUENTE NO BORRAR'!E1051)</f>
        <v/>
      </c>
      <c r="F1033" s="6">
        <f>IF('FUENTE NO BORRAR'!F1051="","",IF('FUENTE NO BORRAR'!$A1051&lt;&gt;"Resultado total",('FUENTE NO BORRAR'!F1051),""))</f>
        <v>82802.52</v>
      </c>
      <c r="G1033" s="6">
        <f>IF('FUENTE NO BORRAR'!G1051="","",IF('FUENTE NO BORRAR'!$A1051&lt;&gt;"Resultado total",('FUENTE NO BORRAR'!G1051),""))</f>
        <v>82802.52</v>
      </c>
      <c r="H1033" s="6">
        <f>IF('FUENTE NO BORRAR'!H1051="","",IF('FUENTE NO BORRAR'!$A1051&lt;&gt;"Resultado total",('FUENTE NO BORRAR'!H1051),""))</f>
        <v>82802.52</v>
      </c>
      <c r="I1033" s="6">
        <f>IF('FUENTE NO BORRAR'!I1051="","",IF('FUENTE NO BORRAR'!$A1051&lt;&gt;"Resultado total",('FUENTE NO BORRAR'!I1051),""))</f>
        <v>0</v>
      </c>
    </row>
    <row r="1034" spans="1:9" x14ac:dyDescent="0.2">
      <c r="A1034" s="5" t="str">
        <f>IF('FUENTE NO BORRAR'!A1052="","",(IF('FUENTE NO BORRAR'!A1052&lt;&gt;"Resultado total",'FUENTE NO BORRAR'!A1052,"")))</f>
        <v/>
      </c>
      <c r="B1034" s="5" t="str">
        <f>IF('FUENTE NO BORRAR'!B1052="","",'FUENTE NO BORRAR'!B1052)</f>
        <v/>
      </c>
      <c r="C1034" s="5" t="str">
        <f>IF('FUENTE NO BORRAR'!C1052="","",'FUENTE NO BORRAR'!C1052)</f>
        <v/>
      </c>
      <c r="D1034" s="5" t="str">
        <f>IF('FUENTE NO BORRAR'!D1052="","",'FUENTE NO BORRAR'!D1052)</f>
        <v/>
      </c>
      <c r="E1034" s="5" t="str">
        <f>IF('FUENTE NO BORRAR'!E1052="","",'FUENTE NO BORRAR'!E1052)</f>
        <v/>
      </c>
      <c r="F1034" s="6">
        <f>IF('FUENTE NO BORRAR'!F1052="","",IF('FUENTE NO BORRAR'!$A1052&lt;&gt;"Resultado total",('FUENTE NO BORRAR'!F1052),""))</f>
        <v>38759.440000000002</v>
      </c>
      <c r="G1034" s="6">
        <f>IF('FUENTE NO BORRAR'!G1052="","",IF('FUENTE NO BORRAR'!$A1052&lt;&gt;"Resultado total",('FUENTE NO BORRAR'!G1052),""))</f>
        <v>38759.440000000002</v>
      </c>
      <c r="H1034" s="6">
        <f>IF('FUENTE NO BORRAR'!H1052="","",IF('FUENTE NO BORRAR'!$A1052&lt;&gt;"Resultado total",('FUENTE NO BORRAR'!H1052),""))</f>
        <v>38759.440000000002</v>
      </c>
      <c r="I1034" s="6">
        <f>IF('FUENTE NO BORRAR'!I1052="","",IF('FUENTE NO BORRAR'!$A1052&lt;&gt;"Resultado total",('FUENTE NO BORRAR'!I1052),""))</f>
        <v>0</v>
      </c>
    </row>
    <row r="1035" spans="1:9" x14ac:dyDescent="0.2">
      <c r="A1035" s="5" t="str">
        <f>IF('FUENTE NO BORRAR'!A1053="","",(IF('FUENTE NO BORRAR'!A1053&lt;&gt;"Resultado total",'FUENTE NO BORRAR'!A1053,"")))</f>
        <v/>
      </c>
      <c r="B1035" s="5" t="str">
        <f>IF('FUENTE NO BORRAR'!B1053="","",'FUENTE NO BORRAR'!B1053)</f>
        <v/>
      </c>
      <c r="C1035" s="5" t="str">
        <f>IF('FUENTE NO BORRAR'!C1053="","",'FUENTE NO BORRAR'!C1053)</f>
        <v/>
      </c>
      <c r="D1035" s="5" t="str">
        <f>IF('FUENTE NO BORRAR'!D1053="","",'FUENTE NO BORRAR'!D1053)</f>
        <v/>
      </c>
      <c r="E1035" s="5" t="str">
        <f>IF('FUENTE NO BORRAR'!E1053="","",'FUENTE NO BORRAR'!E1053)</f>
        <v/>
      </c>
      <c r="F1035" s="6">
        <f>IF('FUENTE NO BORRAR'!F1053="","",IF('FUENTE NO BORRAR'!$A1053&lt;&gt;"Resultado total",('FUENTE NO BORRAR'!F1053),""))</f>
        <v>154707</v>
      </c>
      <c r="G1035" s="6">
        <f>IF('FUENTE NO BORRAR'!G1053="","",IF('FUENTE NO BORRAR'!$A1053&lt;&gt;"Resultado total",('FUENTE NO BORRAR'!G1053),""))</f>
        <v>154707</v>
      </c>
      <c r="H1035" s="6">
        <f>IF('FUENTE NO BORRAR'!H1053="","",IF('FUENTE NO BORRAR'!$A1053&lt;&gt;"Resultado total",('FUENTE NO BORRAR'!H1053),""))</f>
        <v>154707</v>
      </c>
      <c r="I1035" s="6">
        <f>IF('FUENTE NO BORRAR'!I1053="","",IF('FUENTE NO BORRAR'!$A1053&lt;&gt;"Resultado total",('FUENTE NO BORRAR'!I1053),""))</f>
        <v>0</v>
      </c>
    </row>
    <row r="1036" spans="1:9" x14ac:dyDescent="0.2">
      <c r="A1036" s="5" t="str">
        <f>IF('FUENTE NO BORRAR'!A1054="","",(IF('FUENTE NO BORRAR'!A1054&lt;&gt;"Resultado total",'FUENTE NO BORRAR'!A1054,"")))</f>
        <v/>
      </c>
      <c r="B1036" s="5" t="str">
        <f>IF('FUENTE NO BORRAR'!B1054="","",'FUENTE NO BORRAR'!B1054)</f>
        <v/>
      </c>
      <c r="C1036" s="5" t="str">
        <f>IF('FUENTE NO BORRAR'!C1054="","",'FUENTE NO BORRAR'!C1054)</f>
        <v/>
      </c>
      <c r="D1036" s="5" t="str">
        <f>IF('FUENTE NO BORRAR'!D1054="","",'FUENTE NO BORRAR'!D1054)</f>
        <v/>
      </c>
      <c r="E1036" s="5" t="str">
        <f>IF('FUENTE NO BORRAR'!E1054="","",'FUENTE NO BORRAR'!E1054)</f>
        <v/>
      </c>
      <c r="F1036" s="6">
        <f>IF('FUENTE NO BORRAR'!F1054="","",IF('FUENTE NO BORRAR'!$A1054&lt;&gt;"Resultado total",('FUENTE NO BORRAR'!F1054),""))</f>
        <v>631328.6</v>
      </c>
      <c r="G1036" s="6">
        <f>IF('FUENTE NO BORRAR'!G1054="","",IF('FUENTE NO BORRAR'!$A1054&lt;&gt;"Resultado total",('FUENTE NO BORRAR'!G1054),""))</f>
        <v>631328.6</v>
      </c>
      <c r="H1036" s="6">
        <f>IF('FUENTE NO BORRAR'!H1054="","",IF('FUENTE NO BORRAR'!$A1054&lt;&gt;"Resultado total",('FUENTE NO BORRAR'!H1054),""))</f>
        <v>631328.6</v>
      </c>
      <c r="I1036" s="6">
        <f>IF('FUENTE NO BORRAR'!I1054="","",IF('FUENTE NO BORRAR'!$A1054&lt;&gt;"Resultado total",('FUENTE NO BORRAR'!I1054),""))</f>
        <v>0</v>
      </c>
    </row>
    <row r="1037" spans="1:9" x14ac:dyDescent="0.2">
      <c r="A1037" s="5" t="str">
        <f>IF('FUENTE NO BORRAR'!A1055="","",(IF('FUENTE NO BORRAR'!A1055&lt;&gt;"Resultado total",'FUENTE NO BORRAR'!A1055,"")))</f>
        <v/>
      </c>
      <c r="B1037" s="5" t="str">
        <f>IF('FUENTE NO BORRAR'!B1055="","",'FUENTE NO BORRAR'!B1055)</f>
        <v/>
      </c>
      <c r="C1037" s="5" t="str">
        <f>IF('FUENTE NO BORRAR'!C1055="","",'FUENTE NO BORRAR'!C1055)</f>
        <v/>
      </c>
      <c r="D1037" s="5" t="str">
        <f>IF('FUENTE NO BORRAR'!D1055="","",'FUENTE NO BORRAR'!D1055)</f>
        <v/>
      </c>
      <c r="E1037" s="5" t="str">
        <f>IF('FUENTE NO BORRAR'!E1055="","",'FUENTE NO BORRAR'!E1055)</f>
        <v/>
      </c>
      <c r="F1037" s="6">
        <f>IF('FUENTE NO BORRAR'!F1055="","",IF('FUENTE NO BORRAR'!$A1055&lt;&gt;"Resultado total",('FUENTE NO BORRAR'!F1055),""))</f>
        <v>32007.7</v>
      </c>
      <c r="G1037" s="6">
        <f>IF('FUENTE NO BORRAR'!G1055="","",IF('FUENTE NO BORRAR'!$A1055&lt;&gt;"Resultado total",('FUENTE NO BORRAR'!G1055),""))</f>
        <v>32007.7</v>
      </c>
      <c r="H1037" s="6">
        <f>IF('FUENTE NO BORRAR'!H1055="","",IF('FUENTE NO BORRAR'!$A1055&lt;&gt;"Resultado total",('FUENTE NO BORRAR'!H1055),""))</f>
        <v>30588.29</v>
      </c>
      <c r="I1037" s="6">
        <f>IF('FUENTE NO BORRAR'!I1055="","",IF('FUENTE NO BORRAR'!$A1055&lt;&gt;"Resultado total",('FUENTE NO BORRAR'!I1055),""))</f>
        <v>0</v>
      </c>
    </row>
    <row r="1038" spans="1:9" x14ac:dyDescent="0.2">
      <c r="A1038" s="5" t="str">
        <f>IF('FUENTE NO BORRAR'!A1056="","",(IF('FUENTE NO BORRAR'!A1056&lt;&gt;"Resultado total",'FUENTE NO BORRAR'!A1056,"")))</f>
        <v/>
      </c>
      <c r="B1038" s="5" t="str">
        <f>IF('FUENTE NO BORRAR'!B1056="","",'FUENTE NO BORRAR'!B1056)</f>
        <v/>
      </c>
      <c r="C1038" s="5" t="str">
        <f>IF('FUENTE NO BORRAR'!C1056="","",'FUENTE NO BORRAR'!C1056)</f>
        <v/>
      </c>
      <c r="D1038" s="5" t="str">
        <f>IF('FUENTE NO BORRAR'!D1056="","",'FUENTE NO BORRAR'!D1056)</f>
        <v/>
      </c>
      <c r="E1038" s="5" t="str">
        <f>IF('FUENTE NO BORRAR'!E1056="","",'FUENTE NO BORRAR'!E1056)</f>
        <v/>
      </c>
      <c r="F1038" s="6">
        <f>IF('FUENTE NO BORRAR'!F1056="","",IF('FUENTE NO BORRAR'!$A1056&lt;&gt;"Resultado total",('FUENTE NO BORRAR'!F1056),""))</f>
        <v>5028.6000000000004</v>
      </c>
      <c r="G1038" s="6">
        <f>IF('FUENTE NO BORRAR'!G1056="","",IF('FUENTE NO BORRAR'!$A1056&lt;&gt;"Resultado total",('FUENTE NO BORRAR'!G1056),""))</f>
        <v>5028.6000000000004</v>
      </c>
      <c r="H1038" s="6">
        <f>IF('FUENTE NO BORRAR'!H1056="","",IF('FUENTE NO BORRAR'!$A1056&lt;&gt;"Resultado total",('FUENTE NO BORRAR'!H1056),""))</f>
        <v>5028.6000000000004</v>
      </c>
      <c r="I1038" s="6">
        <f>IF('FUENTE NO BORRAR'!I1056="","",IF('FUENTE NO BORRAR'!$A1056&lt;&gt;"Resultado total",('FUENTE NO BORRAR'!I1056),""))</f>
        <v>0</v>
      </c>
    </row>
    <row r="1039" spans="1:9" x14ac:dyDescent="0.2">
      <c r="A1039" s="5" t="str">
        <f>IF('FUENTE NO BORRAR'!A1057="","",(IF('FUENTE NO BORRAR'!A1057&lt;&gt;"Resultado total",'FUENTE NO BORRAR'!A1057,"")))</f>
        <v/>
      </c>
      <c r="B1039" s="5" t="str">
        <f>IF('FUENTE NO BORRAR'!B1057="","",'FUENTE NO BORRAR'!B1057)</f>
        <v/>
      </c>
      <c r="C1039" s="5" t="str">
        <f>IF('FUENTE NO BORRAR'!C1057="","",'FUENTE NO BORRAR'!C1057)</f>
        <v/>
      </c>
      <c r="D1039" s="5" t="str">
        <f>IF('FUENTE NO BORRAR'!D1057="","",'FUENTE NO BORRAR'!D1057)</f>
        <v/>
      </c>
      <c r="E1039" s="5" t="str">
        <f>IF('FUENTE NO BORRAR'!E1057="","",'FUENTE NO BORRAR'!E1057)</f>
        <v/>
      </c>
      <c r="F1039" s="6">
        <f>IF('FUENTE NO BORRAR'!F1057="","",IF('FUENTE NO BORRAR'!$A1057&lt;&gt;"Resultado total",('FUENTE NO BORRAR'!F1057),""))</f>
        <v>17857.61</v>
      </c>
      <c r="G1039" s="6">
        <f>IF('FUENTE NO BORRAR'!G1057="","",IF('FUENTE NO BORRAR'!$A1057&lt;&gt;"Resultado total",('FUENTE NO BORRAR'!G1057),""))</f>
        <v>17857.61</v>
      </c>
      <c r="H1039" s="6">
        <f>IF('FUENTE NO BORRAR'!H1057="","",IF('FUENTE NO BORRAR'!$A1057&lt;&gt;"Resultado total",('FUENTE NO BORRAR'!H1057),""))</f>
        <v>17625.61</v>
      </c>
      <c r="I1039" s="6">
        <f>IF('FUENTE NO BORRAR'!I1057="","",IF('FUENTE NO BORRAR'!$A1057&lt;&gt;"Resultado total",('FUENTE NO BORRAR'!I1057),""))</f>
        <v>0</v>
      </c>
    </row>
    <row r="1040" spans="1:9" x14ac:dyDescent="0.2">
      <c r="A1040" s="5" t="str">
        <f>IF('FUENTE NO BORRAR'!A1058="","",(IF('FUENTE NO BORRAR'!A1058&lt;&gt;"Resultado total",'FUENTE NO BORRAR'!A1058,"")))</f>
        <v/>
      </c>
      <c r="B1040" s="5" t="str">
        <f>IF('FUENTE NO BORRAR'!B1058="","",'FUENTE NO BORRAR'!B1058)</f>
        <v/>
      </c>
      <c r="C1040" s="5" t="str">
        <f>IF('FUENTE NO BORRAR'!C1058="","",'FUENTE NO BORRAR'!C1058)</f>
        <v/>
      </c>
      <c r="D1040" s="5" t="str">
        <f>IF('FUENTE NO BORRAR'!D1058="","",'FUENTE NO BORRAR'!D1058)</f>
        <v/>
      </c>
      <c r="E1040" s="5" t="str">
        <f>IF('FUENTE NO BORRAR'!E1058="","",'FUENTE NO BORRAR'!E1058)</f>
        <v/>
      </c>
      <c r="F1040" s="6">
        <f>IF('FUENTE NO BORRAR'!F1058="","",IF('FUENTE NO BORRAR'!$A1058&lt;&gt;"Resultado total",('FUENTE NO BORRAR'!F1058),""))</f>
        <v>3576.12</v>
      </c>
      <c r="G1040" s="6">
        <f>IF('FUENTE NO BORRAR'!G1058="","",IF('FUENTE NO BORRAR'!$A1058&lt;&gt;"Resultado total",('FUENTE NO BORRAR'!G1058),""))</f>
        <v>3576.12</v>
      </c>
      <c r="H1040" s="6">
        <f>IF('FUENTE NO BORRAR'!H1058="","",IF('FUENTE NO BORRAR'!$A1058&lt;&gt;"Resultado total",('FUENTE NO BORRAR'!H1058),""))</f>
        <v>0</v>
      </c>
      <c r="I1040" s="6">
        <f>IF('FUENTE NO BORRAR'!I1058="","",IF('FUENTE NO BORRAR'!$A1058&lt;&gt;"Resultado total",('FUENTE NO BORRAR'!I1058),""))</f>
        <v>0</v>
      </c>
    </row>
    <row r="1041" spans="1:9" x14ac:dyDescent="0.2">
      <c r="A1041" s="5" t="str">
        <f>IF('FUENTE NO BORRAR'!A1059="","",(IF('FUENTE NO BORRAR'!A1059&lt;&gt;"Resultado total",'FUENTE NO BORRAR'!A1059,"")))</f>
        <v/>
      </c>
      <c r="B1041" s="5" t="str">
        <f>IF('FUENTE NO BORRAR'!B1059="","",'FUENTE NO BORRAR'!B1059)</f>
        <v/>
      </c>
      <c r="C1041" s="5" t="str">
        <f>IF('FUENTE NO BORRAR'!C1059="","",'FUENTE NO BORRAR'!C1059)</f>
        <v/>
      </c>
      <c r="D1041" s="5" t="str">
        <f>IF('FUENTE NO BORRAR'!D1059="","",'FUENTE NO BORRAR'!D1059)</f>
        <v/>
      </c>
      <c r="E1041" s="5" t="str">
        <f>IF('FUENTE NO BORRAR'!E1059="","",'FUENTE NO BORRAR'!E1059)</f>
        <v/>
      </c>
      <c r="F1041" s="6">
        <f>IF('FUENTE NO BORRAR'!F1059="","",IF('FUENTE NO BORRAR'!$A1059&lt;&gt;"Resultado total",('FUENTE NO BORRAR'!F1059),""))</f>
        <v>59080</v>
      </c>
      <c r="G1041" s="6">
        <f>IF('FUENTE NO BORRAR'!G1059="","",IF('FUENTE NO BORRAR'!$A1059&lt;&gt;"Resultado total",('FUENTE NO BORRAR'!G1059),""))</f>
        <v>59080</v>
      </c>
      <c r="H1041" s="6">
        <f>IF('FUENTE NO BORRAR'!H1059="","",IF('FUENTE NO BORRAR'!$A1059&lt;&gt;"Resultado total",('FUENTE NO BORRAR'!H1059),""))</f>
        <v>59080</v>
      </c>
      <c r="I1041" s="6">
        <f>IF('FUENTE NO BORRAR'!I1059="","",IF('FUENTE NO BORRAR'!$A1059&lt;&gt;"Resultado total",('FUENTE NO BORRAR'!I1059),""))</f>
        <v>0</v>
      </c>
    </row>
    <row r="1042" spans="1:9" x14ac:dyDescent="0.2">
      <c r="A1042" s="5" t="str">
        <f>IF('FUENTE NO BORRAR'!A1060="","",(IF('FUENTE NO BORRAR'!A1060&lt;&gt;"Resultado total",'FUENTE NO BORRAR'!A1060,"")))</f>
        <v/>
      </c>
      <c r="B1042" s="5" t="str">
        <f>IF('FUENTE NO BORRAR'!B1060="","",'FUENTE NO BORRAR'!B1060)</f>
        <v/>
      </c>
      <c r="C1042" s="5" t="str">
        <f>IF('FUENTE NO BORRAR'!C1060="","",'FUENTE NO BORRAR'!C1060)</f>
        <v/>
      </c>
      <c r="D1042" s="5" t="str">
        <f>IF('FUENTE NO BORRAR'!D1060="","",'FUENTE NO BORRAR'!D1060)</f>
        <v/>
      </c>
      <c r="E1042" s="5" t="str">
        <f>IF('FUENTE NO BORRAR'!E1060="","",'FUENTE NO BORRAR'!E1060)</f>
        <v/>
      </c>
      <c r="F1042" s="6">
        <f>IF('FUENTE NO BORRAR'!F1060="","",IF('FUENTE NO BORRAR'!$A1060&lt;&gt;"Resultado total",('FUENTE NO BORRAR'!F1060),""))</f>
        <v>0</v>
      </c>
      <c r="G1042" s="6">
        <f>IF('FUENTE NO BORRAR'!G1060="","",IF('FUENTE NO BORRAR'!$A1060&lt;&gt;"Resultado total",('FUENTE NO BORRAR'!G1060),""))</f>
        <v>0</v>
      </c>
      <c r="H1042" s="6">
        <f>IF('FUENTE NO BORRAR'!H1060="","",IF('FUENTE NO BORRAR'!$A1060&lt;&gt;"Resultado total",('FUENTE NO BORRAR'!H1060),""))</f>
        <v>0</v>
      </c>
      <c r="I1042" s="6">
        <f>IF('FUENTE NO BORRAR'!I1060="","",IF('FUENTE NO BORRAR'!$A1060&lt;&gt;"Resultado total",('FUENTE NO BORRAR'!I1060),""))</f>
        <v>0</v>
      </c>
    </row>
    <row r="1043" spans="1:9" x14ac:dyDescent="0.2">
      <c r="A1043" s="5" t="str">
        <f>IF('FUENTE NO BORRAR'!A1061="","",(IF('FUENTE NO BORRAR'!A1061&lt;&gt;"Resultado total",'FUENTE NO BORRAR'!A1061,"")))</f>
        <v/>
      </c>
      <c r="B1043" s="5" t="str">
        <f>IF('FUENTE NO BORRAR'!B1061="","",'FUENTE NO BORRAR'!B1061)</f>
        <v/>
      </c>
      <c r="C1043" s="5" t="str">
        <f>IF('FUENTE NO BORRAR'!C1061="","",'FUENTE NO BORRAR'!C1061)</f>
        <v/>
      </c>
      <c r="D1043" s="5" t="str">
        <f>IF('FUENTE NO BORRAR'!D1061="","",'FUENTE NO BORRAR'!D1061)</f>
        <v/>
      </c>
      <c r="E1043" s="5" t="str">
        <f>IF('FUENTE NO BORRAR'!E1061="","",'FUENTE NO BORRAR'!E1061)</f>
        <v/>
      </c>
      <c r="F1043" s="6">
        <f>IF('FUENTE NO BORRAR'!F1061="","",IF('FUENTE NO BORRAR'!$A1061&lt;&gt;"Resultado total",('FUENTE NO BORRAR'!F1061),""))</f>
        <v>61566.54</v>
      </c>
      <c r="G1043" s="6">
        <f>IF('FUENTE NO BORRAR'!G1061="","",IF('FUENTE NO BORRAR'!$A1061&lt;&gt;"Resultado total",('FUENTE NO BORRAR'!G1061),""))</f>
        <v>61566.54</v>
      </c>
      <c r="H1043" s="6">
        <f>IF('FUENTE NO BORRAR'!H1061="","",IF('FUENTE NO BORRAR'!$A1061&lt;&gt;"Resultado total",('FUENTE NO BORRAR'!H1061),""))</f>
        <v>61566.54</v>
      </c>
      <c r="I1043" s="6">
        <f>IF('FUENTE NO BORRAR'!I1061="","",IF('FUENTE NO BORRAR'!$A1061&lt;&gt;"Resultado total",('FUENTE NO BORRAR'!I1061),""))</f>
        <v>0</v>
      </c>
    </row>
    <row r="1044" spans="1:9" x14ac:dyDescent="0.2">
      <c r="A1044" s="5" t="str">
        <f>IF('FUENTE NO BORRAR'!A1062="","",(IF('FUENTE NO BORRAR'!A1062&lt;&gt;"Resultado total",'FUENTE NO BORRAR'!A1062,"")))</f>
        <v/>
      </c>
      <c r="B1044" s="5" t="str">
        <f>IF('FUENTE NO BORRAR'!B1062="","",'FUENTE NO BORRAR'!B1062)</f>
        <v/>
      </c>
      <c r="C1044" s="5" t="str">
        <f>IF('FUENTE NO BORRAR'!C1062="","",'FUENTE NO BORRAR'!C1062)</f>
        <v/>
      </c>
      <c r="D1044" s="5" t="str">
        <f>IF('FUENTE NO BORRAR'!D1062="","",'FUENTE NO BORRAR'!D1062)</f>
        <v/>
      </c>
      <c r="E1044" s="5" t="str">
        <f>IF('FUENTE NO BORRAR'!E1062="","",'FUENTE NO BORRAR'!E1062)</f>
        <v/>
      </c>
      <c r="F1044" s="6">
        <f>IF('FUENTE NO BORRAR'!F1062="","",IF('FUENTE NO BORRAR'!$A1062&lt;&gt;"Resultado total",('FUENTE NO BORRAR'!F1062),""))</f>
        <v>20686</v>
      </c>
      <c r="G1044" s="6">
        <f>IF('FUENTE NO BORRAR'!G1062="","",IF('FUENTE NO BORRAR'!$A1062&lt;&gt;"Resultado total",('FUENTE NO BORRAR'!G1062),""))</f>
        <v>20686</v>
      </c>
      <c r="H1044" s="6">
        <f>IF('FUENTE NO BORRAR'!H1062="","",IF('FUENTE NO BORRAR'!$A1062&lt;&gt;"Resultado total",('FUENTE NO BORRAR'!H1062),""))</f>
        <v>20686</v>
      </c>
      <c r="I1044" s="6">
        <f>IF('FUENTE NO BORRAR'!I1062="","",IF('FUENTE NO BORRAR'!$A1062&lt;&gt;"Resultado total",('FUENTE NO BORRAR'!I1062),""))</f>
        <v>0</v>
      </c>
    </row>
    <row r="1045" spans="1:9" x14ac:dyDescent="0.2">
      <c r="A1045" s="5" t="str">
        <f>IF('FUENTE NO BORRAR'!A1063="","",(IF('FUENTE NO BORRAR'!A1063&lt;&gt;"Resultado total",'FUENTE NO BORRAR'!A1063,"")))</f>
        <v/>
      </c>
      <c r="B1045" s="5" t="str">
        <f>IF('FUENTE NO BORRAR'!B1063="","",'FUENTE NO BORRAR'!B1063)</f>
        <v/>
      </c>
      <c r="C1045" s="5" t="str">
        <f>IF('FUENTE NO BORRAR'!C1063="","",'FUENTE NO BORRAR'!C1063)</f>
        <v/>
      </c>
      <c r="D1045" s="5" t="str">
        <f>IF('FUENTE NO BORRAR'!D1063="","",'FUENTE NO BORRAR'!D1063)</f>
        <v/>
      </c>
      <c r="E1045" s="5" t="str">
        <f>IF('FUENTE NO BORRAR'!E1063="","",'FUENTE NO BORRAR'!E1063)</f>
        <v/>
      </c>
      <c r="F1045" s="6">
        <f>IF('FUENTE NO BORRAR'!F1063="","",IF('FUENTE NO BORRAR'!$A1063&lt;&gt;"Resultado total",('FUENTE NO BORRAR'!F1063),""))</f>
        <v>11440</v>
      </c>
      <c r="G1045" s="6">
        <f>IF('FUENTE NO BORRAR'!G1063="","",IF('FUENTE NO BORRAR'!$A1063&lt;&gt;"Resultado total",('FUENTE NO BORRAR'!G1063),""))</f>
        <v>11440</v>
      </c>
      <c r="H1045" s="6">
        <f>IF('FUENTE NO BORRAR'!H1063="","",IF('FUENTE NO BORRAR'!$A1063&lt;&gt;"Resultado total",('FUENTE NO BORRAR'!H1063),""))</f>
        <v>11439.98</v>
      </c>
      <c r="I1045" s="6">
        <f>IF('FUENTE NO BORRAR'!I1063="","",IF('FUENTE NO BORRAR'!$A1063&lt;&gt;"Resultado total",('FUENTE NO BORRAR'!I1063),""))</f>
        <v>0</v>
      </c>
    </row>
    <row r="1046" spans="1:9" x14ac:dyDescent="0.2">
      <c r="A1046" s="5" t="str">
        <f>IF('FUENTE NO BORRAR'!A1064="","",(IF('FUENTE NO BORRAR'!A1064&lt;&gt;"Resultado total",'FUENTE NO BORRAR'!A1064,"")))</f>
        <v/>
      </c>
      <c r="B1046" s="5" t="str">
        <f>IF('FUENTE NO BORRAR'!B1064="","",'FUENTE NO BORRAR'!B1064)</f>
        <v/>
      </c>
      <c r="C1046" s="5" t="str">
        <f>IF('FUENTE NO BORRAR'!C1064="","",'FUENTE NO BORRAR'!C1064)</f>
        <v/>
      </c>
      <c r="D1046" s="5" t="str">
        <f>IF('FUENTE NO BORRAR'!D1064="","",'FUENTE NO BORRAR'!D1064)</f>
        <v/>
      </c>
      <c r="E1046" s="5" t="str">
        <f>IF('FUENTE NO BORRAR'!E1064="","",'FUENTE NO BORRAR'!E1064)</f>
        <v/>
      </c>
      <c r="F1046" s="6">
        <f>IF('FUENTE NO BORRAR'!F1064="","",IF('FUENTE NO BORRAR'!$A1064&lt;&gt;"Resultado total",('FUENTE NO BORRAR'!F1064),""))</f>
        <v>525.66999999999996</v>
      </c>
      <c r="G1046" s="6">
        <f>IF('FUENTE NO BORRAR'!G1064="","",IF('FUENTE NO BORRAR'!$A1064&lt;&gt;"Resultado total",('FUENTE NO BORRAR'!G1064),""))</f>
        <v>525.66999999999996</v>
      </c>
      <c r="H1046" s="6">
        <f>IF('FUENTE NO BORRAR'!H1064="","",IF('FUENTE NO BORRAR'!$A1064&lt;&gt;"Resultado total",('FUENTE NO BORRAR'!H1064),""))</f>
        <v>489.67</v>
      </c>
      <c r="I1046" s="6">
        <f>IF('FUENTE NO BORRAR'!I1064="","",IF('FUENTE NO BORRAR'!$A1064&lt;&gt;"Resultado total",('FUENTE NO BORRAR'!I1064),""))</f>
        <v>0</v>
      </c>
    </row>
    <row r="1047" spans="1:9" x14ac:dyDescent="0.2">
      <c r="A1047" s="5" t="str">
        <f>IF('FUENTE NO BORRAR'!A1065="","",(IF('FUENTE NO BORRAR'!A1065&lt;&gt;"Resultado total",'FUENTE NO BORRAR'!A1065,"")))</f>
        <v/>
      </c>
      <c r="B1047" s="5" t="str">
        <f>IF('FUENTE NO BORRAR'!B1065="","",'FUENTE NO BORRAR'!B1065)</f>
        <v/>
      </c>
      <c r="C1047" s="5" t="str">
        <f>IF('FUENTE NO BORRAR'!C1065="","",'FUENTE NO BORRAR'!C1065)</f>
        <v/>
      </c>
      <c r="D1047" s="5" t="str">
        <f>IF('FUENTE NO BORRAR'!D1065="","",'FUENTE NO BORRAR'!D1065)</f>
        <v/>
      </c>
      <c r="E1047" s="5" t="str">
        <f>IF('FUENTE NO BORRAR'!E1065="","",'FUENTE NO BORRAR'!E1065)</f>
        <v/>
      </c>
      <c r="F1047" s="6">
        <f>IF('FUENTE NO BORRAR'!F1065="","",IF('FUENTE NO BORRAR'!$A1065&lt;&gt;"Resultado total",('FUENTE NO BORRAR'!F1065),""))</f>
        <v>11.4</v>
      </c>
      <c r="G1047" s="6">
        <f>IF('FUENTE NO BORRAR'!G1065="","",IF('FUENTE NO BORRAR'!$A1065&lt;&gt;"Resultado total",('FUENTE NO BORRAR'!G1065),""))</f>
        <v>11.4</v>
      </c>
      <c r="H1047" s="6">
        <f>IF('FUENTE NO BORRAR'!H1065="","",IF('FUENTE NO BORRAR'!$A1065&lt;&gt;"Resultado total",('FUENTE NO BORRAR'!H1065),""))</f>
        <v>11.4</v>
      </c>
      <c r="I1047" s="6">
        <f>IF('FUENTE NO BORRAR'!I1065="","",IF('FUENTE NO BORRAR'!$A1065&lt;&gt;"Resultado total",('FUENTE NO BORRAR'!I1065),""))</f>
        <v>0</v>
      </c>
    </row>
    <row r="1048" spans="1:9" x14ac:dyDescent="0.2">
      <c r="A1048" s="5" t="str">
        <f>IF('FUENTE NO BORRAR'!A1066="","",(IF('FUENTE NO BORRAR'!A1066&lt;&gt;"Resultado total",'FUENTE NO BORRAR'!A1066,"")))</f>
        <v/>
      </c>
      <c r="B1048" s="5" t="str">
        <f>IF('FUENTE NO BORRAR'!B1066="","",'FUENTE NO BORRAR'!B1066)</f>
        <v/>
      </c>
      <c r="C1048" s="5" t="str">
        <f>IF('FUENTE NO BORRAR'!C1066="","",'FUENTE NO BORRAR'!C1066)</f>
        <v/>
      </c>
      <c r="D1048" s="5" t="str">
        <f>IF('FUENTE NO BORRAR'!D1066="","",'FUENTE NO BORRAR'!D1066)</f>
        <v/>
      </c>
      <c r="E1048" s="5" t="str">
        <f>IF('FUENTE NO BORRAR'!E1066="","",'FUENTE NO BORRAR'!E1066)</f>
        <v/>
      </c>
      <c r="F1048" s="6">
        <f>IF('FUENTE NO BORRAR'!F1066="","",IF('FUENTE NO BORRAR'!$A1066&lt;&gt;"Resultado total",('FUENTE NO BORRAR'!F1066),""))</f>
        <v>0</v>
      </c>
      <c r="G1048" s="6">
        <f>IF('FUENTE NO BORRAR'!G1066="","",IF('FUENTE NO BORRAR'!$A1066&lt;&gt;"Resultado total",('FUENTE NO BORRAR'!G1066),""))</f>
        <v>0</v>
      </c>
      <c r="H1048" s="6">
        <f>IF('FUENTE NO BORRAR'!H1066="","",IF('FUENTE NO BORRAR'!$A1066&lt;&gt;"Resultado total",('FUENTE NO BORRAR'!H1066),""))</f>
        <v>0</v>
      </c>
      <c r="I1048" s="6">
        <f>IF('FUENTE NO BORRAR'!I1066="","",IF('FUENTE NO BORRAR'!$A1066&lt;&gt;"Resultado total",('FUENTE NO BORRAR'!I1066),""))</f>
        <v>0</v>
      </c>
    </row>
    <row r="1049" spans="1:9" x14ac:dyDescent="0.2">
      <c r="A1049" s="5" t="str">
        <f>IF('FUENTE NO BORRAR'!A1067="","",(IF('FUENTE NO BORRAR'!A1067&lt;&gt;"Resultado total",'FUENTE NO BORRAR'!A1067,"")))</f>
        <v/>
      </c>
      <c r="B1049" s="5" t="str">
        <f>IF('FUENTE NO BORRAR'!B1067="","",'FUENTE NO BORRAR'!B1067)</f>
        <v/>
      </c>
      <c r="C1049" s="5" t="str">
        <f>IF('FUENTE NO BORRAR'!C1067="","",'FUENTE NO BORRAR'!C1067)</f>
        <v/>
      </c>
      <c r="D1049" s="5" t="str">
        <f>IF('FUENTE NO BORRAR'!D1067="","",'FUENTE NO BORRAR'!D1067)</f>
        <v/>
      </c>
      <c r="E1049" s="5" t="str">
        <f>IF('FUENTE NO BORRAR'!E1067="","",'FUENTE NO BORRAR'!E1067)</f>
        <v/>
      </c>
      <c r="F1049" s="6">
        <f>IF('FUENTE NO BORRAR'!F1067="","",IF('FUENTE NO BORRAR'!$A1067&lt;&gt;"Resultado total",('FUENTE NO BORRAR'!F1067),""))</f>
        <v>0</v>
      </c>
      <c r="G1049" s="6">
        <f>IF('FUENTE NO BORRAR'!G1067="","",IF('FUENTE NO BORRAR'!$A1067&lt;&gt;"Resultado total",('FUENTE NO BORRAR'!G1067),""))</f>
        <v>0</v>
      </c>
      <c r="H1049" s="6">
        <f>IF('FUENTE NO BORRAR'!H1067="","",IF('FUENTE NO BORRAR'!$A1067&lt;&gt;"Resultado total",('FUENTE NO BORRAR'!H1067),""))</f>
        <v>0</v>
      </c>
      <c r="I1049" s="6">
        <f>IF('FUENTE NO BORRAR'!I1067="","",IF('FUENTE NO BORRAR'!$A1067&lt;&gt;"Resultado total",('FUENTE NO BORRAR'!I1067),""))</f>
        <v>0</v>
      </c>
    </row>
    <row r="1050" spans="1:9" x14ac:dyDescent="0.2">
      <c r="A1050" s="5" t="str">
        <f>IF('FUENTE NO BORRAR'!A1068="","",(IF('FUENTE NO BORRAR'!A1068&lt;&gt;"Resultado total",'FUENTE NO BORRAR'!A1068,"")))</f>
        <v/>
      </c>
      <c r="B1050" s="5" t="str">
        <f>IF('FUENTE NO BORRAR'!B1068="","",'FUENTE NO BORRAR'!B1068)</f>
        <v/>
      </c>
      <c r="C1050" s="5" t="str">
        <f>IF('FUENTE NO BORRAR'!C1068="","",'FUENTE NO BORRAR'!C1068)</f>
        <v/>
      </c>
      <c r="D1050" s="5" t="str">
        <f>IF('FUENTE NO BORRAR'!D1068="","",'FUENTE NO BORRAR'!D1068)</f>
        <v/>
      </c>
      <c r="E1050" s="5" t="str">
        <f>IF('FUENTE NO BORRAR'!E1068="","",'FUENTE NO BORRAR'!E1068)</f>
        <v/>
      </c>
      <c r="F1050" s="6">
        <f>IF('FUENTE NO BORRAR'!F1068="","",IF('FUENTE NO BORRAR'!$A1068&lt;&gt;"Resultado total",('FUENTE NO BORRAR'!F1068),""))</f>
        <v>0</v>
      </c>
      <c r="G1050" s="6">
        <f>IF('FUENTE NO BORRAR'!G1068="","",IF('FUENTE NO BORRAR'!$A1068&lt;&gt;"Resultado total",('FUENTE NO BORRAR'!G1068),""))</f>
        <v>0</v>
      </c>
      <c r="H1050" s="6">
        <f>IF('FUENTE NO BORRAR'!H1068="","",IF('FUENTE NO BORRAR'!$A1068&lt;&gt;"Resultado total",('FUENTE NO BORRAR'!H1068),""))</f>
        <v>0</v>
      </c>
      <c r="I1050" s="6">
        <f>IF('FUENTE NO BORRAR'!I1068="","",IF('FUENTE NO BORRAR'!$A1068&lt;&gt;"Resultado total",('FUENTE NO BORRAR'!I1068),""))</f>
        <v>0</v>
      </c>
    </row>
    <row r="1051" spans="1:9" x14ac:dyDescent="0.2">
      <c r="A1051" s="5" t="str">
        <f>IF('FUENTE NO BORRAR'!A1069="","",(IF('FUENTE NO BORRAR'!A1069&lt;&gt;"Resultado total",'FUENTE NO BORRAR'!A1069,"")))</f>
        <v/>
      </c>
      <c r="B1051" s="5" t="str">
        <f>IF('FUENTE NO BORRAR'!B1069="","",'FUENTE NO BORRAR'!B1069)</f>
        <v/>
      </c>
      <c r="C1051" s="5" t="str">
        <f>IF('FUENTE NO BORRAR'!C1069="","",'FUENTE NO BORRAR'!C1069)</f>
        <v/>
      </c>
      <c r="D1051" s="5" t="str">
        <f>IF('FUENTE NO BORRAR'!D1069="","",'FUENTE NO BORRAR'!D1069)</f>
        <v/>
      </c>
      <c r="E1051" s="5" t="str">
        <f>IF('FUENTE NO BORRAR'!E1069="","",'FUENTE NO BORRAR'!E1069)</f>
        <v/>
      </c>
      <c r="F1051" s="6">
        <f>IF('FUENTE NO BORRAR'!F1069="","",IF('FUENTE NO BORRAR'!$A1069&lt;&gt;"Resultado total",('FUENTE NO BORRAR'!F1069),""))</f>
        <v>29.93</v>
      </c>
      <c r="G1051" s="6">
        <f>IF('FUENTE NO BORRAR'!G1069="","",IF('FUENTE NO BORRAR'!$A1069&lt;&gt;"Resultado total",('FUENTE NO BORRAR'!G1069),""))</f>
        <v>29.93</v>
      </c>
      <c r="H1051" s="6">
        <f>IF('FUENTE NO BORRAR'!H1069="","",IF('FUENTE NO BORRAR'!$A1069&lt;&gt;"Resultado total",('FUENTE NO BORRAR'!H1069),""))</f>
        <v>0</v>
      </c>
      <c r="I1051" s="6">
        <f>IF('FUENTE NO BORRAR'!I1069="","",IF('FUENTE NO BORRAR'!$A1069&lt;&gt;"Resultado total",('FUENTE NO BORRAR'!I1069),""))</f>
        <v>0</v>
      </c>
    </row>
    <row r="1052" spans="1:9" x14ac:dyDescent="0.2">
      <c r="A1052" s="5" t="str">
        <f>IF('FUENTE NO BORRAR'!A1070="","",(IF('FUENTE NO BORRAR'!A1070&lt;&gt;"Resultado total",'FUENTE NO BORRAR'!A1070,"")))</f>
        <v/>
      </c>
      <c r="B1052" s="5" t="str">
        <f>IF('FUENTE NO BORRAR'!B1070="","",'FUENTE NO BORRAR'!B1070)</f>
        <v/>
      </c>
      <c r="C1052" s="5" t="str">
        <f>IF('FUENTE NO BORRAR'!C1070="","",'FUENTE NO BORRAR'!C1070)</f>
        <v/>
      </c>
      <c r="D1052" s="5" t="str">
        <f>IF('FUENTE NO BORRAR'!D1070="","",'FUENTE NO BORRAR'!D1070)</f>
        <v/>
      </c>
      <c r="E1052" s="5" t="str">
        <f>IF('FUENTE NO BORRAR'!E1070="","",'FUENTE NO BORRAR'!E1070)</f>
        <v/>
      </c>
      <c r="F1052" s="6">
        <f>IF('FUENTE NO BORRAR'!F1070="","",IF('FUENTE NO BORRAR'!$A1070&lt;&gt;"Resultado total",('FUENTE NO BORRAR'!F1070),""))</f>
        <v>0</v>
      </c>
      <c r="G1052" s="6">
        <f>IF('FUENTE NO BORRAR'!G1070="","",IF('FUENTE NO BORRAR'!$A1070&lt;&gt;"Resultado total",('FUENTE NO BORRAR'!G1070),""))</f>
        <v>0</v>
      </c>
      <c r="H1052" s="6">
        <f>IF('FUENTE NO BORRAR'!H1070="","",IF('FUENTE NO BORRAR'!$A1070&lt;&gt;"Resultado total",('FUENTE NO BORRAR'!H1070),""))</f>
        <v>0</v>
      </c>
      <c r="I1052" s="6">
        <f>IF('FUENTE NO BORRAR'!I1070="","",IF('FUENTE NO BORRAR'!$A1070&lt;&gt;"Resultado total",('FUENTE NO BORRAR'!I1070),""))</f>
        <v>0</v>
      </c>
    </row>
    <row r="1053" spans="1:9" x14ac:dyDescent="0.2">
      <c r="A1053" s="5" t="str">
        <f>IF('FUENTE NO BORRAR'!A1071="","",(IF('FUENTE NO BORRAR'!A1071&lt;&gt;"Resultado total",'FUENTE NO BORRAR'!A1071,"")))</f>
        <v/>
      </c>
      <c r="B1053" s="5" t="str">
        <f>IF('FUENTE NO BORRAR'!B1071="","",'FUENTE NO BORRAR'!B1071)</f>
        <v/>
      </c>
      <c r="C1053" s="5" t="str">
        <f>IF('FUENTE NO BORRAR'!C1071="","",'FUENTE NO BORRAR'!C1071)</f>
        <v/>
      </c>
      <c r="D1053" s="5" t="str">
        <f>IF('FUENTE NO BORRAR'!D1071="","",'FUENTE NO BORRAR'!D1071)</f>
        <v/>
      </c>
      <c r="E1053" s="5" t="str">
        <f>IF('FUENTE NO BORRAR'!E1071="","",'FUENTE NO BORRAR'!E1071)</f>
        <v/>
      </c>
      <c r="F1053" s="6">
        <f>IF('FUENTE NO BORRAR'!F1071="","",IF('FUENTE NO BORRAR'!$A1071&lt;&gt;"Resultado total",('FUENTE NO BORRAR'!F1071),""))</f>
        <v>19175.330000000002</v>
      </c>
      <c r="G1053" s="6">
        <f>IF('FUENTE NO BORRAR'!G1071="","",IF('FUENTE NO BORRAR'!$A1071&lt;&gt;"Resultado total",('FUENTE NO BORRAR'!G1071),""))</f>
        <v>19175.330000000002</v>
      </c>
      <c r="H1053" s="6">
        <f>IF('FUENTE NO BORRAR'!H1071="","",IF('FUENTE NO BORRAR'!$A1071&lt;&gt;"Resultado total",('FUENTE NO BORRAR'!H1071),""))</f>
        <v>19175.330000000002</v>
      </c>
      <c r="I1053" s="6">
        <f>IF('FUENTE NO BORRAR'!I1071="","",IF('FUENTE NO BORRAR'!$A1071&lt;&gt;"Resultado total",('FUENTE NO BORRAR'!I1071),""))</f>
        <v>0</v>
      </c>
    </row>
    <row r="1054" spans="1:9" x14ac:dyDescent="0.2">
      <c r="A1054" s="5" t="str">
        <f>IF('FUENTE NO BORRAR'!A1072="","",(IF('FUENTE NO BORRAR'!A1072&lt;&gt;"Resultado total",'FUENTE NO BORRAR'!A1072,"")))</f>
        <v/>
      </c>
      <c r="B1054" s="5" t="str">
        <f>IF('FUENTE NO BORRAR'!B1072="","",'FUENTE NO BORRAR'!B1072)</f>
        <v/>
      </c>
      <c r="C1054" s="5" t="str">
        <f>IF('FUENTE NO BORRAR'!C1072="","",'FUENTE NO BORRAR'!C1072)</f>
        <v/>
      </c>
      <c r="D1054" s="5" t="str">
        <f>IF('FUENTE NO BORRAR'!D1072="","",'FUENTE NO BORRAR'!D1072)</f>
        <v/>
      </c>
      <c r="E1054" s="5" t="str">
        <f>IF('FUENTE NO BORRAR'!E1072="","",'FUENTE NO BORRAR'!E1072)</f>
        <v/>
      </c>
      <c r="F1054" s="6">
        <f>IF('FUENTE NO BORRAR'!F1072="","",IF('FUENTE NO BORRAR'!$A1072&lt;&gt;"Resultado total",('FUENTE NO BORRAR'!F1072),""))</f>
        <v>0</v>
      </c>
      <c r="G1054" s="6">
        <f>IF('FUENTE NO BORRAR'!G1072="","",IF('FUENTE NO BORRAR'!$A1072&lt;&gt;"Resultado total",('FUENTE NO BORRAR'!G1072),""))</f>
        <v>0</v>
      </c>
      <c r="H1054" s="6">
        <f>IF('FUENTE NO BORRAR'!H1072="","",IF('FUENTE NO BORRAR'!$A1072&lt;&gt;"Resultado total",('FUENTE NO BORRAR'!H1072),""))</f>
        <v>0</v>
      </c>
      <c r="I1054" s="6">
        <f>IF('FUENTE NO BORRAR'!I1072="","",IF('FUENTE NO BORRAR'!$A1072&lt;&gt;"Resultado total",('FUENTE NO BORRAR'!I1072),""))</f>
        <v>0</v>
      </c>
    </row>
    <row r="1055" spans="1:9" x14ac:dyDescent="0.2">
      <c r="A1055" s="5" t="str">
        <f>IF('FUENTE NO BORRAR'!A1073="","",(IF('FUENTE NO BORRAR'!A1073&lt;&gt;"Resultado total",'FUENTE NO BORRAR'!A1073,"")))</f>
        <v/>
      </c>
      <c r="B1055" s="5" t="str">
        <f>IF('FUENTE NO BORRAR'!B1073="","",'FUENTE NO BORRAR'!B1073)</f>
        <v/>
      </c>
      <c r="C1055" s="5" t="str">
        <f>IF('FUENTE NO BORRAR'!C1073="","",'FUENTE NO BORRAR'!C1073)</f>
        <v/>
      </c>
      <c r="D1055" s="5" t="str">
        <f>IF('FUENTE NO BORRAR'!D1073="","",'FUENTE NO BORRAR'!D1073)</f>
        <v/>
      </c>
      <c r="E1055" s="5" t="str">
        <f>IF('FUENTE NO BORRAR'!E1073="","",'FUENTE NO BORRAR'!E1073)</f>
        <v/>
      </c>
      <c r="F1055" s="6">
        <f>IF('FUENTE NO BORRAR'!F1073="","",IF('FUENTE NO BORRAR'!$A1073&lt;&gt;"Resultado total",('FUENTE NO BORRAR'!F1073),""))</f>
        <v>99180.58</v>
      </c>
      <c r="G1055" s="6">
        <f>IF('FUENTE NO BORRAR'!G1073="","",IF('FUENTE NO BORRAR'!$A1073&lt;&gt;"Resultado total",('FUENTE NO BORRAR'!G1073),""))</f>
        <v>99180.58</v>
      </c>
      <c r="H1055" s="6">
        <f>IF('FUENTE NO BORRAR'!H1073="","",IF('FUENTE NO BORRAR'!$A1073&lt;&gt;"Resultado total",('FUENTE NO BORRAR'!H1073),""))</f>
        <v>0</v>
      </c>
      <c r="I1055" s="6">
        <f>IF('FUENTE NO BORRAR'!I1073="","",IF('FUENTE NO BORRAR'!$A1073&lt;&gt;"Resultado total",('FUENTE NO BORRAR'!I1073),""))</f>
        <v>0</v>
      </c>
    </row>
    <row r="1056" spans="1:9" x14ac:dyDescent="0.2">
      <c r="A1056" s="5" t="str">
        <f>IF('FUENTE NO BORRAR'!A1074="","",(IF('FUENTE NO BORRAR'!A1074&lt;&gt;"Resultado total",'FUENTE NO BORRAR'!A1074,"")))</f>
        <v/>
      </c>
      <c r="B1056" s="5" t="str">
        <f>IF('FUENTE NO BORRAR'!B1074="","",'FUENTE NO BORRAR'!B1074)</f>
        <v/>
      </c>
      <c r="C1056" s="5" t="str">
        <f>IF('FUENTE NO BORRAR'!C1074="","",'FUENTE NO BORRAR'!C1074)</f>
        <v/>
      </c>
      <c r="D1056" s="5" t="str">
        <f>IF('FUENTE NO BORRAR'!D1074="","",'FUENTE NO BORRAR'!D1074)</f>
        <v/>
      </c>
      <c r="E1056" s="5" t="str">
        <f>IF('FUENTE NO BORRAR'!E1074="","",'FUENTE NO BORRAR'!E1074)</f>
        <v/>
      </c>
      <c r="F1056" s="6">
        <f>IF('FUENTE NO BORRAR'!F1074="","",IF('FUENTE NO BORRAR'!$A1074&lt;&gt;"Resultado total",('FUENTE NO BORRAR'!F1074),""))</f>
        <v>35700</v>
      </c>
      <c r="G1056" s="6">
        <f>IF('FUENTE NO BORRAR'!G1074="","",IF('FUENTE NO BORRAR'!$A1074&lt;&gt;"Resultado total",('FUENTE NO BORRAR'!G1074),""))</f>
        <v>35700</v>
      </c>
      <c r="H1056" s="6">
        <f>IF('FUENTE NO BORRAR'!H1074="","",IF('FUENTE NO BORRAR'!$A1074&lt;&gt;"Resultado total",('FUENTE NO BORRAR'!H1074),""))</f>
        <v>0</v>
      </c>
      <c r="I1056" s="6">
        <f>IF('FUENTE NO BORRAR'!I1074="","",IF('FUENTE NO BORRAR'!$A1074&lt;&gt;"Resultado total",('FUENTE NO BORRAR'!I1074),""))</f>
        <v>0</v>
      </c>
    </row>
    <row r="1057" spans="1:9" x14ac:dyDescent="0.2">
      <c r="A1057" s="5" t="str">
        <f>IF('FUENTE NO BORRAR'!A1075="","",(IF('FUENTE NO BORRAR'!A1075&lt;&gt;"Resultado total",'FUENTE NO BORRAR'!A1075,"")))</f>
        <v/>
      </c>
      <c r="B1057" s="5" t="str">
        <f>IF('FUENTE NO BORRAR'!B1075="","",'FUENTE NO BORRAR'!B1075)</f>
        <v/>
      </c>
      <c r="C1057" s="5" t="str">
        <f>IF('FUENTE NO BORRAR'!C1075="","",'FUENTE NO BORRAR'!C1075)</f>
        <v/>
      </c>
      <c r="D1057" s="5" t="str">
        <f>IF('FUENTE NO BORRAR'!D1075="","",'FUENTE NO BORRAR'!D1075)</f>
        <v/>
      </c>
      <c r="E1057" s="5" t="str">
        <f>IF('FUENTE NO BORRAR'!E1075="","",'FUENTE NO BORRAR'!E1075)</f>
        <v/>
      </c>
      <c r="F1057" s="6">
        <f>IF('FUENTE NO BORRAR'!F1075="","",IF('FUENTE NO BORRAR'!$A1075&lt;&gt;"Resultado total",('FUENTE NO BORRAR'!F1075),""))</f>
        <v>57040</v>
      </c>
      <c r="G1057" s="6">
        <f>IF('FUENTE NO BORRAR'!G1075="","",IF('FUENTE NO BORRAR'!$A1075&lt;&gt;"Resultado total",('FUENTE NO BORRAR'!G1075),""))</f>
        <v>57040</v>
      </c>
      <c r="H1057" s="6">
        <f>IF('FUENTE NO BORRAR'!H1075="","",IF('FUENTE NO BORRAR'!$A1075&lt;&gt;"Resultado total",('FUENTE NO BORRAR'!H1075),""))</f>
        <v>17400</v>
      </c>
      <c r="I1057" s="6">
        <f>IF('FUENTE NO BORRAR'!I1075="","",IF('FUENTE NO BORRAR'!$A1075&lt;&gt;"Resultado total",('FUENTE NO BORRAR'!I1075),""))</f>
        <v>0</v>
      </c>
    </row>
    <row r="1058" spans="1:9" x14ac:dyDescent="0.2">
      <c r="A1058" s="5" t="str">
        <f>IF('FUENTE NO BORRAR'!A1076="","",(IF('FUENTE NO BORRAR'!A1076&lt;&gt;"Resultado total",'FUENTE NO BORRAR'!A1076,"")))</f>
        <v/>
      </c>
      <c r="B1058" s="5" t="str">
        <f>IF('FUENTE NO BORRAR'!B1076="","",'FUENTE NO BORRAR'!B1076)</f>
        <v/>
      </c>
      <c r="C1058" s="5" t="str">
        <f>IF('FUENTE NO BORRAR'!C1076="","",'FUENTE NO BORRAR'!C1076)</f>
        <v/>
      </c>
      <c r="D1058" s="5" t="str">
        <f>IF('FUENTE NO BORRAR'!D1076="","",'FUENTE NO BORRAR'!D1076)</f>
        <v/>
      </c>
      <c r="E1058" s="5" t="str">
        <f>IF('FUENTE NO BORRAR'!E1076="","",'FUENTE NO BORRAR'!E1076)</f>
        <v/>
      </c>
      <c r="F1058" s="6">
        <f>IF('FUENTE NO BORRAR'!F1076="","",IF('FUENTE NO BORRAR'!$A1076&lt;&gt;"Resultado total",('FUENTE NO BORRAR'!F1076),""))</f>
        <v>80000</v>
      </c>
      <c r="G1058" s="6">
        <f>IF('FUENTE NO BORRAR'!G1076="","",IF('FUENTE NO BORRAR'!$A1076&lt;&gt;"Resultado total",('FUENTE NO BORRAR'!G1076),""))</f>
        <v>80000</v>
      </c>
      <c r="H1058" s="6">
        <f>IF('FUENTE NO BORRAR'!H1076="","",IF('FUENTE NO BORRAR'!$A1076&lt;&gt;"Resultado total",('FUENTE NO BORRAR'!H1076),""))</f>
        <v>80000</v>
      </c>
      <c r="I1058" s="6">
        <f>IF('FUENTE NO BORRAR'!I1076="","",IF('FUENTE NO BORRAR'!$A1076&lt;&gt;"Resultado total",('FUENTE NO BORRAR'!I1076),""))</f>
        <v>0</v>
      </c>
    </row>
    <row r="1059" spans="1:9" x14ac:dyDescent="0.2">
      <c r="A1059" s="5" t="str">
        <f>IF('FUENTE NO BORRAR'!A1077="","",(IF('FUENTE NO BORRAR'!A1077&lt;&gt;"Resultado total",'FUENTE NO BORRAR'!A1077,"")))</f>
        <v/>
      </c>
      <c r="B1059" s="5" t="str">
        <f>IF('FUENTE NO BORRAR'!B1077="","",'FUENTE NO BORRAR'!B1077)</f>
        <v/>
      </c>
      <c r="C1059" s="5" t="str">
        <f>IF('FUENTE NO BORRAR'!C1077="","",'FUENTE NO BORRAR'!C1077)</f>
        <v/>
      </c>
      <c r="D1059" s="5" t="str">
        <f>IF('FUENTE NO BORRAR'!D1077="","",'FUENTE NO BORRAR'!D1077)</f>
        <v/>
      </c>
      <c r="E1059" s="5" t="str">
        <f>IF('FUENTE NO BORRAR'!E1077="","",'FUENTE NO BORRAR'!E1077)</f>
        <v/>
      </c>
      <c r="F1059" s="6">
        <f>IF('FUENTE NO BORRAR'!F1077="","",IF('FUENTE NO BORRAR'!$A1077&lt;&gt;"Resultado total",('FUENTE NO BORRAR'!F1077),""))</f>
        <v>248877.57</v>
      </c>
      <c r="G1059" s="6">
        <f>IF('FUENTE NO BORRAR'!G1077="","",IF('FUENTE NO BORRAR'!$A1077&lt;&gt;"Resultado total",('FUENTE NO BORRAR'!G1077),""))</f>
        <v>248877.57</v>
      </c>
      <c r="H1059" s="6">
        <f>IF('FUENTE NO BORRAR'!H1077="","",IF('FUENTE NO BORRAR'!$A1077&lt;&gt;"Resultado total",('FUENTE NO BORRAR'!H1077),""))</f>
        <v>248877.57</v>
      </c>
      <c r="I1059" s="6">
        <f>IF('FUENTE NO BORRAR'!I1077="","",IF('FUENTE NO BORRAR'!$A1077&lt;&gt;"Resultado total",('FUENTE NO BORRAR'!I1077),""))</f>
        <v>0</v>
      </c>
    </row>
    <row r="1060" spans="1:9" x14ac:dyDescent="0.2">
      <c r="A1060" s="5" t="str">
        <f>IF('FUENTE NO BORRAR'!A1078="","",(IF('FUENTE NO BORRAR'!A1078&lt;&gt;"Resultado total",'FUENTE NO BORRAR'!A1078,"")))</f>
        <v/>
      </c>
      <c r="B1060" s="5" t="str">
        <f>IF('FUENTE NO BORRAR'!B1078="","",'FUENTE NO BORRAR'!B1078)</f>
        <v/>
      </c>
      <c r="C1060" s="5" t="str">
        <f>IF('FUENTE NO BORRAR'!C1078="","",'FUENTE NO BORRAR'!C1078)</f>
        <v/>
      </c>
      <c r="D1060" s="5" t="str">
        <f>IF('FUENTE NO BORRAR'!D1078="","",'FUENTE NO BORRAR'!D1078)</f>
        <v/>
      </c>
      <c r="E1060" s="5" t="str">
        <f>IF('FUENTE NO BORRAR'!E1078="","",'FUENTE NO BORRAR'!E1078)</f>
        <v/>
      </c>
      <c r="F1060" s="6">
        <f>IF('FUENTE NO BORRAR'!F1078="","",IF('FUENTE NO BORRAR'!$A1078&lt;&gt;"Resultado total",('FUENTE NO BORRAR'!F1078),""))</f>
        <v>225359.89</v>
      </c>
      <c r="G1060" s="6">
        <f>IF('FUENTE NO BORRAR'!G1078="","",IF('FUENTE NO BORRAR'!$A1078&lt;&gt;"Resultado total",('FUENTE NO BORRAR'!G1078),""))</f>
        <v>225359.89</v>
      </c>
      <c r="H1060" s="6">
        <f>IF('FUENTE NO BORRAR'!H1078="","",IF('FUENTE NO BORRAR'!$A1078&lt;&gt;"Resultado total",('FUENTE NO BORRAR'!H1078),""))</f>
        <v>221299.89</v>
      </c>
      <c r="I1060" s="6">
        <f>IF('FUENTE NO BORRAR'!I1078="","",IF('FUENTE NO BORRAR'!$A1078&lt;&gt;"Resultado total",('FUENTE NO BORRAR'!I1078),""))</f>
        <v>0</v>
      </c>
    </row>
    <row r="1061" spans="1:9" x14ac:dyDescent="0.2">
      <c r="A1061" s="5" t="str">
        <f>IF('FUENTE NO BORRAR'!A1079="","",(IF('FUENTE NO BORRAR'!A1079&lt;&gt;"Resultado total",'FUENTE NO BORRAR'!A1079,"")))</f>
        <v/>
      </c>
      <c r="B1061" s="5" t="str">
        <f>IF('FUENTE NO BORRAR'!B1079="","",'FUENTE NO BORRAR'!B1079)</f>
        <v/>
      </c>
      <c r="C1061" s="5" t="str">
        <f>IF('FUENTE NO BORRAR'!C1079="","",'FUENTE NO BORRAR'!C1079)</f>
        <v/>
      </c>
      <c r="D1061" s="5" t="str">
        <f>IF('FUENTE NO BORRAR'!D1079="","",'FUENTE NO BORRAR'!D1079)</f>
        <v/>
      </c>
      <c r="E1061" s="5" t="str">
        <f>IF('FUENTE NO BORRAR'!E1079="","",'FUENTE NO BORRAR'!E1079)</f>
        <v/>
      </c>
      <c r="F1061" s="6">
        <f>IF('FUENTE NO BORRAR'!F1079="","",IF('FUENTE NO BORRAR'!$A1079&lt;&gt;"Resultado total",('FUENTE NO BORRAR'!F1079),""))</f>
        <v>180380</v>
      </c>
      <c r="G1061" s="6">
        <f>IF('FUENTE NO BORRAR'!G1079="","",IF('FUENTE NO BORRAR'!$A1079&lt;&gt;"Resultado total",('FUENTE NO BORRAR'!G1079),""))</f>
        <v>180380</v>
      </c>
      <c r="H1061" s="6">
        <f>IF('FUENTE NO BORRAR'!H1079="","",IF('FUENTE NO BORRAR'!$A1079&lt;&gt;"Resultado total",('FUENTE NO BORRAR'!H1079),""))</f>
        <v>180380</v>
      </c>
      <c r="I1061" s="6">
        <f>IF('FUENTE NO BORRAR'!I1079="","",IF('FUENTE NO BORRAR'!$A1079&lt;&gt;"Resultado total",('FUENTE NO BORRAR'!I1079),""))</f>
        <v>0</v>
      </c>
    </row>
    <row r="1062" spans="1:9" x14ac:dyDescent="0.2">
      <c r="A1062" s="5" t="str">
        <f>IF('FUENTE NO BORRAR'!A1080="","",(IF('FUENTE NO BORRAR'!A1080&lt;&gt;"Resultado total",'FUENTE NO BORRAR'!A1080,"")))</f>
        <v/>
      </c>
      <c r="B1062" s="5" t="str">
        <f>IF('FUENTE NO BORRAR'!B1080="","",'FUENTE NO BORRAR'!B1080)</f>
        <v/>
      </c>
      <c r="C1062" s="5" t="str">
        <f>IF('FUENTE NO BORRAR'!C1080="","",'FUENTE NO BORRAR'!C1080)</f>
        <v/>
      </c>
      <c r="D1062" s="5" t="str">
        <f>IF('FUENTE NO BORRAR'!D1080="","",'FUENTE NO BORRAR'!D1080)</f>
        <v/>
      </c>
      <c r="E1062" s="5" t="str">
        <f>IF('FUENTE NO BORRAR'!E1080="","",'FUENTE NO BORRAR'!E1080)</f>
        <v/>
      </c>
      <c r="F1062" s="6">
        <f>IF('FUENTE NO BORRAR'!F1080="","",IF('FUENTE NO BORRAR'!$A1080&lt;&gt;"Resultado total",('FUENTE NO BORRAR'!F1080),""))</f>
        <v>2030</v>
      </c>
      <c r="G1062" s="6">
        <f>IF('FUENTE NO BORRAR'!G1080="","",IF('FUENTE NO BORRAR'!$A1080&lt;&gt;"Resultado total",('FUENTE NO BORRAR'!G1080),""))</f>
        <v>2030</v>
      </c>
      <c r="H1062" s="6">
        <f>IF('FUENTE NO BORRAR'!H1080="","",IF('FUENTE NO BORRAR'!$A1080&lt;&gt;"Resultado total",('FUENTE NO BORRAR'!H1080),""))</f>
        <v>2030</v>
      </c>
      <c r="I1062" s="6">
        <f>IF('FUENTE NO BORRAR'!I1080="","",IF('FUENTE NO BORRAR'!$A1080&lt;&gt;"Resultado total",('FUENTE NO BORRAR'!I1080),""))</f>
        <v>0</v>
      </c>
    </row>
    <row r="1063" spans="1:9" x14ac:dyDescent="0.2">
      <c r="A1063" s="5" t="str">
        <f>IF('FUENTE NO BORRAR'!A1081="","",(IF('FUENTE NO BORRAR'!A1081&lt;&gt;"Resultado total",'FUENTE NO BORRAR'!A1081,"")))</f>
        <v/>
      </c>
      <c r="B1063" s="5" t="str">
        <f>IF('FUENTE NO BORRAR'!B1081="","",'FUENTE NO BORRAR'!B1081)</f>
        <v/>
      </c>
      <c r="C1063" s="5" t="str">
        <f>IF('FUENTE NO BORRAR'!C1081="","",'FUENTE NO BORRAR'!C1081)</f>
        <v/>
      </c>
      <c r="D1063" s="5" t="str">
        <f>IF('FUENTE NO BORRAR'!D1081="","",'FUENTE NO BORRAR'!D1081)</f>
        <v/>
      </c>
      <c r="E1063" s="5" t="str">
        <f>IF('FUENTE NO BORRAR'!E1081="","",'FUENTE NO BORRAR'!E1081)</f>
        <v/>
      </c>
      <c r="F1063" s="6">
        <f>IF('FUENTE NO BORRAR'!F1081="","",IF('FUENTE NO BORRAR'!$A1081&lt;&gt;"Resultado total",('FUENTE NO BORRAR'!F1081),""))</f>
        <v>24480330.559999999</v>
      </c>
      <c r="G1063" s="6">
        <f>IF('FUENTE NO BORRAR'!G1081="","",IF('FUENTE NO BORRAR'!$A1081&lt;&gt;"Resultado total",('FUENTE NO BORRAR'!G1081),""))</f>
        <v>24480330.559999999</v>
      </c>
      <c r="H1063" s="6">
        <f>IF('FUENTE NO BORRAR'!H1081="","",IF('FUENTE NO BORRAR'!$A1081&lt;&gt;"Resultado total",('FUENTE NO BORRAR'!H1081),""))</f>
        <v>22271703.300000001</v>
      </c>
      <c r="I1063" s="6">
        <f>IF('FUENTE NO BORRAR'!I1081="","",IF('FUENTE NO BORRAR'!$A1081&lt;&gt;"Resultado total",('FUENTE NO BORRAR'!I1081),""))</f>
        <v>-4.0000000000000002E-9</v>
      </c>
    </row>
    <row r="1064" spans="1:9" x14ac:dyDescent="0.2">
      <c r="A1064" s="5" t="str">
        <f>IF('FUENTE NO BORRAR'!A1082="","",(IF('FUENTE NO BORRAR'!A1082&lt;&gt;"Resultado total",'FUENTE NO BORRAR'!A1082,"")))</f>
        <v/>
      </c>
      <c r="B1064" s="5" t="str">
        <f>IF('FUENTE NO BORRAR'!B1082="","",'FUENTE NO BORRAR'!B1082)</f>
        <v/>
      </c>
      <c r="C1064" s="5" t="str">
        <f>IF('FUENTE NO BORRAR'!C1082="","",'FUENTE NO BORRAR'!C1082)</f>
        <v/>
      </c>
      <c r="D1064" s="5" t="str">
        <f>IF('FUENTE NO BORRAR'!D1082="","",'FUENTE NO BORRAR'!D1082)</f>
        <v/>
      </c>
      <c r="E1064" s="5" t="str">
        <f>IF('FUENTE NO BORRAR'!E1082="","",'FUENTE NO BORRAR'!E1082)</f>
        <v/>
      </c>
      <c r="F1064" s="6">
        <f>IF('FUENTE NO BORRAR'!F1082="","",IF('FUENTE NO BORRAR'!$A1082&lt;&gt;"Resultado total",('FUENTE NO BORRAR'!F1082),""))</f>
        <v>114132.04</v>
      </c>
      <c r="G1064" s="6">
        <f>IF('FUENTE NO BORRAR'!G1082="","",IF('FUENTE NO BORRAR'!$A1082&lt;&gt;"Resultado total",('FUENTE NO BORRAR'!G1082),""))</f>
        <v>114132.04</v>
      </c>
      <c r="H1064" s="6">
        <f>IF('FUENTE NO BORRAR'!H1082="","",IF('FUENTE NO BORRAR'!$A1082&lt;&gt;"Resultado total",('FUENTE NO BORRAR'!H1082),""))</f>
        <v>99586.58</v>
      </c>
      <c r="I1064" s="6">
        <f>IF('FUENTE NO BORRAR'!I1082="","",IF('FUENTE NO BORRAR'!$A1082&lt;&gt;"Resultado total",('FUENTE NO BORRAR'!I1082),""))</f>
        <v>0</v>
      </c>
    </row>
    <row r="1065" spans="1:9" x14ac:dyDescent="0.2">
      <c r="A1065" s="5" t="str">
        <f>IF('FUENTE NO BORRAR'!A1083="","",(IF('FUENTE NO BORRAR'!A1083&lt;&gt;"Resultado total",'FUENTE NO BORRAR'!A1083,"")))</f>
        <v/>
      </c>
      <c r="B1065" s="5" t="str">
        <f>IF('FUENTE NO BORRAR'!B1083="","",'FUENTE NO BORRAR'!B1083)</f>
        <v/>
      </c>
      <c r="C1065" s="5" t="str">
        <f>IF('FUENTE NO BORRAR'!C1083="","",'FUENTE NO BORRAR'!C1083)</f>
        <v/>
      </c>
      <c r="D1065" s="5" t="str">
        <f>IF('FUENTE NO BORRAR'!D1083="","",'FUENTE NO BORRAR'!D1083)</f>
        <v/>
      </c>
      <c r="E1065" s="5" t="str">
        <f>IF('FUENTE NO BORRAR'!E1083="","",'FUENTE NO BORRAR'!E1083)</f>
        <v/>
      </c>
      <c r="F1065" s="6">
        <f>IF('FUENTE NO BORRAR'!F1083="","",IF('FUENTE NO BORRAR'!$A1083&lt;&gt;"Resultado total",('FUENTE NO BORRAR'!F1083),""))</f>
        <v>32755.95</v>
      </c>
      <c r="G1065" s="6">
        <f>IF('FUENTE NO BORRAR'!G1083="","",IF('FUENTE NO BORRAR'!$A1083&lt;&gt;"Resultado total",('FUENTE NO BORRAR'!G1083),""))</f>
        <v>32755.95</v>
      </c>
      <c r="H1065" s="6">
        <f>IF('FUENTE NO BORRAR'!H1083="","",IF('FUENTE NO BORRAR'!$A1083&lt;&gt;"Resultado total",('FUENTE NO BORRAR'!H1083),""))</f>
        <v>14992.38</v>
      </c>
      <c r="I1065" s="6">
        <f>IF('FUENTE NO BORRAR'!I1083="","",IF('FUENTE NO BORRAR'!$A1083&lt;&gt;"Resultado total",('FUENTE NO BORRAR'!I1083),""))</f>
        <v>0</v>
      </c>
    </row>
    <row r="1066" spans="1:9" x14ac:dyDescent="0.2">
      <c r="A1066" s="5" t="str">
        <f>IF('FUENTE NO BORRAR'!A1084="","",(IF('FUENTE NO BORRAR'!A1084&lt;&gt;"Resultado total",'FUENTE NO BORRAR'!A1084,"")))</f>
        <v/>
      </c>
      <c r="B1066" s="5" t="str">
        <f>IF('FUENTE NO BORRAR'!B1084="","",'FUENTE NO BORRAR'!B1084)</f>
        <v/>
      </c>
      <c r="C1066" s="5" t="str">
        <f>IF('FUENTE NO BORRAR'!C1084="","",'FUENTE NO BORRAR'!C1084)</f>
        <v/>
      </c>
      <c r="D1066" s="5" t="str">
        <f>IF('FUENTE NO BORRAR'!D1084="","",'FUENTE NO BORRAR'!D1084)</f>
        <v/>
      </c>
      <c r="E1066" s="5" t="str">
        <f>IF('FUENTE NO BORRAR'!E1084="","",'FUENTE NO BORRAR'!E1084)</f>
        <v/>
      </c>
      <c r="F1066" s="6">
        <f>IF('FUENTE NO BORRAR'!F1084="","",IF('FUENTE NO BORRAR'!$A1084&lt;&gt;"Resultado total",('FUENTE NO BORRAR'!F1084),""))</f>
        <v>14900</v>
      </c>
      <c r="G1066" s="6">
        <f>IF('FUENTE NO BORRAR'!G1084="","",IF('FUENTE NO BORRAR'!$A1084&lt;&gt;"Resultado total",('FUENTE NO BORRAR'!G1084),""))</f>
        <v>14900</v>
      </c>
      <c r="H1066" s="6">
        <f>IF('FUENTE NO BORRAR'!H1084="","",IF('FUENTE NO BORRAR'!$A1084&lt;&gt;"Resultado total",('FUENTE NO BORRAR'!H1084),""))</f>
        <v>13400</v>
      </c>
      <c r="I1066" s="6">
        <f>IF('FUENTE NO BORRAR'!I1084="","",IF('FUENTE NO BORRAR'!$A1084&lt;&gt;"Resultado total",('FUENTE NO BORRAR'!I1084),""))</f>
        <v>0</v>
      </c>
    </row>
    <row r="1067" spans="1:9" x14ac:dyDescent="0.2">
      <c r="A1067" s="5" t="str">
        <f>IF('FUENTE NO BORRAR'!A1085="","",(IF('FUENTE NO BORRAR'!A1085&lt;&gt;"Resultado total",'FUENTE NO BORRAR'!A1085,"")))</f>
        <v/>
      </c>
      <c r="B1067" s="5" t="str">
        <f>IF('FUENTE NO BORRAR'!B1085="","",'FUENTE NO BORRAR'!B1085)</f>
        <v/>
      </c>
      <c r="C1067" s="5" t="str">
        <f>IF('FUENTE NO BORRAR'!C1085="","",'FUENTE NO BORRAR'!C1085)</f>
        <v/>
      </c>
      <c r="D1067" s="5" t="str">
        <f>IF('FUENTE NO BORRAR'!D1085="","",'FUENTE NO BORRAR'!D1085)</f>
        <v/>
      </c>
      <c r="E1067" s="5" t="str">
        <f>IF('FUENTE NO BORRAR'!E1085="","",'FUENTE NO BORRAR'!E1085)</f>
        <v/>
      </c>
      <c r="F1067" s="6">
        <f>IF('FUENTE NO BORRAR'!F1085="","",IF('FUENTE NO BORRAR'!$A1085&lt;&gt;"Resultado total",('FUENTE NO BORRAR'!F1085),""))</f>
        <v>47371.98</v>
      </c>
      <c r="G1067" s="6">
        <f>IF('FUENTE NO BORRAR'!G1085="","",IF('FUENTE NO BORRAR'!$A1085&lt;&gt;"Resultado total",('FUENTE NO BORRAR'!G1085),""))</f>
        <v>47371.98</v>
      </c>
      <c r="H1067" s="6">
        <f>IF('FUENTE NO BORRAR'!H1085="","",IF('FUENTE NO BORRAR'!$A1085&lt;&gt;"Resultado total",('FUENTE NO BORRAR'!H1085),""))</f>
        <v>5944.99</v>
      </c>
      <c r="I1067" s="6">
        <f>IF('FUENTE NO BORRAR'!I1085="","",IF('FUENTE NO BORRAR'!$A1085&lt;&gt;"Resultado total",('FUENTE NO BORRAR'!I1085),""))</f>
        <v>0</v>
      </c>
    </row>
    <row r="1068" spans="1:9" x14ac:dyDescent="0.2">
      <c r="A1068" s="5" t="str">
        <f>IF('FUENTE NO BORRAR'!A1086="","",(IF('FUENTE NO BORRAR'!A1086&lt;&gt;"Resultado total",'FUENTE NO BORRAR'!A1086,"")))</f>
        <v/>
      </c>
      <c r="B1068" s="5" t="str">
        <f>IF('FUENTE NO BORRAR'!B1086="","",'FUENTE NO BORRAR'!B1086)</f>
        <v/>
      </c>
      <c r="C1068" s="5" t="str">
        <f>IF('FUENTE NO BORRAR'!C1086="","",'FUENTE NO BORRAR'!C1086)</f>
        <v/>
      </c>
      <c r="D1068" s="5" t="str">
        <f>IF('FUENTE NO BORRAR'!D1086="","",'FUENTE NO BORRAR'!D1086)</f>
        <v/>
      </c>
      <c r="E1068" s="5" t="str">
        <f>IF('FUENTE NO BORRAR'!E1086="","",'FUENTE NO BORRAR'!E1086)</f>
        <v/>
      </c>
      <c r="F1068" s="6">
        <f>IF('FUENTE NO BORRAR'!F1086="","",IF('FUENTE NO BORRAR'!$A1086&lt;&gt;"Resultado total",('FUENTE NO BORRAR'!F1086),""))</f>
        <v>1518</v>
      </c>
      <c r="G1068" s="6">
        <f>IF('FUENTE NO BORRAR'!G1086="","",IF('FUENTE NO BORRAR'!$A1086&lt;&gt;"Resultado total",('FUENTE NO BORRAR'!G1086),""))</f>
        <v>1518</v>
      </c>
      <c r="H1068" s="6">
        <f>IF('FUENTE NO BORRAR'!H1086="","",IF('FUENTE NO BORRAR'!$A1086&lt;&gt;"Resultado total",('FUENTE NO BORRAR'!H1086),""))</f>
        <v>1518</v>
      </c>
      <c r="I1068" s="6">
        <f>IF('FUENTE NO BORRAR'!I1086="","",IF('FUENTE NO BORRAR'!$A1086&lt;&gt;"Resultado total",('FUENTE NO BORRAR'!I1086),""))</f>
        <v>0</v>
      </c>
    </row>
    <row r="1069" spans="1:9" x14ac:dyDescent="0.2">
      <c r="A1069" s="5" t="str">
        <f>IF('FUENTE NO BORRAR'!A1087="","",(IF('FUENTE NO BORRAR'!A1087&lt;&gt;"Resultado total",'FUENTE NO BORRAR'!A1087,"")))</f>
        <v/>
      </c>
      <c r="B1069" s="5" t="str">
        <f>IF('FUENTE NO BORRAR'!B1087="","",'FUENTE NO BORRAR'!B1087)</f>
        <v/>
      </c>
      <c r="C1069" s="5" t="str">
        <f>IF('FUENTE NO BORRAR'!C1087="","",'FUENTE NO BORRAR'!C1087)</f>
        <v>21063051E207</v>
      </c>
      <c r="D1069" s="5" t="str">
        <f>IF('FUENTE NO BORRAR'!D1087="","",'FUENTE NO BORRAR'!D1087)</f>
        <v>21063051E207</v>
      </c>
      <c r="E1069" s="5" t="str">
        <f>IF('FUENTE NO BORRAR'!E1087="","",'FUENTE NO BORRAR'!E1087)</f>
        <v/>
      </c>
      <c r="F1069" s="6">
        <f>IF('FUENTE NO BORRAR'!F1087="","",IF('FUENTE NO BORRAR'!$A1087&lt;&gt;"Resultado total",('FUENTE NO BORRAR'!F1087),""))</f>
        <v>477012.41</v>
      </c>
      <c r="G1069" s="6">
        <f>IF('FUENTE NO BORRAR'!G1087="","",IF('FUENTE NO BORRAR'!$A1087&lt;&gt;"Resultado total",('FUENTE NO BORRAR'!G1087),""))</f>
        <v>477012.41</v>
      </c>
      <c r="H1069" s="6">
        <f>IF('FUENTE NO BORRAR'!H1087="","",IF('FUENTE NO BORRAR'!$A1087&lt;&gt;"Resultado total",('FUENTE NO BORRAR'!H1087),""))</f>
        <v>477012.41</v>
      </c>
      <c r="I1069" s="6">
        <f>IF('FUENTE NO BORRAR'!I1087="","",IF('FUENTE NO BORRAR'!$A1087&lt;&gt;"Resultado total",('FUENTE NO BORRAR'!I1087),""))</f>
        <v>0</v>
      </c>
    </row>
    <row r="1070" spans="1:9" x14ac:dyDescent="0.2">
      <c r="A1070" s="5" t="str">
        <f>IF('FUENTE NO BORRAR'!A1088="","",(IF('FUENTE NO BORRAR'!A1088&lt;&gt;"Resultado total",'FUENTE NO BORRAR'!A1088,"")))</f>
        <v/>
      </c>
      <c r="B1070" s="5" t="str">
        <f>IF('FUENTE NO BORRAR'!B1088="","",'FUENTE NO BORRAR'!B1088)</f>
        <v/>
      </c>
      <c r="C1070" s="5" t="str">
        <f>IF('FUENTE NO BORRAR'!C1088="","",'FUENTE NO BORRAR'!C1088)</f>
        <v/>
      </c>
      <c r="D1070" s="5" t="str">
        <f>IF('FUENTE NO BORRAR'!D1088="","",'FUENTE NO BORRAR'!D1088)</f>
        <v/>
      </c>
      <c r="E1070" s="5" t="str">
        <f>IF('FUENTE NO BORRAR'!E1088="","",'FUENTE NO BORRAR'!E1088)</f>
        <v/>
      </c>
      <c r="F1070" s="6">
        <f>IF('FUENTE NO BORRAR'!F1088="","",IF('FUENTE NO BORRAR'!$A1088&lt;&gt;"Resultado total",('FUENTE NO BORRAR'!F1088),""))</f>
        <v>918063.61</v>
      </c>
      <c r="G1070" s="6">
        <f>IF('FUENTE NO BORRAR'!G1088="","",IF('FUENTE NO BORRAR'!$A1088&lt;&gt;"Resultado total",('FUENTE NO BORRAR'!G1088),""))</f>
        <v>918063.61</v>
      </c>
      <c r="H1070" s="6">
        <f>IF('FUENTE NO BORRAR'!H1088="","",IF('FUENTE NO BORRAR'!$A1088&lt;&gt;"Resultado total",('FUENTE NO BORRAR'!H1088),""))</f>
        <v>918063.61</v>
      </c>
      <c r="I1070" s="6">
        <f>IF('FUENTE NO BORRAR'!I1088="","",IF('FUENTE NO BORRAR'!$A1088&lt;&gt;"Resultado total",('FUENTE NO BORRAR'!I1088),""))</f>
        <v>0</v>
      </c>
    </row>
    <row r="1071" spans="1:9" x14ac:dyDescent="0.2">
      <c r="A1071" s="5" t="str">
        <f>IF('FUENTE NO BORRAR'!A1089="","",(IF('FUENTE NO BORRAR'!A1089&lt;&gt;"Resultado total",'FUENTE NO BORRAR'!A1089,"")))</f>
        <v/>
      </c>
      <c r="B1071" s="5" t="str">
        <f>IF('FUENTE NO BORRAR'!B1089="","",'FUENTE NO BORRAR'!B1089)</f>
        <v/>
      </c>
      <c r="C1071" s="5" t="str">
        <f>IF('FUENTE NO BORRAR'!C1089="","",'FUENTE NO BORRAR'!C1089)</f>
        <v/>
      </c>
      <c r="D1071" s="5" t="str">
        <f>IF('FUENTE NO BORRAR'!D1089="","",'FUENTE NO BORRAR'!D1089)</f>
        <v/>
      </c>
      <c r="E1071" s="5" t="str">
        <f>IF('FUENTE NO BORRAR'!E1089="","",'FUENTE NO BORRAR'!E1089)</f>
        <v/>
      </c>
      <c r="F1071" s="6">
        <f>IF('FUENTE NO BORRAR'!F1089="","",IF('FUENTE NO BORRAR'!$A1089&lt;&gt;"Resultado total",('FUENTE NO BORRAR'!F1089),""))</f>
        <v>114862.95</v>
      </c>
      <c r="G1071" s="6">
        <f>IF('FUENTE NO BORRAR'!G1089="","",IF('FUENTE NO BORRAR'!$A1089&lt;&gt;"Resultado total",('FUENTE NO BORRAR'!G1089),""))</f>
        <v>114862.95</v>
      </c>
      <c r="H1071" s="6">
        <f>IF('FUENTE NO BORRAR'!H1089="","",IF('FUENTE NO BORRAR'!$A1089&lt;&gt;"Resultado total",('FUENTE NO BORRAR'!H1089),""))</f>
        <v>114862.95</v>
      </c>
      <c r="I1071" s="6">
        <f>IF('FUENTE NO BORRAR'!I1089="","",IF('FUENTE NO BORRAR'!$A1089&lt;&gt;"Resultado total",('FUENTE NO BORRAR'!I1089),""))</f>
        <v>0</v>
      </c>
    </row>
    <row r="1072" spans="1:9" x14ac:dyDescent="0.2">
      <c r="A1072" s="5" t="str">
        <f>IF('FUENTE NO BORRAR'!A1090="","",(IF('FUENTE NO BORRAR'!A1090&lt;&gt;"Resultado total",'FUENTE NO BORRAR'!A1090,"")))</f>
        <v/>
      </c>
      <c r="B1072" s="5" t="str">
        <f>IF('FUENTE NO BORRAR'!B1090="","",'FUENTE NO BORRAR'!B1090)</f>
        <v/>
      </c>
      <c r="C1072" s="5" t="str">
        <f>IF('FUENTE NO BORRAR'!C1090="","",'FUENTE NO BORRAR'!C1090)</f>
        <v/>
      </c>
      <c r="D1072" s="5" t="str">
        <f>IF('FUENTE NO BORRAR'!D1090="","",'FUENTE NO BORRAR'!D1090)</f>
        <v/>
      </c>
      <c r="E1072" s="5" t="str">
        <f>IF('FUENTE NO BORRAR'!E1090="","",'FUENTE NO BORRAR'!E1090)</f>
        <v/>
      </c>
      <c r="F1072" s="6">
        <f>IF('FUENTE NO BORRAR'!F1090="","",IF('FUENTE NO BORRAR'!$A1090&lt;&gt;"Resultado total",('FUENTE NO BORRAR'!F1090),""))</f>
        <v>51475.93</v>
      </c>
      <c r="G1072" s="6">
        <f>IF('FUENTE NO BORRAR'!G1090="","",IF('FUENTE NO BORRAR'!$A1090&lt;&gt;"Resultado total",('FUENTE NO BORRAR'!G1090),""))</f>
        <v>51475.93</v>
      </c>
      <c r="H1072" s="6">
        <f>IF('FUENTE NO BORRAR'!H1090="","",IF('FUENTE NO BORRAR'!$A1090&lt;&gt;"Resultado total",('FUENTE NO BORRAR'!H1090),""))</f>
        <v>51475.93</v>
      </c>
      <c r="I1072" s="6">
        <f>IF('FUENTE NO BORRAR'!I1090="","",IF('FUENTE NO BORRAR'!$A1090&lt;&gt;"Resultado total",('FUENTE NO BORRAR'!I1090),""))</f>
        <v>0</v>
      </c>
    </row>
    <row r="1073" spans="1:9" x14ac:dyDescent="0.2">
      <c r="A1073" s="5" t="str">
        <f>IF('FUENTE NO BORRAR'!A1091="","",(IF('FUENTE NO BORRAR'!A1091&lt;&gt;"Resultado total",'FUENTE NO BORRAR'!A1091,"")))</f>
        <v/>
      </c>
      <c r="B1073" s="5" t="str">
        <f>IF('FUENTE NO BORRAR'!B1091="","",'FUENTE NO BORRAR'!B1091)</f>
        <v/>
      </c>
      <c r="C1073" s="5" t="str">
        <f>IF('FUENTE NO BORRAR'!C1091="","",'FUENTE NO BORRAR'!C1091)</f>
        <v/>
      </c>
      <c r="D1073" s="5" t="str">
        <f>IF('FUENTE NO BORRAR'!D1091="","",'FUENTE NO BORRAR'!D1091)</f>
        <v/>
      </c>
      <c r="E1073" s="5" t="str">
        <f>IF('FUENTE NO BORRAR'!E1091="","",'FUENTE NO BORRAR'!E1091)</f>
        <v/>
      </c>
      <c r="F1073" s="6">
        <f>IF('FUENTE NO BORRAR'!F1091="","",IF('FUENTE NO BORRAR'!$A1091&lt;&gt;"Resultado total",('FUENTE NO BORRAR'!F1091),""))</f>
        <v>4143.75</v>
      </c>
      <c r="G1073" s="6">
        <f>IF('FUENTE NO BORRAR'!G1091="","",IF('FUENTE NO BORRAR'!$A1091&lt;&gt;"Resultado total",('FUENTE NO BORRAR'!G1091),""))</f>
        <v>4143.75</v>
      </c>
      <c r="H1073" s="6">
        <f>IF('FUENTE NO BORRAR'!H1091="","",IF('FUENTE NO BORRAR'!$A1091&lt;&gt;"Resultado total",('FUENTE NO BORRAR'!H1091),""))</f>
        <v>4143.75</v>
      </c>
      <c r="I1073" s="6">
        <f>IF('FUENTE NO BORRAR'!I1091="","",IF('FUENTE NO BORRAR'!$A1091&lt;&gt;"Resultado total",('FUENTE NO BORRAR'!I1091),""))</f>
        <v>0</v>
      </c>
    </row>
    <row r="1074" spans="1:9" x14ac:dyDescent="0.2">
      <c r="A1074" s="5" t="str">
        <f>IF('FUENTE NO BORRAR'!A1092="","",(IF('FUENTE NO BORRAR'!A1092&lt;&gt;"Resultado total",'FUENTE NO BORRAR'!A1092,"")))</f>
        <v/>
      </c>
      <c r="B1074" s="5" t="str">
        <f>IF('FUENTE NO BORRAR'!B1092="","",'FUENTE NO BORRAR'!B1092)</f>
        <v/>
      </c>
      <c r="C1074" s="5" t="str">
        <f>IF('FUENTE NO BORRAR'!C1092="","",'FUENTE NO BORRAR'!C1092)</f>
        <v/>
      </c>
      <c r="D1074" s="5" t="str">
        <f>IF('FUENTE NO BORRAR'!D1092="","",'FUENTE NO BORRAR'!D1092)</f>
        <v/>
      </c>
      <c r="E1074" s="5" t="str">
        <f>IF('FUENTE NO BORRAR'!E1092="","",'FUENTE NO BORRAR'!E1092)</f>
        <v/>
      </c>
      <c r="F1074" s="6">
        <f>IF('FUENTE NO BORRAR'!F1092="","",IF('FUENTE NO BORRAR'!$A1092&lt;&gt;"Resultado total",('FUENTE NO BORRAR'!F1092),""))</f>
        <v>44791.79</v>
      </c>
      <c r="G1074" s="6">
        <f>IF('FUENTE NO BORRAR'!G1092="","",IF('FUENTE NO BORRAR'!$A1092&lt;&gt;"Resultado total",('FUENTE NO BORRAR'!G1092),""))</f>
        <v>44791.79</v>
      </c>
      <c r="H1074" s="6">
        <f>IF('FUENTE NO BORRAR'!H1092="","",IF('FUENTE NO BORRAR'!$A1092&lt;&gt;"Resultado total",('FUENTE NO BORRAR'!H1092),""))</f>
        <v>44791.79</v>
      </c>
      <c r="I1074" s="6">
        <f>IF('FUENTE NO BORRAR'!I1092="","",IF('FUENTE NO BORRAR'!$A1092&lt;&gt;"Resultado total",('FUENTE NO BORRAR'!I1092),""))</f>
        <v>0</v>
      </c>
    </row>
    <row r="1075" spans="1:9" x14ac:dyDescent="0.2">
      <c r="A1075" s="5" t="str">
        <f>IF('FUENTE NO BORRAR'!A1093="","",(IF('FUENTE NO BORRAR'!A1093&lt;&gt;"Resultado total",'FUENTE NO BORRAR'!A1093,"")))</f>
        <v/>
      </c>
      <c r="B1075" s="5" t="str">
        <f>IF('FUENTE NO BORRAR'!B1093="","",'FUENTE NO BORRAR'!B1093)</f>
        <v/>
      </c>
      <c r="C1075" s="5" t="str">
        <f>IF('FUENTE NO BORRAR'!C1093="","",'FUENTE NO BORRAR'!C1093)</f>
        <v/>
      </c>
      <c r="D1075" s="5" t="str">
        <f>IF('FUENTE NO BORRAR'!D1093="","",'FUENTE NO BORRAR'!D1093)</f>
        <v/>
      </c>
      <c r="E1075" s="5" t="str">
        <f>IF('FUENTE NO BORRAR'!E1093="","",'FUENTE NO BORRAR'!E1093)</f>
        <v/>
      </c>
      <c r="F1075" s="6">
        <f>IF('FUENTE NO BORRAR'!F1093="","",IF('FUENTE NO BORRAR'!$A1093&lt;&gt;"Resultado total",('FUENTE NO BORRAR'!F1093),""))</f>
        <v>282139.2</v>
      </c>
      <c r="G1075" s="6">
        <f>IF('FUENTE NO BORRAR'!G1093="","",IF('FUENTE NO BORRAR'!$A1093&lt;&gt;"Resultado total",('FUENTE NO BORRAR'!G1093),""))</f>
        <v>282139.2</v>
      </c>
      <c r="H1075" s="6">
        <f>IF('FUENTE NO BORRAR'!H1093="","",IF('FUENTE NO BORRAR'!$A1093&lt;&gt;"Resultado total",('FUENTE NO BORRAR'!H1093),""))</f>
        <v>282139.2</v>
      </c>
      <c r="I1075" s="6">
        <f>IF('FUENTE NO BORRAR'!I1093="","",IF('FUENTE NO BORRAR'!$A1093&lt;&gt;"Resultado total",('FUENTE NO BORRAR'!I1093),""))</f>
        <v>0</v>
      </c>
    </row>
    <row r="1076" spans="1:9" x14ac:dyDescent="0.2">
      <c r="A1076" s="5" t="str">
        <f>IF('FUENTE NO BORRAR'!A1094="","",(IF('FUENTE NO BORRAR'!A1094&lt;&gt;"Resultado total",'FUENTE NO BORRAR'!A1094,"")))</f>
        <v/>
      </c>
      <c r="B1076" s="5" t="str">
        <f>IF('FUENTE NO BORRAR'!B1094="","",'FUENTE NO BORRAR'!B1094)</f>
        <v/>
      </c>
      <c r="C1076" s="5" t="str">
        <f>IF('FUENTE NO BORRAR'!C1094="","",'FUENTE NO BORRAR'!C1094)</f>
        <v/>
      </c>
      <c r="D1076" s="5" t="str">
        <f>IF('FUENTE NO BORRAR'!D1094="","",'FUENTE NO BORRAR'!D1094)</f>
        <v/>
      </c>
      <c r="E1076" s="5" t="str">
        <f>IF('FUENTE NO BORRAR'!E1094="","",'FUENTE NO BORRAR'!E1094)</f>
        <v/>
      </c>
      <c r="F1076" s="6">
        <f>IF('FUENTE NO BORRAR'!F1094="","",IF('FUENTE NO BORRAR'!$A1094&lt;&gt;"Resultado total",('FUENTE NO BORRAR'!F1094),""))</f>
        <v>704565.2</v>
      </c>
      <c r="G1076" s="6">
        <f>IF('FUENTE NO BORRAR'!G1094="","",IF('FUENTE NO BORRAR'!$A1094&lt;&gt;"Resultado total",('FUENTE NO BORRAR'!G1094),""))</f>
        <v>704565.2</v>
      </c>
      <c r="H1076" s="6">
        <f>IF('FUENTE NO BORRAR'!H1094="","",IF('FUENTE NO BORRAR'!$A1094&lt;&gt;"Resultado total",('FUENTE NO BORRAR'!H1094),""))</f>
        <v>716239.8</v>
      </c>
      <c r="I1076" s="6">
        <f>IF('FUENTE NO BORRAR'!I1094="","",IF('FUENTE NO BORRAR'!$A1094&lt;&gt;"Resultado total",('FUENTE NO BORRAR'!I1094),""))</f>
        <v>0</v>
      </c>
    </row>
    <row r="1077" spans="1:9" x14ac:dyDescent="0.2">
      <c r="A1077" s="5" t="str">
        <f>IF('FUENTE NO BORRAR'!A1095="","",(IF('FUENTE NO BORRAR'!A1095&lt;&gt;"Resultado total",'FUENTE NO BORRAR'!A1095,"")))</f>
        <v/>
      </c>
      <c r="B1077" s="5" t="str">
        <f>IF('FUENTE NO BORRAR'!B1095="","",'FUENTE NO BORRAR'!B1095)</f>
        <v/>
      </c>
      <c r="C1077" s="5" t="str">
        <f>IF('FUENTE NO BORRAR'!C1095="","",'FUENTE NO BORRAR'!C1095)</f>
        <v/>
      </c>
      <c r="D1077" s="5" t="str">
        <f>IF('FUENTE NO BORRAR'!D1095="","",'FUENTE NO BORRAR'!D1095)</f>
        <v/>
      </c>
      <c r="E1077" s="5" t="str">
        <f>IF('FUENTE NO BORRAR'!E1095="","",'FUENTE NO BORRAR'!E1095)</f>
        <v/>
      </c>
      <c r="F1077" s="6">
        <f>IF('FUENTE NO BORRAR'!F1095="","",IF('FUENTE NO BORRAR'!$A1095&lt;&gt;"Resultado total",('FUENTE NO BORRAR'!F1095),""))</f>
        <v>520717.72</v>
      </c>
      <c r="G1077" s="6">
        <f>IF('FUENTE NO BORRAR'!G1095="","",IF('FUENTE NO BORRAR'!$A1095&lt;&gt;"Resultado total",('FUENTE NO BORRAR'!G1095),""))</f>
        <v>520717.72</v>
      </c>
      <c r="H1077" s="6">
        <f>IF('FUENTE NO BORRAR'!H1095="","",IF('FUENTE NO BORRAR'!$A1095&lt;&gt;"Resultado total",('FUENTE NO BORRAR'!H1095),""))</f>
        <v>520717.72</v>
      </c>
      <c r="I1077" s="6">
        <f>IF('FUENTE NO BORRAR'!I1095="","",IF('FUENTE NO BORRAR'!$A1095&lt;&gt;"Resultado total",('FUENTE NO BORRAR'!I1095),""))</f>
        <v>0</v>
      </c>
    </row>
    <row r="1078" spans="1:9" x14ac:dyDescent="0.2">
      <c r="A1078" s="5" t="str">
        <f>IF('FUENTE NO BORRAR'!A1096="","",(IF('FUENTE NO BORRAR'!A1096&lt;&gt;"Resultado total",'FUENTE NO BORRAR'!A1096,"")))</f>
        <v/>
      </c>
      <c r="B1078" s="5" t="str">
        <f>IF('FUENTE NO BORRAR'!B1096="","",'FUENTE NO BORRAR'!B1096)</f>
        <v/>
      </c>
      <c r="C1078" s="5" t="str">
        <f>IF('FUENTE NO BORRAR'!C1096="","",'FUENTE NO BORRAR'!C1096)</f>
        <v/>
      </c>
      <c r="D1078" s="5" t="str">
        <f>IF('FUENTE NO BORRAR'!D1096="","",'FUENTE NO BORRAR'!D1096)</f>
        <v/>
      </c>
      <c r="E1078" s="5" t="str">
        <f>IF('FUENTE NO BORRAR'!E1096="","",'FUENTE NO BORRAR'!E1096)</f>
        <v/>
      </c>
      <c r="F1078" s="6">
        <f>IF('FUENTE NO BORRAR'!F1096="","",IF('FUENTE NO BORRAR'!$A1096&lt;&gt;"Resultado total",('FUENTE NO BORRAR'!F1096),""))</f>
        <v>280509.34000000003</v>
      </c>
      <c r="G1078" s="6">
        <f>IF('FUENTE NO BORRAR'!G1096="","",IF('FUENTE NO BORRAR'!$A1096&lt;&gt;"Resultado total",('FUENTE NO BORRAR'!G1096),""))</f>
        <v>280509.34000000003</v>
      </c>
      <c r="H1078" s="6">
        <f>IF('FUENTE NO BORRAR'!H1096="","",IF('FUENTE NO BORRAR'!$A1096&lt;&gt;"Resultado total",('FUENTE NO BORRAR'!H1096),""))</f>
        <v>280509.34000000003</v>
      </c>
      <c r="I1078" s="6">
        <f>IF('FUENTE NO BORRAR'!I1096="","",IF('FUENTE NO BORRAR'!$A1096&lt;&gt;"Resultado total",('FUENTE NO BORRAR'!I1096),""))</f>
        <v>0</v>
      </c>
    </row>
    <row r="1079" spans="1:9" x14ac:dyDescent="0.2">
      <c r="A1079" s="5" t="str">
        <f>IF('FUENTE NO BORRAR'!A1097="","",(IF('FUENTE NO BORRAR'!A1097&lt;&gt;"Resultado total",'FUENTE NO BORRAR'!A1097,"")))</f>
        <v/>
      </c>
      <c r="B1079" s="5" t="str">
        <f>IF('FUENTE NO BORRAR'!B1097="","",'FUENTE NO BORRAR'!B1097)</f>
        <v/>
      </c>
      <c r="C1079" s="5" t="str">
        <f>IF('FUENTE NO BORRAR'!C1097="","",'FUENTE NO BORRAR'!C1097)</f>
        <v/>
      </c>
      <c r="D1079" s="5" t="str">
        <f>IF('FUENTE NO BORRAR'!D1097="","",'FUENTE NO BORRAR'!D1097)</f>
        <v/>
      </c>
      <c r="E1079" s="5" t="str">
        <f>IF('FUENTE NO BORRAR'!E1097="","",'FUENTE NO BORRAR'!E1097)</f>
        <v/>
      </c>
      <c r="F1079" s="6">
        <f>IF('FUENTE NO BORRAR'!F1097="","",IF('FUENTE NO BORRAR'!$A1097&lt;&gt;"Resultado total",('FUENTE NO BORRAR'!F1097),""))</f>
        <v>89420.24</v>
      </c>
      <c r="G1079" s="6">
        <f>IF('FUENTE NO BORRAR'!G1097="","",IF('FUENTE NO BORRAR'!$A1097&lt;&gt;"Resultado total",('FUENTE NO BORRAR'!G1097),""))</f>
        <v>89420.24</v>
      </c>
      <c r="H1079" s="6">
        <f>IF('FUENTE NO BORRAR'!H1097="","",IF('FUENTE NO BORRAR'!$A1097&lt;&gt;"Resultado total",('FUENTE NO BORRAR'!H1097),""))</f>
        <v>89420.24</v>
      </c>
      <c r="I1079" s="6">
        <f>IF('FUENTE NO BORRAR'!I1097="","",IF('FUENTE NO BORRAR'!$A1097&lt;&gt;"Resultado total",('FUENTE NO BORRAR'!I1097),""))</f>
        <v>0</v>
      </c>
    </row>
    <row r="1080" spans="1:9" x14ac:dyDescent="0.2">
      <c r="A1080" s="5" t="str">
        <f>IF('FUENTE NO BORRAR'!A1098="","",(IF('FUENTE NO BORRAR'!A1098&lt;&gt;"Resultado total",'FUENTE NO BORRAR'!A1098,"")))</f>
        <v/>
      </c>
      <c r="B1080" s="5" t="str">
        <f>IF('FUENTE NO BORRAR'!B1098="","",'FUENTE NO BORRAR'!B1098)</f>
        <v/>
      </c>
      <c r="C1080" s="5" t="str">
        <f>IF('FUENTE NO BORRAR'!C1098="","",'FUENTE NO BORRAR'!C1098)</f>
        <v/>
      </c>
      <c r="D1080" s="5" t="str">
        <f>IF('FUENTE NO BORRAR'!D1098="","",'FUENTE NO BORRAR'!D1098)</f>
        <v/>
      </c>
      <c r="E1080" s="5" t="str">
        <f>IF('FUENTE NO BORRAR'!E1098="","",'FUENTE NO BORRAR'!E1098)</f>
        <v/>
      </c>
      <c r="F1080" s="6">
        <f>IF('FUENTE NO BORRAR'!F1098="","",IF('FUENTE NO BORRAR'!$A1098&lt;&gt;"Resultado total",('FUENTE NO BORRAR'!F1098),""))</f>
        <v>42432.62</v>
      </c>
      <c r="G1080" s="6">
        <f>IF('FUENTE NO BORRAR'!G1098="","",IF('FUENTE NO BORRAR'!$A1098&lt;&gt;"Resultado total",('FUENTE NO BORRAR'!G1098),""))</f>
        <v>42432.62</v>
      </c>
      <c r="H1080" s="6">
        <f>IF('FUENTE NO BORRAR'!H1098="","",IF('FUENTE NO BORRAR'!$A1098&lt;&gt;"Resultado total",('FUENTE NO BORRAR'!H1098),""))</f>
        <v>42432.62</v>
      </c>
      <c r="I1080" s="6">
        <f>IF('FUENTE NO BORRAR'!I1098="","",IF('FUENTE NO BORRAR'!$A1098&lt;&gt;"Resultado total",('FUENTE NO BORRAR'!I1098),""))</f>
        <v>0</v>
      </c>
    </row>
    <row r="1081" spans="1:9" x14ac:dyDescent="0.2">
      <c r="A1081" s="5" t="str">
        <f>IF('FUENTE NO BORRAR'!A1099="","",(IF('FUENTE NO BORRAR'!A1099&lt;&gt;"Resultado total",'FUENTE NO BORRAR'!A1099,"")))</f>
        <v/>
      </c>
      <c r="B1081" s="5" t="str">
        <f>IF('FUENTE NO BORRAR'!B1099="","",'FUENTE NO BORRAR'!B1099)</f>
        <v/>
      </c>
      <c r="C1081" s="5" t="str">
        <f>IF('FUENTE NO BORRAR'!C1099="","",'FUENTE NO BORRAR'!C1099)</f>
        <v/>
      </c>
      <c r="D1081" s="5" t="str">
        <f>IF('FUENTE NO BORRAR'!D1099="","",'FUENTE NO BORRAR'!D1099)</f>
        <v/>
      </c>
      <c r="E1081" s="5" t="str">
        <f>IF('FUENTE NO BORRAR'!E1099="","",'FUENTE NO BORRAR'!E1099)</f>
        <v/>
      </c>
      <c r="F1081" s="6">
        <f>IF('FUENTE NO BORRAR'!F1099="","",IF('FUENTE NO BORRAR'!$A1099&lt;&gt;"Resultado total",('FUENTE NO BORRAR'!F1099),""))</f>
        <v>167479.56</v>
      </c>
      <c r="G1081" s="6">
        <f>IF('FUENTE NO BORRAR'!G1099="","",IF('FUENTE NO BORRAR'!$A1099&lt;&gt;"Resultado total",('FUENTE NO BORRAR'!G1099),""))</f>
        <v>167479.56</v>
      </c>
      <c r="H1081" s="6">
        <f>IF('FUENTE NO BORRAR'!H1099="","",IF('FUENTE NO BORRAR'!$A1099&lt;&gt;"Resultado total",('FUENTE NO BORRAR'!H1099),""))</f>
        <v>167479.56</v>
      </c>
      <c r="I1081" s="6">
        <f>IF('FUENTE NO BORRAR'!I1099="","",IF('FUENTE NO BORRAR'!$A1099&lt;&gt;"Resultado total",('FUENTE NO BORRAR'!I1099),""))</f>
        <v>0</v>
      </c>
    </row>
    <row r="1082" spans="1:9" x14ac:dyDescent="0.2">
      <c r="A1082" s="5" t="str">
        <f>IF('FUENTE NO BORRAR'!A1100="","",(IF('FUENTE NO BORRAR'!A1100&lt;&gt;"Resultado total",'FUENTE NO BORRAR'!A1100,"")))</f>
        <v/>
      </c>
      <c r="B1082" s="5" t="str">
        <f>IF('FUENTE NO BORRAR'!B1100="","",'FUENTE NO BORRAR'!B1100)</f>
        <v/>
      </c>
      <c r="C1082" s="5" t="str">
        <f>IF('FUENTE NO BORRAR'!C1100="","",'FUENTE NO BORRAR'!C1100)</f>
        <v/>
      </c>
      <c r="D1082" s="5" t="str">
        <f>IF('FUENTE NO BORRAR'!D1100="","",'FUENTE NO BORRAR'!D1100)</f>
        <v/>
      </c>
      <c r="E1082" s="5" t="str">
        <f>IF('FUENTE NO BORRAR'!E1100="","",'FUENTE NO BORRAR'!E1100)</f>
        <v/>
      </c>
      <c r="F1082" s="6">
        <f>IF('FUENTE NO BORRAR'!F1100="","",IF('FUENTE NO BORRAR'!$A1100&lt;&gt;"Resultado total",('FUENTE NO BORRAR'!F1100),""))</f>
        <v>620782.82999999996</v>
      </c>
      <c r="G1082" s="6">
        <f>IF('FUENTE NO BORRAR'!G1100="","",IF('FUENTE NO BORRAR'!$A1100&lt;&gt;"Resultado total",('FUENTE NO BORRAR'!G1100),""))</f>
        <v>620782.82999999996</v>
      </c>
      <c r="H1082" s="6">
        <f>IF('FUENTE NO BORRAR'!H1100="","",IF('FUENTE NO BORRAR'!$A1100&lt;&gt;"Resultado total",('FUENTE NO BORRAR'!H1100),""))</f>
        <v>618832.82999999996</v>
      </c>
      <c r="I1082" s="6">
        <f>IF('FUENTE NO BORRAR'!I1100="","",IF('FUENTE NO BORRAR'!$A1100&lt;&gt;"Resultado total",('FUENTE NO BORRAR'!I1100),""))</f>
        <v>0</v>
      </c>
    </row>
    <row r="1083" spans="1:9" x14ac:dyDescent="0.2">
      <c r="A1083" s="5" t="str">
        <f>IF('FUENTE NO BORRAR'!A1101="","",(IF('FUENTE NO BORRAR'!A1101&lt;&gt;"Resultado total",'FUENTE NO BORRAR'!A1101,"")))</f>
        <v/>
      </c>
      <c r="B1083" s="5" t="str">
        <f>IF('FUENTE NO BORRAR'!B1101="","",'FUENTE NO BORRAR'!B1101)</f>
        <v/>
      </c>
      <c r="C1083" s="5" t="str">
        <f>IF('FUENTE NO BORRAR'!C1101="","",'FUENTE NO BORRAR'!C1101)</f>
        <v/>
      </c>
      <c r="D1083" s="5" t="str">
        <f>IF('FUENTE NO BORRAR'!D1101="","",'FUENTE NO BORRAR'!D1101)</f>
        <v/>
      </c>
      <c r="E1083" s="5" t="str">
        <f>IF('FUENTE NO BORRAR'!E1101="","",'FUENTE NO BORRAR'!E1101)</f>
        <v/>
      </c>
      <c r="F1083" s="6">
        <f>IF('FUENTE NO BORRAR'!F1101="","",IF('FUENTE NO BORRAR'!$A1101&lt;&gt;"Resultado total",('FUENTE NO BORRAR'!F1101),""))</f>
        <v>3061.78</v>
      </c>
      <c r="G1083" s="6">
        <f>IF('FUENTE NO BORRAR'!G1101="","",IF('FUENTE NO BORRAR'!$A1101&lt;&gt;"Resultado total",('FUENTE NO BORRAR'!G1101),""))</f>
        <v>3061.78</v>
      </c>
      <c r="H1083" s="6">
        <f>IF('FUENTE NO BORRAR'!H1101="","",IF('FUENTE NO BORRAR'!$A1101&lt;&gt;"Resultado total",('FUENTE NO BORRAR'!H1101),""))</f>
        <v>3061.78</v>
      </c>
      <c r="I1083" s="6">
        <f>IF('FUENTE NO BORRAR'!I1101="","",IF('FUENTE NO BORRAR'!$A1101&lt;&gt;"Resultado total",('FUENTE NO BORRAR'!I1101),""))</f>
        <v>0</v>
      </c>
    </row>
    <row r="1084" spans="1:9" x14ac:dyDescent="0.2">
      <c r="A1084" s="5" t="str">
        <f>IF('FUENTE NO BORRAR'!A1102="","",(IF('FUENTE NO BORRAR'!A1102&lt;&gt;"Resultado total",'FUENTE NO BORRAR'!A1102,"")))</f>
        <v/>
      </c>
      <c r="B1084" s="5" t="str">
        <f>IF('FUENTE NO BORRAR'!B1102="","",'FUENTE NO BORRAR'!B1102)</f>
        <v/>
      </c>
      <c r="C1084" s="5" t="str">
        <f>IF('FUENTE NO BORRAR'!C1102="","",'FUENTE NO BORRAR'!C1102)</f>
        <v/>
      </c>
      <c r="D1084" s="5" t="str">
        <f>IF('FUENTE NO BORRAR'!D1102="","",'FUENTE NO BORRAR'!D1102)</f>
        <v/>
      </c>
      <c r="E1084" s="5" t="str">
        <f>IF('FUENTE NO BORRAR'!E1102="","",'FUENTE NO BORRAR'!E1102)</f>
        <v/>
      </c>
      <c r="F1084" s="6">
        <f>IF('FUENTE NO BORRAR'!F1102="","",IF('FUENTE NO BORRAR'!$A1102&lt;&gt;"Resultado total",('FUENTE NO BORRAR'!F1102),""))</f>
        <v>974.25</v>
      </c>
      <c r="G1084" s="6">
        <f>IF('FUENTE NO BORRAR'!G1102="","",IF('FUENTE NO BORRAR'!$A1102&lt;&gt;"Resultado total",('FUENTE NO BORRAR'!G1102),""))</f>
        <v>974.25</v>
      </c>
      <c r="H1084" s="6">
        <f>IF('FUENTE NO BORRAR'!H1102="","",IF('FUENTE NO BORRAR'!$A1102&lt;&gt;"Resultado total",('FUENTE NO BORRAR'!H1102),""))</f>
        <v>974.25</v>
      </c>
      <c r="I1084" s="6">
        <f>IF('FUENTE NO BORRAR'!I1102="","",IF('FUENTE NO BORRAR'!$A1102&lt;&gt;"Resultado total",('FUENTE NO BORRAR'!I1102),""))</f>
        <v>0</v>
      </c>
    </row>
    <row r="1085" spans="1:9" x14ac:dyDescent="0.2">
      <c r="A1085" s="5" t="str">
        <f>IF('FUENTE NO BORRAR'!A1103="","",(IF('FUENTE NO BORRAR'!A1103&lt;&gt;"Resultado total",'FUENTE NO BORRAR'!A1103,"")))</f>
        <v/>
      </c>
      <c r="B1085" s="5" t="str">
        <f>IF('FUENTE NO BORRAR'!B1103="","",'FUENTE NO BORRAR'!B1103)</f>
        <v/>
      </c>
      <c r="C1085" s="5" t="str">
        <f>IF('FUENTE NO BORRAR'!C1103="","",'FUENTE NO BORRAR'!C1103)</f>
        <v/>
      </c>
      <c r="D1085" s="5" t="str">
        <f>IF('FUENTE NO BORRAR'!D1103="","",'FUENTE NO BORRAR'!D1103)</f>
        <v/>
      </c>
      <c r="E1085" s="5" t="str">
        <f>IF('FUENTE NO BORRAR'!E1103="","",'FUENTE NO BORRAR'!E1103)</f>
        <v/>
      </c>
      <c r="F1085" s="6">
        <f>IF('FUENTE NO BORRAR'!F1103="","",IF('FUENTE NO BORRAR'!$A1103&lt;&gt;"Resultado total",('FUENTE NO BORRAR'!F1103),""))</f>
        <v>0</v>
      </c>
      <c r="G1085" s="6">
        <f>IF('FUENTE NO BORRAR'!G1103="","",IF('FUENTE NO BORRAR'!$A1103&lt;&gt;"Resultado total",('FUENTE NO BORRAR'!G1103),""))</f>
        <v>0</v>
      </c>
      <c r="H1085" s="6">
        <f>IF('FUENTE NO BORRAR'!H1103="","",IF('FUENTE NO BORRAR'!$A1103&lt;&gt;"Resultado total",('FUENTE NO BORRAR'!H1103),""))</f>
        <v>0</v>
      </c>
      <c r="I1085" s="6">
        <f>IF('FUENTE NO BORRAR'!I1103="","",IF('FUENTE NO BORRAR'!$A1103&lt;&gt;"Resultado total",('FUENTE NO BORRAR'!I1103),""))</f>
        <v>0</v>
      </c>
    </row>
    <row r="1086" spans="1:9" x14ac:dyDescent="0.2">
      <c r="A1086" s="5" t="str">
        <f>IF('FUENTE NO BORRAR'!A1104="","",(IF('FUENTE NO BORRAR'!A1104&lt;&gt;"Resultado total",'FUENTE NO BORRAR'!A1104,"")))</f>
        <v/>
      </c>
      <c r="B1086" s="5" t="str">
        <f>IF('FUENTE NO BORRAR'!B1104="","",'FUENTE NO BORRAR'!B1104)</f>
        <v/>
      </c>
      <c r="C1086" s="5" t="str">
        <f>IF('FUENTE NO BORRAR'!C1104="","",'FUENTE NO BORRAR'!C1104)</f>
        <v/>
      </c>
      <c r="D1086" s="5" t="str">
        <f>IF('FUENTE NO BORRAR'!D1104="","",'FUENTE NO BORRAR'!D1104)</f>
        <v/>
      </c>
      <c r="E1086" s="5" t="str">
        <f>IF('FUENTE NO BORRAR'!E1104="","",'FUENTE NO BORRAR'!E1104)</f>
        <v/>
      </c>
      <c r="F1086" s="6">
        <f>IF('FUENTE NO BORRAR'!F1104="","",IF('FUENTE NO BORRAR'!$A1104&lt;&gt;"Resultado total",('FUENTE NO BORRAR'!F1104),""))</f>
        <v>0</v>
      </c>
      <c r="G1086" s="6">
        <f>IF('FUENTE NO BORRAR'!G1104="","",IF('FUENTE NO BORRAR'!$A1104&lt;&gt;"Resultado total",('FUENTE NO BORRAR'!G1104),""))</f>
        <v>0</v>
      </c>
      <c r="H1086" s="6">
        <f>IF('FUENTE NO BORRAR'!H1104="","",IF('FUENTE NO BORRAR'!$A1104&lt;&gt;"Resultado total",('FUENTE NO BORRAR'!H1104),""))</f>
        <v>0</v>
      </c>
      <c r="I1086" s="6">
        <f>IF('FUENTE NO BORRAR'!I1104="","",IF('FUENTE NO BORRAR'!$A1104&lt;&gt;"Resultado total",('FUENTE NO BORRAR'!I1104),""))</f>
        <v>0</v>
      </c>
    </row>
    <row r="1087" spans="1:9" x14ac:dyDescent="0.2">
      <c r="A1087" s="5" t="str">
        <f>IF('FUENTE NO BORRAR'!A1105="","",(IF('FUENTE NO BORRAR'!A1105&lt;&gt;"Resultado total",'FUENTE NO BORRAR'!A1105,"")))</f>
        <v/>
      </c>
      <c r="B1087" s="5" t="str">
        <f>IF('FUENTE NO BORRAR'!B1105="","",'FUENTE NO BORRAR'!B1105)</f>
        <v/>
      </c>
      <c r="C1087" s="5" t="str">
        <f>IF('FUENTE NO BORRAR'!C1105="","",'FUENTE NO BORRAR'!C1105)</f>
        <v/>
      </c>
      <c r="D1087" s="5" t="str">
        <f>IF('FUENTE NO BORRAR'!D1105="","",'FUENTE NO BORRAR'!D1105)</f>
        <v/>
      </c>
      <c r="E1087" s="5" t="str">
        <f>IF('FUENTE NO BORRAR'!E1105="","",'FUENTE NO BORRAR'!E1105)</f>
        <v/>
      </c>
      <c r="F1087" s="6">
        <f>IF('FUENTE NO BORRAR'!F1105="","",IF('FUENTE NO BORRAR'!$A1105&lt;&gt;"Resultado total",('FUENTE NO BORRAR'!F1105),""))</f>
        <v>0</v>
      </c>
      <c r="G1087" s="6">
        <f>IF('FUENTE NO BORRAR'!G1105="","",IF('FUENTE NO BORRAR'!$A1105&lt;&gt;"Resultado total",('FUENTE NO BORRAR'!G1105),""))</f>
        <v>0</v>
      </c>
      <c r="H1087" s="6">
        <f>IF('FUENTE NO BORRAR'!H1105="","",IF('FUENTE NO BORRAR'!$A1105&lt;&gt;"Resultado total",('FUENTE NO BORRAR'!H1105),""))</f>
        <v>0</v>
      </c>
      <c r="I1087" s="6">
        <f>IF('FUENTE NO BORRAR'!I1105="","",IF('FUENTE NO BORRAR'!$A1105&lt;&gt;"Resultado total",('FUENTE NO BORRAR'!I1105),""))</f>
        <v>0</v>
      </c>
    </row>
    <row r="1088" spans="1:9" x14ac:dyDescent="0.2">
      <c r="A1088" s="5" t="str">
        <f>IF('FUENTE NO BORRAR'!A1106="","",(IF('FUENTE NO BORRAR'!A1106&lt;&gt;"Resultado total",'FUENTE NO BORRAR'!A1106,"")))</f>
        <v/>
      </c>
      <c r="B1088" s="5" t="str">
        <f>IF('FUENTE NO BORRAR'!B1106="","",'FUENTE NO BORRAR'!B1106)</f>
        <v/>
      </c>
      <c r="C1088" s="5" t="str">
        <f>IF('FUENTE NO BORRAR'!C1106="","",'FUENTE NO BORRAR'!C1106)</f>
        <v/>
      </c>
      <c r="D1088" s="5" t="str">
        <f>IF('FUENTE NO BORRAR'!D1106="","",'FUENTE NO BORRAR'!D1106)</f>
        <v/>
      </c>
      <c r="E1088" s="5" t="str">
        <f>IF('FUENTE NO BORRAR'!E1106="","",'FUENTE NO BORRAR'!E1106)</f>
        <v/>
      </c>
      <c r="F1088" s="6">
        <f>IF('FUENTE NO BORRAR'!F1106="","",IF('FUENTE NO BORRAR'!$A1106&lt;&gt;"Resultado total",('FUENTE NO BORRAR'!F1106),""))</f>
        <v>76</v>
      </c>
      <c r="G1088" s="6">
        <f>IF('FUENTE NO BORRAR'!G1106="","",IF('FUENTE NO BORRAR'!$A1106&lt;&gt;"Resultado total",('FUENTE NO BORRAR'!G1106),""))</f>
        <v>76</v>
      </c>
      <c r="H1088" s="6">
        <f>IF('FUENTE NO BORRAR'!H1106="","",IF('FUENTE NO BORRAR'!$A1106&lt;&gt;"Resultado total",('FUENTE NO BORRAR'!H1106),""))</f>
        <v>76</v>
      </c>
      <c r="I1088" s="6">
        <f>IF('FUENTE NO BORRAR'!I1106="","",IF('FUENTE NO BORRAR'!$A1106&lt;&gt;"Resultado total",('FUENTE NO BORRAR'!I1106),""))</f>
        <v>0</v>
      </c>
    </row>
    <row r="1089" spans="1:9" x14ac:dyDescent="0.2">
      <c r="A1089" s="5" t="str">
        <f>IF('FUENTE NO BORRAR'!A1107="","",(IF('FUENTE NO BORRAR'!A1107&lt;&gt;"Resultado total",'FUENTE NO BORRAR'!A1107,"")))</f>
        <v/>
      </c>
      <c r="B1089" s="5" t="str">
        <f>IF('FUENTE NO BORRAR'!B1107="","",'FUENTE NO BORRAR'!B1107)</f>
        <v/>
      </c>
      <c r="C1089" s="5" t="str">
        <f>IF('FUENTE NO BORRAR'!C1107="","",'FUENTE NO BORRAR'!C1107)</f>
        <v/>
      </c>
      <c r="D1089" s="5" t="str">
        <f>IF('FUENTE NO BORRAR'!D1107="","",'FUENTE NO BORRAR'!D1107)</f>
        <v/>
      </c>
      <c r="E1089" s="5" t="str">
        <f>IF('FUENTE NO BORRAR'!E1107="","",'FUENTE NO BORRAR'!E1107)</f>
        <v/>
      </c>
      <c r="F1089" s="6">
        <f>IF('FUENTE NO BORRAR'!F1107="","",IF('FUENTE NO BORRAR'!$A1107&lt;&gt;"Resultado total",('FUENTE NO BORRAR'!F1107),""))</f>
        <v>150</v>
      </c>
      <c r="G1089" s="6">
        <f>IF('FUENTE NO BORRAR'!G1107="","",IF('FUENTE NO BORRAR'!$A1107&lt;&gt;"Resultado total",('FUENTE NO BORRAR'!G1107),""))</f>
        <v>150</v>
      </c>
      <c r="H1089" s="6">
        <f>IF('FUENTE NO BORRAR'!H1107="","",IF('FUENTE NO BORRAR'!$A1107&lt;&gt;"Resultado total",('FUENTE NO BORRAR'!H1107),""))</f>
        <v>150</v>
      </c>
      <c r="I1089" s="6">
        <f>IF('FUENTE NO BORRAR'!I1107="","",IF('FUENTE NO BORRAR'!$A1107&lt;&gt;"Resultado total",('FUENTE NO BORRAR'!I1107),""))</f>
        <v>0</v>
      </c>
    </row>
    <row r="1090" spans="1:9" x14ac:dyDescent="0.2">
      <c r="A1090" s="5" t="str">
        <f>IF('FUENTE NO BORRAR'!A1108="","",(IF('FUENTE NO BORRAR'!A1108&lt;&gt;"Resultado total",'FUENTE NO BORRAR'!A1108,"")))</f>
        <v/>
      </c>
      <c r="B1090" s="5" t="str">
        <f>IF('FUENTE NO BORRAR'!B1108="","",'FUENTE NO BORRAR'!B1108)</f>
        <v/>
      </c>
      <c r="C1090" s="5" t="str">
        <f>IF('FUENTE NO BORRAR'!C1108="","",'FUENTE NO BORRAR'!C1108)</f>
        <v/>
      </c>
      <c r="D1090" s="5" t="str">
        <f>IF('FUENTE NO BORRAR'!D1108="","",'FUENTE NO BORRAR'!D1108)</f>
        <v/>
      </c>
      <c r="E1090" s="5" t="str">
        <f>IF('FUENTE NO BORRAR'!E1108="","",'FUENTE NO BORRAR'!E1108)</f>
        <v/>
      </c>
      <c r="F1090" s="6">
        <f>IF('FUENTE NO BORRAR'!F1108="","",IF('FUENTE NO BORRAR'!$A1108&lt;&gt;"Resultado total",('FUENTE NO BORRAR'!F1108),""))</f>
        <v>10957.19</v>
      </c>
      <c r="G1090" s="6">
        <f>IF('FUENTE NO BORRAR'!G1108="","",IF('FUENTE NO BORRAR'!$A1108&lt;&gt;"Resultado total",('FUENTE NO BORRAR'!G1108),""))</f>
        <v>10957.19</v>
      </c>
      <c r="H1090" s="6">
        <f>IF('FUENTE NO BORRAR'!H1108="","",IF('FUENTE NO BORRAR'!$A1108&lt;&gt;"Resultado total",('FUENTE NO BORRAR'!H1108),""))</f>
        <v>10332.19</v>
      </c>
      <c r="I1090" s="6">
        <f>IF('FUENTE NO BORRAR'!I1108="","",IF('FUENTE NO BORRAR'!$A1108&lt;&gt;"Resultado total",('FUENTE NO BORRAR'!I1108),""))</f>
        <v>0</v>
      </c>
    </row>
    <row r="1091" spans="1:9" x14ac:dyDescent="0.2">
      <c r="A1091" s="5" t="str">
        <f>IF('FUENTE NO BORRAR'!A1109="","",(IF('FUENTE NO BORRAR'!A1109&lt;&gt;"Resultado total",'FUENTE NO BORRAR'!A1109,"")))</f>
        <v/>
      </c>
      <c r="B1091" s="5" t="str">
        <f>IF('FUENTE NO BORRAR'!B1109="","",'FUENTE NO BORRAR'!B1109)</f>
        <v/>
      </c>
      <c r="C1091" s="5" t="str">
        <f>IF('FUENTE NO BORRAR'!C1109="","",'FUENTE NO BORRAR'!C1109)</f>
        <v/>
      </c>
      <c r="D1091" s="5" t="str">
        <f>IF('FUENTE NO BORRAR'!D1109="","",'FUENTE NO BORRAR'!D1109)</f>
        <v/>
      </c>
      <c r="E1091" s="5" t="str">
        <f>IF('FUENTE NO BORRAR'!E1109="","",'FUENTE NO BORRAR'!E1109)</f>
        <v/>
      </c>
      <c r="F1091" s="6">
        <f>IF('FUENTE NO BORRAR'!F1109="","",IF('FUENTE NO BORRAR'!$A1109&lt;&gt;"Resultado total",('FUENTE NO BORRAR'!F1109),""))</f>
        <v>1684</v>
      </c>
      <c r="G1091" s="6">
        <f>IF('FUENTE NO BORRAR'!G1109="","",IF('FUENTE NO BORRAR'!$A1109&lt;&gt;"Resultado total",('FUENTE NO BORRAR'!G1109),""))</f>
        <v>1684</v>
      </c>
      <c r="H1091" s="6">
        <f>IF('FUENTE NO BORRAR'!H1109="","",IF('FUENTE NO BORRAR'!$A1109&lt;&gt;"Resultado total",('FUENTE NO BORRAR'!H1109),""))</f>
        <v>1684</v>
      </c>
      <c r="I1091" s="6">
        <f>IF('FUENTE NO BORRAR'!I1109="","",IF('FUENTE NO BORRAR'!$A1109&lt;&gt;"Resultado total",('FUENTE NO BORRAR'!I1109),""))</f>
        <v>0</v>
      </c>
    </row>
    <row r="1092" spans="1:9" x14ac:dyDescent="0.2">
      <c r="A1092" s="5" t="str">
        <f>IF('FUENTE NO BORRAR'!A1110="","",(IF('FUENTE NO BORRAR'!A1110&lt;&gt;"Resultado total",'FUENTE NO BORRAR'!A1110,"")))</f>
        <v/>
      </c>
      <c r="B1092" s="5" t="str">
        <f>IF('FUENTE NO BORRAR'!B1110="","",'FUENTE NO BORRAR'!B1110)</f>
        <v/>
      </c>
      <c r="C1092" s="5" t="str">
        <f>IF('FUENTE NO BORRAR'!C1110="","",'FUENTE NO BORRAR'!C1110)</f>
        <v/>
      </c>
      <c r="D1092" s="5" t="str">
        <f>IF('FUENTE NO BORRAR'!D1110="","",'FUENTE NO BORRAR'!D1110)</f>
        <v/>
      </c>
      <c r="E1092" s="5" t="str">
        <f>IF('FUENTE NO BORRAR'!E1110="","",'FUENTE NO BORRAR'!E1110)</f>
        <v/>
      </c>
      <c r="F1092" s="6">
        <f>IF('FUENTE NO BORRAR'!F1110="","",IF('FUENTE NO BORRAR'!$A1110&lt;&gt;"Resultado total",('FUENTE NO BORRAR'!F1110),""))</f>
        <v>34944.99</v>
      </c>
      <c r="G1092" s="6">
        <f>IF('FUENTE NO BORRAR'!G1110="","",IF('FUENTE NO BORRAR'!$A1110&lt;&gt;"Resultado total",('FUENTE NO BORRAR'!G1110),""))</f>
        <v>34944.99</v>
      </c>
      <c r="H1092" s="6">
        <f>IF('FUENTE NO BORRAR'!H1110="","",IF('FUENTE NO BORRAR'!$A1110&lt;&gt;"Resultado total",('FUENTE NO BORRAR'!H1110),""))</f>
        <v>34944.99</v>
      </c>
      <c r="I1092" s="6">
        <f>IF('FUENTE NO BORRAR'!I1110="","",IF('FUENTE NO BORRAR'!$A1110&lt;&gt;"Resultado total",('FUENTE NO BORRAR'!I1110),""))</f>
        <v>0</v>
      </c>
    </row>
    <row r="1093" spans="1:9" x14ac:dyDescent="0.2">
      <c r="A1093" s="5" t="str">
        <f>IF('FUENTE NO BORRAR'!A1111="","",(IF('FUENTE NO BORRAR'!A1111&lt;&gt;"Resultado total",'FUENTE NO BORRAR'!A1111,"")))</f>
        <v/>
      </c>
      <c r="B1093" s="5" t="str">
        <f>IF('FUENTE NO BORRAR'!B1111="","",'FUENTE NO BORRAR'!B1111)</f>
        <v/>
      </c>
      <c r="C1093" s="5" t="str">
        <f>IF('FUENTE NO BORRAR'!C1111="","",'FUENTE NO BORRAR'!C1111)</f>
        <v/>
      </c>
      <c r="D1093" s="5" t="str">
        <f>IF('FUENTE NO BORRAR'!D1111="","",'FUENTE NO BORRAR'!D1111)</f>
        <v/>
      </c>
      <c r="E1093" s="5" t="str">
        <f>IF('FUENTE NO BORRAR'!E1111="","",'FUENTE NO BORRAR'!E1111)</f>
        <v/>
      </c>
      <c r="F1093" s="6">
        <f>IF('FUENTE NO BORRAR'!F1111="","",IF('FUENTE NO BORRAR'!$A1111&lt;&gt;"Resultado total",('FUENTE NO BORRAR'!F1111),""))</f>
        <v>208800</v>
      </c>
      <c r="G1093" s="6">
        <f>IF('FUENTE NO BORRAR'!G1111="","",IF('FUENTE NO BORRAR'!$A1111&lt;&gt;"Resultado total",('FUENTE NO BORRAR'!G1111),""))</f>
        <v>208800</v>
      </c>
      <c r="H1093" s="6">
        <f>IF('FUENTE NO BORRAR'!H1111="","",IF('FUENTE NO BORRAR'!$A1111&lt;&gt;"Resultado total",('FUENTE NO BORRAR'!H1111),""))</f>
        <v>185600</v>
      </c>
      <c r="I1093" s="6">
        <f>IF('FUENTE NO BORRAR'!I1111="","",IF('FUENTE NO BORRAR'!$A1111&lt;&gt;"Resultado total",('FUENTE NO BORRAR'!I1111),""))</f>
        <v>0</v>
      </c>
    </row>
    <row r="1094" spans="1:9" x14ac:dyDescent="0.2">
      <c r="A1094" s="5" t="str">
        <f>IF('FUENTE NO BORRAR'!A1112="","",(IF('FUENTE NO BORRAR'!A1112&lt;&gt;"Resultado total",'FUENTE NO BORRAR'!A1112,"")))</f>
        <v/>
      </c>
      <c r="B1094" s="5" t="str">
        <f>IF('FUENTE NO BORRAR'!B1112="","",'FUENTE NO BORRAR'!B1112)</f>
        <v/>
      </c>
      <c r="C1094" s="5" t="str">
        <f>IF('FUENTE NO BORRAR'!C1112="","",'FUENTE NO BORRAR'!C1112)</f>
        <v/>
      </c>
      <c r="D1094" s="5" t="str">
        <f>IF('FUENTE NO BORRAR'!D1112="","",'FUENTE NO BORRAR'!D1112)</f>
        <v/>
      </c>
      <c r="E1094" s="5" t="str">
        <f>IF('FUENTE NO BORRAR'!E1112="","",'FUENTE NO BORRAR'!E1112)</f>
        <v/>
      </c>
      <c r="F1094" s="6">
        <f>IF('FUENTE NO BORRAR'!F1112="","",IF('FUENTE NO BORRAR'!$A1112&lt;&gt;"Resultado total",('FUENTE NO BORRAR'!F1112),""))</f>
        <v>2186.6</v>
      </c>
      <c r="G1094" s="6">
        <f>IF('FUENTE NO BORRAR'!G1112="","",IF('FUENTE NO BORRAR'!$A1112&lt;&gt;"Resultado total",('FUENTE NO BORRAR'!G1112),""))</f>
        <v>2186.6</v>
      </c>
      <c r="H1094" s="6">
        <f>IF('FUENTE NO BORRAR'!H1112="","",IF('FUENTE NO BORRAR'!$A1112&lt;&gt;"Resultado total",('FUENTE NO BORRAR'!H1112),""))</f>
        <v>0</v>
      </c>
      <c r="I1094" s="6">
        <f>IF('FUENTE NO BORRAR'!I1112="","",IF('FUENTE NO BORRAR'!$A1112&lt;&gt;"Resultado total",('FUENTE NO BORRAR'!I1112),""))</f>
        <v>0</v>
      </c>
    </row>
    <row r="1095" spans="1:9" x14ac:dyDescent="0.2">
      <c r="A1095" s="5" t="str">
        <f>IF('FUENTE NO BORRAR'!A1113="","",(IF('FUENTE NO BORRAR'!A1113&lt;&gt;"Resultado total",'FUENTE NO BORRAR'!A1113,"")))</f>
        <v/>
      </c>
      <c r="B1095" s="5" t="str">
        <f>IF('FUENTE NO BORRAR'!B1113="","",'FUENTE NO BORRAR'!B1113)</f>
        <v/>
      </c>
      <c r="C1095" s="5" t="str">
        <f>IF('FUENTE NO BORRAR'!C1113="","",'FUENTE NO BORRAR'!C1113)</f>
        <v/>
      </c>
      <c r="D1095" s="5" t="str">
        <f>IF('FUENTE NO BORRAR'!D1113="","",'FUENTE NO BORRAR'!D1113)</f>
        <v/>
      </c>
      <c r="E1095" s="5" t="str">
        <f>IF('FUENTE NO BORRAR'!E1113="","",'FUENTE NO BORRAR'!E1113)</f>
        <v/>
      </c>
      <c r="F1095" s="6">
        <f>IF('FUENTE NO BORRAR'!F1113="","",IF('FUENTE NO BORRAR'!$A1113&lt;&gt;"Resultado total",('FUENTE NO BORRAR'!F1113),""))</f>
        <v>71209.62</v>
      </c>
      <c r="G1095" s="6">
        <f>IF('FUENTE NO BORRAR'!G1113="","",IF('FUENTE NO BORRAR'!$A1113&lt;&gt;"Resultado total",('FUENTE NO BORRAR'!G1113),""))</f>
        <v>71209.62</v>
      </c>
      <c r="H1095" s="6">
        <f>IF('FUENTE NO BORRAR'!H1113="","",IF('FUENTE NO BORRAR'!$A1113&lt;&gt;"Resultado total",('FUENTE NO BORRAR'!H1113),""))</f>
        <v>22543.56</v>
      </c>
      <c r="I1095" s="6">
        <f>IF('FUENTE NO BORRAR'!I1113="","",IF('FUENTE NO BORRAR'!$A1113&lt;&gt;"Resultado total",('FUENTE NO BORRAR'!I1113),""))</f>
        <v>0</v>
      </c>
    </row>
    <row r="1096" spans="1:9" x14ac:dyDescent="0.2">
      <c r="A1096" s="5" t="str">
        <f>IF('FUENTE NO BORRAR'!A1114="","",(IF('FUENTE NO BORRAR'!A1114&lt;&gt;"Resultado total",'FUENTE NO BORRAR'!A1114,"")))</f>
        <v/>
      </c>
      <c r="B1096" s="5" t="str">
        <f>IF('FUENTE NO BORRAR'!B1114="","",'FUENTE NO BORRAR'!B1114)</f>
        <v/>
      </c>
      <c r="C1096" s="5" t="str">
        <f>IF('FUENTE NO BORRAR'!C1114="","",'FUENTE NO BORRAR'!C1114)</f>
        <v/>
      </c>
      <c r="D1096" s="5" t="str">
        <f>IF('FUENTE NO BORRAR'!D1114="","",'FUENTE NO BORRAR'!D1114)</f>
        <v/>
      </c>
      <c r="E1096" s="5" t="str">
        <f>IF('FUENTE NO BORRAR'!E1114="","",'FUENTE NO BORRAR'!E1114)</f>
        <v/>
      </c>
      <c r="F1096" s="6">
        <f>IF('FUENTE NO BORRAR'!F1114="","",IF('FUENTE NO BORRAR'!$A1114&lt;&gt;"Resultado total",('FUENTE NO BORRAR'!F1114),""))</f>
        <v>14964</v>
      </c>
      <c r="G1096" s="6">
        <f>IF('FUENTE NO BORRAR'!G1114="","",IF('FUENTE NO BORRAR'!$A1114&lt;&gt;"Resultado total",('FUENTE NO BORRAR'!G1114),""))</f>
        <v>14964</v>
      </c>
      <c r="H1096" s="6">
        <f>IF('FUENTE NO BORRAR'!H1114="","",IF('FUENTE NO BORRAR'!$A1114&lt;&gt;"Resultado total",('FUENTE NO BORRAR'!H1114),""))</f>
        <v>0</v>
      </c>
      <c r="I1096" s="6">
        <f>IF('FUENTE NO BORRAR'!I1114="","",IF('FUENTE NO BORRAR'!$A1114&lt;&gt;"Resultado total",('FUENTE NO BORRAR'!I1114),""))</f>
        <v>0</v>
      </c>
    </row>
    <row r="1097" spans="1:9" x14ac:dyDescent="0.2">
      <c r="A1097" s="5" t="str">
        <f>IF('FUENTE NO BORRAR'!A1115="","",(IF('FUENTE NO BORRAR'!A1115&lt;&gt;"Resultado total",'FUENTE NO BORRAR'!A1115,"")))</f>
        <v/>
      </c>
      <c r="B1097" s="5" t="str">
        <f>IF('FUENTE NO BORRAR'!B1115="","",'FUENTE NO BORRAR'!B1115)</f>
        <v/>
      </c>
      <c r="C1097" s="5" t="str">
        <f>IF('FUENTE NO BORRAR'!C1115="","",'FUENTE NO BORRAR'!C1115)</f>
        <v>22012121E207</v>
      </c>
      <c r="D1097" s="5" t="str">
        <f>IF('FUENTE NO BORRAR'!D1115="","",'FUENTE NO BORRAR'!D1115)</f>
        <v>22012121E209</v>
      </c>
      <c r="E1097" s="5" t="str">
        <f>IF('FUENTE NO BORRAR'!E1115="","",'FUENTE NO BORRAR'!E1115)</f>
        <v/>
      </c>
      <c r="F1097" s="6">
        <f>IF('FUENTE NO BORRAR'!F1115="","",IF('FUENTE NO BORRAR'!$A1115&lt;&gt;"Resultado total",('FUENTE NO BORRAR'!F1115),""))</f>
        <v>4762277.12</v>
      </c>
      <c r="G1097" s="6">
        <f>IF('FUENTE NO BORRAR'!G1115="","",IF('FUENTE NO BORRAR'!$A1115&lt;&gt;"Resultado total",('FUENTE NO BORRAR'!G1115),""))</f>
        <v>4762277.12</v>
      </c>
      <c r="H1097" s="6">
        <f>IF('FUENTE NO BORRAR'!H1115="","",IF('FUENTE NO BORRAR'!$A1115&lt;&gt;"Resultado total",('FUENTE NO BORRAR'!H1115),""))</f>
        <v>4762277.12</v>
      </c>
      <c r="I1097" s="6">
        <f>IF('FUENTE NO BORRAR'!I1115="","",IF('FUENTE NO BORRAR'!$A1115&lt;&gt;"Resultado total",('FUENTE NO BORRAR'!I1115),""))</f>
        <v>-1.0000000000000001E-9</v>
      </c>
    </row>
    <row r="1098" spans="1:9" x14ac:dyDescent="0.2">
      <c r="A1098" s="5" t="str">
        <f>IF('FUENTE NO BORRAR'!A1116="","",(IF('FUENTE NO BORRAR'!A1116&lt;&gt;"Resultado total",'FUENTE NO BORRAR'!A1116,"")))</f>
        <v/>
      </c>
      <c r="B1098" s="5" t="str">
        <f>IF('FUENTE NO BORRAR'!B1116="","",'FUENTE NO BORRAR'!B1116)</f>
        <v/>
      </c>
      <c r="C1098" s="5" t="str">
        <f>IF('FUENTE NO BORRAR'!C1116="","",'FUENTE NO BORRAR'!C1116)</f>
        <v/>
      </c>
      <c r="D1098" s="5" t="str">
        <f>IF('FUENTE NO BORRAR'!D1116="","",'FUENTE NO BORRAR'!D1116)</f>
        <v/>
      </c>
      <c r="E1098" s="5" t="str">
        <f>IF('FUENTE NO BORRAR'!E1116="","",'FUENTE NO BORRAR'!E1116)</f>
        <v/>
      </c>
      <c r="F1098" s="6">
        <f>IF('FUENTE NO BORRAR'!F1116="","",IF('FUENTE NO BORRAR'!$A1116&lt;&gt;"Resultado total",('FUENTE NO BORRAR'!F1116),""))</f>
        <v>1898111.54</v>
      </c>
      <c r="G1098" s="6">
        <f>IF('FUENTE NO BORRAR'!G1116="","",IF('FUENTE NO BORRAR'!$A1116&lt;&gt;"Resultado total",('FUENTE NO BORRAR'!G1116),""))</f>
        <v>1898111.54</v>
      </c>
      <c r="H1098" s="6">
        <f>IF('FUENTE NO BORRAR'!H1116="","",IF('FUENTE NO BORRAR'!$A1116&lt;&gt;"Resultado total",('FUENTE NO BORRAR'!H1116),""))</f>
        <v>1898111.54</v>
      </c>
      <c r="I1098" s="6">
        <f>IF('FUENTE NO BORRAR'!I1116="","",IF('FUENTE NO BORRAR'!$A1116&lt;&gt;"Resultado total",('FUENTE NO BORRAR'!I1116),""))</f>
        <v>0</v>
      </c>
    </row>
    <row r="1099" spans="1:9" x14ac:dyDescent="0.2">
      <c r="A1099" s="5" t="str">
        <f>IF('FUENTE NO BORRAR'!A1117="","",(IF('FUENTE NO BORRAR'!A1117&lt;&gt;"Resultado total",'FUENTE NO BORRAR'!A1117,"")))</f>
        <v/>
      </c>
      <c r="B1099" s="5" t="str">
        <f>IF('FUENTE NO BORRAR'!B1117="","",'FUENTE NO BORRAR'!B1117)</f>
        <v/>
      </c>
      <c r="C1099" s="5" t="str">
        <f>IF('FUENTE NO BORRAR'!C1117="","",'FUENTE NO BORRAR'!C1117)</f>
        <v/>
      </c>
      <c r="D1099" s="5" t="str">
        <f>IF('FUENTE NO BORRAR'!D1117="","",'FUENTE NO BORRAR'!D1117)</f>
        <v/>
      </c>
      <c r="E1099" s="5" t="str">
        <f>IF('FUENTE NO BORRAR'!E1117="","",'FUENTE NO BORRAR'!E1117)</f>
        <v/>
      </c>
      <c r="F1099" s="6">
        <f>IF('FUENTE NO BORRAR'!F1117="","",IF('FUENTE NO BORRAR'!$A1117&lt;&gt;"Resultado total",('FUENTE NO BORRAR'!F1117),""))</f>
        <v>512287.46</v>
      </c>
      <c r="G1099" s="6">
        <f>IF('FUENTE NO BORRAR'!G1117="","",IF('FUENTE NO BORRAR'!$A1117&lt;&gt;"Resultado total",('FUENTE NO BORRAR'!G1117),""))</f>
        <v>512287.46</v>
      </c>
      <c r="H1099" s="6">
        <f>IF('FUENTE NO BORRAR'!H1117="","",IF('FUENTE NO BORRAR'!$A1117&lt;&gt;"Resultado total",('FUENTE NO BORRAR'!H1117),""))</f>
        <v>512287.46</v>
      </c>
      <c r="I1099" s="6">
        <f>IF('FUENTE NO BORRAR'!I1117="","",IF('FUENTE NO BORRAR'!$A1117&lt;&gt;"Resultado total",('FUENTE NO BORRAR'!I1117),""))</f>
        <v>0</v>
      </c>
    </row>
    <row r="1100" spans="1:9" x14ac:dyDescent="0.2">
      <c r="A1100" s="5" t="str">
        <f>IF('FUENTE NO BORRAR'!A1118="","",(IF('FUENTE NO BORRAR'!A1118&lt;&gt;"Resultado total",'FUENTE NO BORRAR'!A1118,"")))</f>
        <v/>
      </c>
      <c r="B1100" s="5" t="str">
        <f>IF('FUENTE NO BORRAR'!B1118="","",'FUENTE NO BORRAR'!B1118)</f>
        <v/>
      </c>
      <c r="C1100" s="5" t="str">
        <f>IF('FUENTE NO BORRAR'!C1118="","",'FUENTE NO BORRAR'!C1118)</f>
        <v/>
      </c>
      <c r="D1100" s="5" t="str">
        <f>IF('FUENTE NO BORRAR'!D1118="","",'FUENTE NO BORRAR'!D1118)</f>
        <v/>
      </c>
      <c r="E1100" s="5" t="str">
        <f>IF('FUENTE NO BORRAR'!E1118="","",'FUENTE NO BORRAR'!E1118)</f>
        <v/>
      </c>
      <c r="F1100" s="6">
        <f>IF('FUENTE NO BORRAR'!F1118="","",IF('FUENTE NO BORRAR'!$A1118&lt;&gt;"Resultado total",('FUENTE NO BORRAR'!F1118),""))</f>
        <v>626189.5</v>
      </c>
      <c r="G1100" s="6">
        <f>IF('FUENTE NO BORRAR'!G1118="","",IF('FUENTE NO BORRAR'!$A1118&lt;&gt;"Resultado total",('FUENTE NO BORRAR'!G1118),""))</f>
        <v>626189.5</v>
      </c>
      <c r="H1100" s="6">
        <f>IF('FUENTE NO BORRAR'!H1118="","",IF('FUENTE NO BORRAR'!$A1118&lt;&gt;"Resultado total",('FUENTE NO BORRAR'!H1118),""))</f>
        <v>626189.5</v>
      </c>
      <c r="I1100" s="6">
        <f>IF('FUENTE NO BORRAR'!I1118="","",IF('FUENTE NO BORRAR'!$A1118&lt;&gt;"Resultado total",('FUENTE NO BORRAR'!I1118),""))</f>
        <v>0</v>
      </c>
    </row>
    <row r="1101" spans="1:9" x14ac:dyDescent="0.2">
      <c r="A1101" s="5" t="str">
        <f>IF('FUENTE NO BORRAR'!A1119="","",(IF('FUENTE NO BORRAR'!A1119&lt;&gt;"Resultado total",'FUENTE NO BORRAR'!A1119,"")))</f>
        <v/>
      </c>
      <c r="B1101" s="5" t="str">
        <f>IF('FUENTE NO BORRAR'!B1119="","",'FUENTE NO BORRAR'!B1119)</f>
        <v/>
      </c>
      <c r="C1101" s="5" t="str">
        <f>IF('FUENTE NO BORRAR'!C1119="","",'FUENTE NO BORRAR'!C1119)</f>
        <v/>
      </c>
      <c r="D1101" s="5" t="str">
        <f>IF('FUENTE NO BORRAR'!D1119="","",'FUENTE NO BORRAR'!D1119)</f>
        <v/>
      </c>
      <c r="E1101" s="5" t="str">
        <f>IF('FUENTE NO BORRAR'!E1119="","",'FUENTE NO BORRAR'!E1119)</f>
        <v/>
      </c>
      <c r="F1101" s="6">
        <f>IF('FUENTE NO BORRAR'!F1119="","",IF('FUENTE NO BORRAR'!$A1119&lt;&gt;"Resultado total",('FUENTE NO BORRAR'!F1119),""))</f>
        <v>52810.06</v>
      </c>
      <c r="G1101" s="6">
        <f>IF('FUENTE NO BORRAR'!G1119="","",IF('FUENTE NO BORRAR'!$A1119&lt;&gt;"Resultado total",('FUENTE NO BORRAR'!G1119),""))</f>
        <v>52810.06</v>
      </c>
      <c r="H1101" s="6">
        <f>IF('FUENTE NO BORRAR'!H1119="","",IF('FUENTE NO BORRAR'!$A1119&lt;&gt;"Resultado total",('FUENTE NO BORRAR'!H1119),""))</f>
        <v>52810.06</v>
      </c>
      <c r="I1101" s="6">
        <f>IF('FUENTE NO BORRAR'!I1119="","",IF('FUENTE NO BORRAR'!$A1119&lt;&gt;"Resultado total",('FUENTE NO BORRAR'!I1119),""))</f>
        <v>0</v>
      </c>
    </row>
    <row r="1102" spans="1:9" x14ac:dyDescent="0.2">
      <c r="A1102" s="5" t="str">
        <f>IF('FUENTE NO BORRAR'!A1120="","",(IF('FUENTE NO BORRAR'!A1120&lt;&gt;"Resultado total",'FUENTE NO BORRAR'!A1120,"")))</f>
        <v/>
      </c>
      <c r="B1102" s="5" t="str">
        <f>IF('FUENTE NO BORRAR'!B1120="","",'FUENTE NO BORRAR'!B1120)</f>
        <v/>
      </c>
      <c r="C1102" s="5" t="str">
        <f>IF('FUENTE NO BORRAR'!C1120="","",'FUENTE NO BORRAR'!C1120)</f>
        <v/>
      </c>
      <c r="D1102" s="5" t="str">
        <f>IF('FUENTE NO BORRAR'!D1120="","",'FUENTE NO BORRAR'!D1120)</f>
        <v/>
      </c>
      <c r="E1102" s="5" t="str">
        <f>IF('FUENTE NO BORRAR'!E1120="","",'FUENTE NO BORRAR'!E1120)</f>
        <v/>
      </c>
      <c r="F1102" s="6">
        <f>IF('FUENTE NO BORRAR'!F1120="","",IF('FUENTE NO BORRAR'!$A1120&lt;&gt;"Resultado total",('FUENTE NO BORRAR'!F1120),""))</f>
        <v>336894.47</v>
      </c>
      <c r="G1102" s="6">
        <f>IF('FUENTE NO BORRAR'!G1120="","",IF('FUENTE NO BORRAR'!$A1120&lt;&gt;"Resultado total",('FUENTE NO BORRAR'!G1120),""))</f>
        <v>336894.47</v>
      </c>
      <c r="H1102" s="6">
        <f>IF('FUENTE NO BORRAR'!H1120="","",IF('FUENTE NO BORRAR'!$A1120&lt;&gt;"Resultado total",('FUENTE NO BORRAR'!H1120),""))</f>
        <v>336894.47</v>
      </c>
      <c r="I1102" s="6">
        <f>IF('FUENTE NO BORRAR'!I1120="","",IF('FUENTE NO BORRAR'!$A1120&lt;&gt;"Resultado total",('FUENTE NO BORRAR'!I1120),""))</f>
        <v>0</v>
      </c>
    </row>
    <row r="1103" spans="1:9" x14ac:dyDescent="0.2">
      <c r="A1103" s="5" t="str">
        <f>IF('FUENTE NO BORRAR'!A1121="","",(IF('FUENTE NO BORRAR'!A1121&lt;&gt;"Resultado total",'FUENTE NO BORRAR'!A1121,"")))</f>
        <v/>
      </c>
      <c r="B1103" s="5" t="str">
        <f>IF('FUENTE NO BORRAR'!B1121="","",'FUENTE NO BORRAR'!B1121)</f>
        <v/>
      </c>
      <c r="C1103" s="5" t="str">
        <f>IF('FUENTE NO BORRAR'!C1121="","",'FUENTE NO BORRAR'!C1121)</f>
        <v/>
      </c>
      <c r="D1103" s="5" t="str">
        <f>IF('FUENTE NO BORRAR'!D1121="","",'FUENTE NO BORRAR'!D1121)</f>
        <v/>
      </c>
      <c r="E1103" s="5" t="str">
        <f>IF('FUENTE NO BORRAR'!E1121="","",'FUENTE NO BORRAR'!E1121)</f>
        <v/>
      </c>
      <c r="F1103" s="6">
        <f>IF('FUENTE NO BORRAR'!F1121="","",IF('FUENTE NO BORRAR'!$A1121&lt;&gt;"Resultado total",('FUENTE NO BORRAR'!F1121),""))</f>
        <v>1458934.31</v>
      </c>
      <c r="G1103" s="6">
        <f>IF('FUENTE NO BORRAR'!G1121="","",IF('FUENTE NO BORRAR'!$A1121&lt;&gt;"Resultado total",('FUENTE NO BORRAR'!G1121),""))</f>
        <v>1458934.31</v>
      </c>
      <c r="H1103" s="6">
        <f>IF('FUENTE NO BORRAR'!H1121="","",IF('FUENTE NO BORRAR'!$A1121&lt;&gt;"Resultado total",('FUENTE NO BORRAR'!H1121),""))</f>
        <v>1458934.31</v>
      </c>
      <c r="I1103" s="6">
        <f>IF('FUENTE NO BORRAR'!I1121="","",IF('FUENTE NO BORRAR'!$A1121&lt;&gt;"Resultado total",('FUENTE NO BORRAR'!I1121),""))</f>
        <v>0</v>
      </c>
    </row>
    <row r="1104" spans="1:9" x14ac:dyDescent="0.2">
      <c r="A1104" s="5" t="str">
        <f>IF('FUENTE NO BORRAR'!A1122="","",(IF('FUENTE NO BORRAR'!A1122&lt;&gt;"Resultado total",'FUENTE NO BORRAR'!A1122,"")))</f>
        <v/>
      </c>
      <c r="B1104" s="5" t="str">
        <f>IF('FUENTE NO BORRAR'!B1122="","",'FUENTE NO BORRAR'!B1122)</f>
        <v/>
      </c>
      <c r="C1104" s="5" t="str">
        <f>IF('FUENTE NO BORRAR'!C1122="","",'FUENTE NO BORRAR'!C1122)</f>
        <v/>
      </c>
      <c r="D1104" s="5" t="str">
        <f>IF('FUENTE NO BORRAR'!D1122="","",'FUENTE NO BORRAR'!D1122)</f>
        <v/>
      </c>
      <c r="E1104" s="5" t="str">
        <f>IF('FUENTE NO BORRAR'!E1122="","",'FUENTE NO BORRAR'!E1122)</f>
        <v/>
      </c>
      <c r="F1104" s="6">
        <f>IF('FUENTE NO BORRAR'!F1122="","",IF('FUENTE NO BORRAR'!$A1122&lt;&gt;"Resultado total",('FUENTE NO BORRAR'!F1122),""))</f>
        <v>13141.66</v>
      </c>
      <c r="G1104" s="6">
        <f>IF('FUENTE NO BORRAR'!G1122="","",IF('FUENTE NO BORRAR'!$A1122&lt;&gt;"Resultado total",('FUENTE NO BORRAR'!G1122),""))</f>
        <v>13141.66</v>
      </c>
      <c r="H1104" s="6">
        <f>IF('FUENTE NO BORRAR'!H1122="","",IF('FUENTE NO BORRAR'!$A1122&lt;&gt;"Resultado total",('FUENTE NO BORRAR'!H1122),""))</f>
        <v>13141.66</v>
      </c>
      <c r="I1104" s="6">
        <f>IF('FUENTE NO BORRAR'!I1122="","",IF('FUENTE NO BORRAR'!$A1122&lt;&gt;"Resultado total",('FUENTE NO BORRAR'!I1122),""))</f>
        <v>0</v>
      </c>
    </row>
    <row r="1105" spans="1:9" x14ac:dyDescent="0.2">
      <c r="A1105" s="5" t="str">
        <f>IF('FUENTE NO BORRAR'!A1123="","",(IF('FUENTE NO BORRAR'!A1123&lt;&gt;"Resultado total",'FUENTE NO BORRAR'!A1123,"")))</f>
        <v/>
      </c>
      <c r="B1105" s="5" t="str">
        <f>IF('FUENTE NO BORRAR'!B1123="","",'FUENTE NO BORRAR'!B1123)</f>
        <v/>
      </c>
      <c r="C1105" s="5" t="str">
        <f>IF('FUENTE NO BORRAR'!C1123="","",'FUENTE NO BORRAR'!C1123)</f>
        <v/>
      </c>
      <c r="D1105" s="5" t="str">
        <f>IF('FUENTE NO BORRAR'!D1123="","",'FUENTE NO BORRAR'!D1123)</f>
        <v/>
      </c>
      <c r="E1105" s="5" t="str">
        <f>IF('FUENTE NO BORRAR'!E1123="","",'FUENTE NO BORRAR'!E1123)</f>
        <v/>
      </c>
      <c r="F1105" s="6">
        <f>IF('FUENTE NO BORRAR'!F1123="","",IF('FUENTE NO BORRAR'!$A1123&lt;&gt;"Resultado total",('FUENTE NO BORRAR'!F1123),""))</f>
        <v>2171674.77</v>
      </c>
      <c r="G1105" s="6">
        <f>IF('FUENTE NO BORRAR'!G1123="","",IF('FUENTE NO BORRAR'!$A1123&lt;&gt;"Resultado total",('FUENTE NO BORRAR'!G1123),""))</f>
        <v>2171674.77</v>
      </c>
      <c r="H1105" s="6">
        <f>IF('FUENTE NO BORRAR'!H1123="","",IF('FUENTE NO BORRAR'!$A1123&lt;&gt;"Resultado total",('FUENTE NO BORRAR'!H1123),""))</f>
        <v>2205338.16</v>
      </c>
      <c r="I1105" s="6">
        <f>IF('FUENTE NO BORRAR'!I1123="","",IF('FUENTE NO BORRAR'!$A1123&lt;&gt;"Resultado total",('FUENTE NO BORRAR'!I1123),""))</f>
        <v>0</v>
      </c>
    </row>
    <row r="1106" spans="1:9" x14ac:dyDescent="0.2">
      <c r="A1106" s="5" t="str">
        <f>IF('FUENTE NO BORRAR'!A1124="","",(IF('FUENTE NO BORRAR'!A1124&lt;&gt;"Resultado total",'FUENTE NO BORRAR'!A1124,"")))</f>
        <v/>
      </c>
      <c r="B1106" s="5" t="str">
        <f>IF('FUENTE NO BORRAR'!B1124="","",'FUENTE NO BORRAR'!B1124)</f>
        <v/>
      </c>
      <c r="C1106" s="5" t="str">
        <f>IF('FUENTE NO BORRAR'!C1124="","",'FUENTE NO BORRAR'!C1124)</f>
        <v/>
      </c>
      <c r="D1106" s="5" t="str">
        <f>IF('FUENTE NO BORRAR'!D1124="","",'FUENTE NO BORRAR'!D1124)</f>
        <v/>
      </c>
      <c r="E1106" s="5" t="str">
        <f>IF('FUENTE NO BORRAR'!E1124="","",'FUENTE NO BORRAR'!E1124)</f>
        <v/>
      </c>
      <c r="F1106" s="6">
        <f>IF('FUENTE NO BORRAR'!F1124="","",IF('FUENTE NO BORRAR'!$A1124&lt;&gt;"Resultado total",('FUENTE NO BORRAR'!F1124),""))</f>
        <v>2587579.08</v>
      </c>
      <c r="G1106" s="6">
        <f>IF('FUENTE NO BORRAR'!G1124="","",IF('FUENTE NO BORRAR'!$A1124&lt;&gt;"Resultado total",('FUENTE NO BORRAR'!G1124),""))</f>
        <v>2587579.08</v>
      </c>
      <c r="H1106" s="6">
        <f>IF('FUENTE NO BORRAR'!H1124="","",IF('FUENTE NO BORRAR'!$A1124&lt;&gt;"Resultado total",('FUENTE NO BORRAR'!H1124),""))</f>
        <v>2587579.08</v>
      </c>
      <c r="I1106" s="6">
        <f>IF('FUENTE NO BORRAR'!I1124="","",IF('FUENTE NO BORRAR'!$A1124&lt;&gt;"Resultado total",('FUENTE NO BORRAR'!I1124),""))</f>
        <v>0</v>
      </c>
    </row>
    <row r="1107" spans="1:9" x14ac:dyDescent="0.2">
      <c r="A1107" s="5" t="str">
        <f>IF('FUENTE NO BORRAR'!A1125="","",(IF('FUENTE NO BORRAR'!A1125&lt;&gt;"Resultado total",'FUENTE NO BORRAR'!A1125,"")))</f>
        <v/>
      </c>
      <c r="B1107" s="5" t="str">
        <f>IF('FUENTE NO BORRAR'!B1125="","",'FUENTE NO BORRAR'!B1125)</f>
        <v/>
      </c>
      <c r="C1107" s="5" t="str">
        <f>IF('FUENTE NO BORRAR'!C1125="","",'FUENTE NO BORRAR'!C1125)</f>
        <v/>
      </c>
      <c r="D1107" s="5" t="str">
        <f>IF('FUENTE NO BORRAR'!D1125="","",'FUENTE NO BORRAR'!D1125)</f>
        <v/>
      </c>
      <c r="E1107" s="5" t="str">
        <f>IF('FUENTE NO BORRAR'!E1125="","",'FUENTE NO BORRAR'!E1125)</f>
        <v/>
      </c>
      <c r="F1107" s="6">
        <f>IF('FUENTE NO BORRAR'!F1125="","",IF('FUENTE NO BORRAR'!$A1125&lt;&gt;"Resultado total",('FUENTE NO BORRAR'!F1125),""))</f>
        <v>1323684.52</v>
      </c>
      <c r="G1107" s="6">
        <f>IF('FUENTE NO BORRAR'!G1125="","",IF('FUENTE NO BORRAR'!$A1125&lt;&gt;"Resultado total",('FUENTE NO BORRAR'!G1125),""))</f>
        <v>1323684.52</v>
      </c>
      <c r="H1107" s="6">
        <f>IF('FUENTE NO BORRAR'!H1125="","",IF('FUENTE NO BORRAR'!$A1125&lt;&gt;"Resultado total",('FUENTE NO BORRAR'!H1125),""))</f>
        <v>1323684.52</v>
      </c>
      <c r="I1107" s="6">
        <f>IF('FUENTE NO BORRAR'!I1125="","",IF('FUENTE NO BORRAR'!$A1125&lt;&gt;"Resultado total",('FUENTE NO BORRAR'!I1125),""))</f>
        <v>0</v>
      </c>
    </row>
    <row r="1108" spans="1:9" x14ac:dyDescent="0.2">
      <c r="A1108" s="5" t="str">
        <f>IF('FUENTE NO BORRAR'!A1126="","",(IF('FUENTE NO BORRAR'!A1126&lt;&gt;"Resultado total",'FUENTE NO BORRAR'!A1126,"")))</f>
        <v/>
      </c>
      <c r="B1108" s="5" t="str">
        <f>IF('FUENTE NO BORRAR'!B1126="","",'FUENTE NO BORRAR'!B1126)</f>
        <v/>
      </c>
      <c r="C1108" s="5" t="str">
        <f>IF('FUENTE NO BORRAR'!C1126="","",'FUENTE NO BORRAR'!C1126)</f>
        <v/>
      </c>
      <c r="D1108" s="5" t="str">
        <f>IF('FUENTE NO BORRAR'!D1126="","",'FUENTE NO BORRAR'!D1126)</f>
        <v/>
      </c>
      <c r="E1108" s="5" t="str">
        <f>IF('FUENTE NO BORRAR'!E1126="","",'FUENTE NO BORRAR'!E1126)</f>
        <v/>
      </c>
      <c r="F1108" s="6">
        <f>IF('FUENTE NO BORRAR'!F1126="","",IF('FUENTE NO BORRAR'!$A1126&lt;&gt;"Resultado total",('FUENTE NO BORRAR'!F1126),""))</f>
        <v>426212.34</v>
      </c>
      <c r="G1108" s="6">
        <f>IF('FUENTE NO BORRAR'!G1126="","",IF('FUENTE NO BORRAR'!$A1126&lt;&gt;"Resultado total",('FUENTE NO BORRAR'!G1126),""))</f>
        <v>426212.34</v>
      </c>
      <c r="H1108" s="6">
        <f>IF('FUENTE NO BORRAR'!H1126="","",IF('FUENTE NO BORRAR'!$A1126&lt;&gt;"Resultado total",('FUENTE NO BORRAR'!H1126),""))</f>
        <v>426212.34</v>
      </c>
      <c r="I1108" s="6">
        <f>IF('FUENTE NO BORRAR'!I1126="","",IF('FUENTE NO BORRAR'!$A1126&lt;&gt;"Resultado total",('FUENTE NO BORRAR'!I1126),""))</f>
        <v>0</v>
      </c>
    </row>
    <row r="1109" spans="1:9" x14ac:dyDescent="0.2">
      <c r="A1109" s="5" t="str">
        <f>IF('FUENTE NO BORRAR'!A1127="","",(IF('FUENTE NO BORRAR'!A1127&lt;&gt;"Resultado total",'FUENTE NO BORRAR'!A1127,"")))</f>
        <v/>
      </c>
      <c r="B1109" s="5" t="str">
        <f>IF('FUENTE NO BORRAR'!B1127="","",'FUENTE NO BORRAR'!B1127)</f>
        <v/>
      </c>
      <c r="C1109" s="5" t="str">
        <f>IF('FUENTE NO BORRAR'!C1127="","",'FUENTE NO BORRAR'!C1127)</f>
        <v/>
      </c>
      <c r="D1109" s="5" t="str">
        <f>IF('FUENTE NO BORRAR'!D1127="","",'FUENTE NO BORRAR'!D1127)</f>
        <v/>
      </c>
      <c r="E1109" s="5" t="str">
        <f>IF('FUENTE NO BORRAR'!E1127="","",'FUENTE NO BORRAR'!E1127)</f>
        <v/>
      </c>
      <c r="F1109" s="6">
        <f>IF('FUENTE NO BORRAR'!F1127="","",IF('FUENTE NO BORRAR'!$A1127&lt;&gt;"Resultado total",('FUENTE NO BORRAR'!F1127),""))</f>
        <v>202105.34</v>
      </c>
      <c r="G1109" s="6">
        <f>IF('FUENTE NO BORRAR'!G1127="","",IF('FUENTE NO BORRAR'!$A1127&lt;&gt;"Resultado total",('FUENTE NO BORRAR'!G1127),""))</f>
        <v>202105.34</v>
      </c>
      <c r="H1109" s="6">
        <f>IF('FUENTE NO BORRAR'!H1127="","",IF('FUENTE NO BORRAR'!$A1127&lt;&gt;"Resultado total",('FUENTE NO BORRAR'!H1127),""))</f>
        <v>202105.34</v>
      </c>
      <c r="I1109" s="6">
        <f>IF('FUENTE NO BORRAR'!I1127="","",IF('FUENTE NO BORRAR'!$A1127&lt;&gt;"Resultado total",('FUENTE NO BORRAR'!I1127),""))</f>
        <v>0</v>
      </c>
    </row>
    <row r="1110" spans="1:9" x14ac:dyDescent="0.2">
      <c r="A1110" s="5" t="str">
        <f>IF('FUENTE NO BORRAR'!A1128="","",(IF('FUENTE NO BORRAR'!A1128&lt;&gt;"Resultado total",'FUENTE NO BORRAR'!A1128,"")))</f>
        <v/>
      </c>
      <c r="B1110" s="5" t="str">
        <f>IF('FUENTE NO BORRAR'!B1128="","",'FUENTE NO BORRAR'!B1128)</f>
        <v/>
      </c>
      <c r="C1110" s="5" t="str">
        <f>IF('FUENTE NO BORRAR'!C1128="","",'FUENTE NO BORRAR'!C1128)</f>
        <v/>
      </c>
      <c r="D1110" s="5" t="str">
        <f>IF('FUENTE NO BORRAR'!D1128="","",'FUENTE NO BORRAR'!D1128)</f>
        <v/>
      </c>
      <c r="E1110" s="5" t="str">
        <f>IF('FUENTE NO BORRAR'!E1128="","",'FUENTE NO BORRAR'!E1128)</f>
        <v/>
      </c>
      <c r="F1110" s="6">
        <f>IF('FUENTE NO BORRAR'!F1128="","",IF('FUENTE NO BORRAR'!$A1128&lt;&gt;"Resultado total",('FUENTE NO BORRAR'!F1128),""))</f>
        <v>800897.28</v>
      </c>
      <c r="G1110" s="6">
        <f>IF('FUENTE NO BORRAR'!G1128="","",IF('FUENTE NO BORRAR'!$A1128&lt;&gt;"Resultado total",('FUENTE NO BORRAR'!G1128),""))</f>
        <v>800897.28</v>
      </c>
      <c r="H1110" s="6">
        <f>IF('FUENTE NO BORRAR'!H1128="","",IF('FUENTE NO BORRAR'!$A1128&lt;&gt;"Resultado total",('FUENTE NO BORRAR'!H1128),""))</f>
        <v>800897.28</v>
      </c>
      <c r="I1110" s="6">
        <f>IF('FUENTE NO BORRAR'!I1128="","",IF('FUENTE NO BORRAR'!$A1128&lt;&gt;"Resultado total",('FUENTE NO BORRAR'!I1128),""))</f>
        <v>0</v>
      </c>
    </row>
    <row r="1111" spans="1:9" x14ac:dyDescent="0.2">
      <c r="A1111" s="5" t="str">
        <f>IF('FUENTE NO BORRAR'!A1129="","",(IF('FUENTE NO BORRAR'!A1129&lt;&gt;"Resultado total",'FUENTE NO BORRAR'!A1129,"")))</f>
        <v/>
      </c>
      <c r="B1111" s="5" t="str">
        <f>IF('FUENTE NO BORRAR'!B1129="","",'FUENTE NO BORRAR'!B1129)</f>
        <v/>
      </c>
      <c r="C1111" s="5" t="str">
        <f>IF('FUENTE NO BORRAR'!C1129="","",'FUENTE NO BORRAR'!C1129)</f>
        <v/>
      </c>
      <c r="D1111" s="5" t="str">
        <f>IF('FUENTE NO BORRAR'!D1129="","",'FUENTE NO BORRAR'!D1129)</f>
        <v/>
      </c>
      <c r="E1111" s="5" t="str">
        <f>IF('FUENTE NO BORRAR'!E1129="","",'FUENTE NO BORRAR'!E1129)</f>
        <v/>
      </c>
      <c r="F1111" s="6">
        <f>IF('FUENTE NO BORRAR'!F1129="","",IF('FUENTE NO BORRAR'!$A1129&lt;&gt;"Resultado total",('FUENTE NO BORRAR'!F1129),""))</f>
        <v>3771304.94</v>
      </c>
      <c r="G1111" s="6">
        <f>IF('FUENTE NO BORRAR'!G1129="","",IF('FUENTE NO BORRAR'!$A1129&lt;&gt;"Resultado total",('FUENTE NO BORRAR'!G1129),""))</f>
        <v>3771304.94</v>
      </c>
      <c r="H1111" s="6">
        <f>IF('FUENTE NO BORRAR'!H1129="","",IF('FUENTE NO BORRAR'!$A1129&lt;&gt;"Resultado total",('FUENTE NO BORRAR'!H1129),""))</f>
        <v>3762744.94</v>
      </c>
      <c r="I1111" s="6">
        <f>IF('FUENTE NO BORRAR'!I1129="","",IF('FUENTE NO BORRAR'!$A1129&lt;&gt;"Resultado total",('FUENTE NO BORRAR'!I1129),""))</f>
        <v>1.0000000000000001E-9</v>
      </c>
    </row>
    <row r="1112" spans="1:9" x14ac:dyDescent="0.2">
      <c r="A1112" s="5" t="str">
        <f>IF('FUENTE NO BORRAR'!A1130="","",(IF('FUENTE NO BORRAR'!A1130&lt;&gt;"Resultado total",'FUENTE NO BORRAR'!A1130,"")))</f>
        <v/>
      </c>
      <c r="B1112" s="5" t="str">
        <f>IF('FUENTE NO BORRAR'!B1130="","",'FUENTE NO BORRAR'!B1130)</f>
        <v/>
      </c>
      <c r="C1112" s="5" t="str">
        <f>IF('FUENTE NO BORRAR'!C1130="","",'FUENTE NO BORRAR'!C1130)</f>
        <v/>
      </c>
      <c r="D1112" s="5" t="str">
        <f>IF('FUENTE NO BORRAR'!D1130="","",'FUENTE NO BORRAR'!D1130)</f>
        <v/>
      </c>
      <c r="E1112" s="5" t="str">
        <f>IF('FUENTE NO BORRAR'!E1130="","",'FUENTE NO BORRAR'!E1130)</f>
        <v/>
      </c>
      <c r="F1112" s="6">
        <f>IF('FUENTE NO BORRAR'!F1130="","",IF('FUENTE NO BORRAR'!$A1130&lt;&gt;"Resultado total",('FUENTE NO BORRAR'!F1130),""))</f>
        <v>42190.82</v>
      </c>
      <c r="G1112" s="6">
        <f>IF('FUENTE NO BORRAR'!G1130="","",IF('FUENTE NO BORRAR'!$A1130&lt;&gt;"Resultado total",('FUENTE NO BORRAR'!G1130),""))</f>
        <v>42190.82</v>
      </c>
      <c r="H1112" s="6">
        <f>IF('FUENTE NO BORRAR'!H1130="","",IF('FUENTE NO BORRAR'!$A1130&lt;&gt;"Resultado total",('FUENTE NO BORRAR'!H1130),""))</f>
        <v>42190.82</v>
      </c>
      <c r="I1112" s="6">
        <f>IF('FUENTE NO BORRAR'!I1130="","",IF('FUENTE NO BORRAR'!$A1130&lt;&gt;"Resultado total",('FUENTE NO BORRAR'!I1130),""))</f>
        <v>0</v>
      </c>
    </row>
    <row r="1113" spans="1:9" x14ac:dyDescent="0.2">
      <c r="A1113" s="5" t="str">
        <f>IF('FUENTE NO BORRAR'!A1131="","",(IF('FUENTE NO BORRAR'!A1131&lt;&gt;"Resultado total",'FUENTE NO BORRAR'!A1131,"")))</f>
        <v/>
      </c>
      <c r="B1113" s="5" t="str">
        <f>IF('FUENTE NO BORRAR'!B1131="","",'FUENTE NO BORRAR'!B1131)</f>
        <v/>
      </c>
      <c r="C1113" s="5" t="str">
        <f>IF('FUENTE NO BORRAR'!C1131="","",'FUENTE NO BORRAR'!C1131)</f>
        <v/>
      </c>
      <c r="D1113" s="5" t="str">
        <f>IF('FUENTE NO BORRAR'!D1131="","",'FUENTE NO BORRAR'!D1131)</f>
        <v/>
      </c>
      <c r="E1113" s="5" t="str">
        <f>IF('FUENTE NO BORRAR'!E1131="","",'FUENTE NO BORRAR'!E1131)</f>
        <v/>
      </c>
      <c r="F1113" s="6">
        <f>IF('FUENTE NO BORRAR'!F1131="","",IF('FUENTE NO BORRAR'!$A1131&lt;&gt;"Resultado total",('FUENTE NO BORRAR'!F1131),""))</f>
        <v>501.12</v>
      </c>
      <c r="G1113" s="6">
        <f>IF('FUENTE NO BORRAR'!G1131="","",IF('FUENTE NO BORRAR'!$A1131&lt;&gt;"Resultado total",('FUENTE NO BORRAR'!G1131),""))</f>
        <v>501.12</v>
      </c>
      <c r="H1113" s="6">
        <f>IF('FUENTE NO BORRAR'!H1131="","",IF('FUENTE NO BORRAR'!$A1131&lt;&gt;"Resultado total",('FUENTE NO BORRAR'!H1131),""))</f>
        <v>501.12</v>
      </c>
      <c r="I1113" s="6">
        <f>IF('FUENTE NO BORRAR'!I1131="","",IF('FUENTE NO BORRAR'!$A1131&lt;&gt;"Resultado total",('FUENTE NO BORRAR'!I1131),""))</f>
        <v>0</v>
      </c>
    </row>
    <row r="1114" spans="1:9" x14ac:dyDescent="0.2">
      <c r="A1114" s="5" t="str">
        <f>IF('FUENTE NO BORRAR'!A1132="","",(IF('FUENTE NO BORRAR'!A1132&lt;&gt;"Resultado total",'FUENTE NO BORRAR'!A1132,"")))</f>
        <v/>
      </c>
      <c r="B1114" s="5" t="str">
        <f>IF('FUENTE NO BORRAR'!B1132="","",'FUENTE NO BORRAR'!B1132)</f>
        <v/>
      </c>
      <c r="C1114" s="5" t="str">
        <f>IF('FUENTE NO BORRAR'!C1132="","",'FUENTE NO BORRAR'!C1132)</f>
        <v/>
      </c>
      <c r="D1114" s="5" t="str">
        <f>IF('FUENTE NO BORRAR'!D1132="","",'FUENTE NO BORRAR'!D1132)</f>
        <v/>
      </c>
      <c r="E1114" s="5" t="str">
        <f>IF('FUENTE NO BORRAR'!E1132="","",'FUENTE NO BORRAR'!E1132)</f>
        <v/>
      </c>
      <c r="F1114" s="6">
        <f>IF('FUENTE NO BORRAR'!F1132="","",IF('FUENTE NO BORRAR'!$A1132&lt;&gt;"Resultado total",('FUENTE NO BORRAR'!F1132),""))</f>
        <v>1394.48</v>
      </c>
      <c r="G1114" s="6">
        <f>IF('FUENTE NO BORRAR'!G1132="","",IF('FUENTE NO BORRAR'!$A1132&lt;&gt;"Resultado total",('FUENTE NO BORRAR'!G1132),""))</f>
        <v>1394.48</v>
      </c>
      <c r="H1114" s="6">
        <f>IF('FUENTE NO BORRAR'!H1132="","",IF('FUENTE NO BORRAR'!$A1132&lt;&gt;"Resultado total",('FUENTE NO BORRAR'!H1132),""))</f>
        <v>1394.48</v>
      </c>
      <c r="I1114" s="6">
        <f>IF('FUENTE NO BORRAR'!I1132="","",IF('FUENTE NO BORRAR'!$A1132&lt;&gt;"Resultado total",('FUENTE NO BORRAR'!I1132),""))</f>
        <v>0</v>
      </c>
    </row>
    <row r="1115" spans="1:9" x14ac:dyDescent="0.2">
      <c r="A1115" s="5" t="str">
        <f>IF('FUENTE NO BORRAR'!A1133="","",(IF('FUENTE NO BORRAR'!A1133&lt;&gt;"Resultado total",'FUENTE NO BORRAR'!A1133,"")))</f>
        <v/>
      </c>
      <c r="B1115" s="5" t="str">
        <f>IF('FUENTE NO BORRAR'!B1133="","",'FUENTE NO BORRAR'!B1133)</f>
        <v/>
      </c>
      <c r="C1115" s="5" t="str">
        <f>IF('FUENTE NO BORRAR'!C1133="","",'FUENTE NO BORRAR'!C1133)</f>
        <v/>
      </c>
      <c r="D1115" s="5" t="str">
        <f>IF('FUENTE NO BORRAR'!D1133="","",'FUENTE NO BORRAR'!D1133)</f>
        <v/>
      </c>
      <c r="E1115" s="5" t="str">
        <f>IF('FUENTE NO BORRAR'!E1133="","",'FUENTE NO BORRAR'!E1133)</f>
        <v/>
      </c>
      <c r="F1115" s="6">
        <f>IF('FUENTE NO BORRAR'!F1133="","",IF('FUENTE NO BORRAR'!$A1133&lt;&gt;"Resultado total",('FUENTE NO BORRAR'!F1133),""))</f>
        <v>389</v>
      </c>
      <c r="G1115" s="6">
        <f>IF('FUENTE NO BORRAR'!G1133="","",IF('FUENTE NO BORRAR'!$A1133&lt;&gt;"Resultado total",('FUENTE NO BORRAR'!G1133),""))</f>
        <v>389</v>
      </c>
      <c r="H1115" s="6">
        <f>IF('FUENTE NO BORRAR'!H1133="","",IF('FUENTE NO BORRAR'!$A1133&lt;&gt;"Resultado total",('FUENTE NO BORRAR'!H1133),""))</f>
        <v>389</v>
      </c>
      <c r="I1115" s="6">
        <f>IF('FUENTE NO BORRAR'!I1133="","",IF('FUENTE NO BORRAR'!$A1133&lt;&gt;"Resultado total",('FUENTE NO BORRAR'!I1133),""))</f>
        <v>0</v>
      </c>
    </row>
    <row r="1116" spans="1:9" x14ac:dyDescent="0.2">
      <c r="A1116" s="5" t="str">
        <f>IF('FUENTE NO BORRAR'!A1134="","",(IF('FUENTE NO BORRAR'!A1134&lt;&gt;"Resultado total",'FUENTE NO BORRAR'!A1134,"")))</f>
        <v/>
      </c>
      <c r="B1116" s="5" t="str">
        <f>IF('FUENTE NO BORRAR'!B1134="","",'FUENTE NO BORRAR'!B1134)</f>
        <v/>
      </c>
      <c r="C1116" s="5" t="str">
        <f>IF('FUENTE NO BORRAR'!C1134="","",'FUENTE NO BORRAR'!C1134)</f>
        <v/>
      </c>
      <c r="D1116" s="5" t="str">
        <f>IF('FUENTE NO BORRAR'!D1134="","",'FUENTE NO BORRAR'!D1134)</f>
        <v/>
      </c>
      <c r="E1116" s="5" t="str">
        <f>IF('FUENTE NO BORRAR'!E1134="","",'FUENTE NO BORRAR'!E1134)</f>
        <v/>
      </c>
      <c r="F1116" s="6">
        <f>IF('FUENTE NO BORRAR'!F1134="","",IF('FUENTE NO BORRAR'!$A1134&lt;&gt;"Resultado total",('FUENTE NO BORRAR'!F1134),""))</f>
        <v>0</v>
      </c>
      <c r="G1116" s="6">
        <f>IF('FUENTE NO BORRAR'!G1134="","",IF('FUENTE NO BORRAR'!$A1134&lt;&gt;"Resultado total",('FUENTE NO BORRAR'!G1134),""))</f>
        <v>0</v>
      </c>
      <c r="H1116" s="6">
        <f>IF('FUENTE NO BORRAR'!H1134="","",IF('FUENTE NO BORRAR'!$A1134&lt;&gt;"Resultado total",('FUENTE NO BORRAR'!H1134),""))</f>
        <v>0</v>
      </c>
      <c r="I1116" s="6">
        <f>IF('FUENTE NO BORRAR'!I1134="","",IF('FUENTE NO BORRAR'!$A1134&lt;&gt;"Resultado total",('FUENTE NO BORRAR'!I1134),""))</f>
        <v>0</v>
      </c>
    </row>
    <row r="1117" spans="1:9" x14ac:dyDescent="0.2">
      <c r="A1117" s="5" t="str">
        <f>IF('FUENTE NO BORRAR'!A1135="","",(IF('FUENTE NO BORRAR'!A1135&lt;&gt;"Resultado total",'FUENTE NO BORRAR'!A1135,"")))</f>
        <v/>
      </c>
      <c r="B1117" s="5" t="str">
        <f>IF('FUENTE NO BORRAR'!B1135="","",'FUENTE NO BORRAR'!B1135)</f>
        <v/>
      </c>
      <c r="C1117" s="5" t="str">
        <f>IF('FUENTE NO BORRAR'!C1135="","",'FUENTE NO BORRAR'!C1135)</f>
        <v/>
      </c>
      <c r="D1117" s="5" t="str">
        <f>IF('FUENTE NO BORRAR'!D1135="","",'FUENTE NO BORRAR'!D1135)</f>
        <v/>
      </c>
      <c r="E1117" s="5" t="str">
        <f>IF('FUENTE NO BORRAR'!E1135="","",'FUENTE NO BORRAR'!E1135)</f>
        <v/>
      </c>
      <c r="F1117" s="6">
        <f>IF('FUENTE NO BORRAR'!F1135="","",IF('FUENTE NO BORRAR'!$A1135&lt;&gt;"Resultado total",('FUENTE NO BORRAR'!F1135),""))</f>
        <v>5822.19</v>
      </c>
      <c r="G1117" s="6">
        <f>IF('FUENTE NO BORRAR'!G1135="","",IF('FUENTE NO BORRAR'!$A1135&lt;&gt;"Resultado total",('FUENTE NO BORRAR'!G1135),""))</f>
        <v>5822.19</v>
      </c>
      <c r="H1117" s="6">
        <f>IF('FUENTE NO BORRAR'!H1135="","",IF('FUENTE NO BORRAR'!$A1135&lt;&gt;"Resultado total",('FUENTE NO BORRAR'!H1135),""))</f>
        <v>5822.19</v>
      </c>
      <c r="I1117" s="6">
        <f>IF('FUENTE NO BORRAR'!I1135="","",IF('FUENTE NO BORRAR'!$A1135&lt;&gt;"Resultado total",('FUENTE NO BORRAR'!I1135),""))</f>
        <v>0</v>
      </c>
    </row>
    <row r="1118" spans="1:9" x14ac:dyDescent="0.2">
      <c r="A1118" s="5" t="str">
        <f>IF('FUENTE NO BORRAR'!A1136="","",(IF('FUENTE NO BORRAR'!A1136&lt;&gt;"Resultado total",'FUENTE NO BORRAR'!A1136,"")))</f>
        <v/>
      </c>
      <c r="B1118" s="5" t="str">
        <f>IF('FUENTE NO BORRAR'!B1136="","",'FUENTE NO BORRAR'!B1136)</f>
        <v/>
      </c>
      <c r="C1118" s="5" t="str">
        <f>IF('FUENTE NO BORRAR'!C1136="","",'FUENTE NO BORRAR'!C1136)</f>
        <v/>
      </c>
      <c r="D1118" s="5" t="str">
        <f>IF('FUENTE NO BORRAR'!D1136="","",'FUENTE NO BORRAR'!D1136)</f>
        <v/>
      </c>
      <c r="E1118" s="5" t="str">
        <f>IF('FUENTE NO BORRAR'!E1136="","",'FUENTE NO BORRAR'!E1136)</f>
        <v/>
      </c>
      <c r="F1118" s="6">
        <f>IF('FUENTE NO BORRAR'!F1136="","",IF('FUENTE NO BORRAR'!$A1136&lt;&gt;"Resultado total",('FUENTE NO BORRAR'!F1136),""))</f>
        <v>507.5</v>
      </c>
      <c r="G1118" s="6">
        <f>IF('FUENTE NO BORRAR'!G1136="","",IF('FUENTE NO BORRAR'!$A1136&lt;&gt;"Resultado total",('FUENTE NO BORRAR'!G1136),""))</f>
        <v>507.5</v>
      </c>
      <c r="H1118" s="6">
        <f>IF('FUENTE NO BORRAR'!H1136="","",IF('FUENTE NO BORRAR'!$A1136&lt;&gt;"Resultado total",('FUENTE NO BORRAR'!H1136),""))</f>
        <v>507.5</v>
      </c>
      <c r="I1118" s="6">
        <f>IF('FUENTE NO BORRAR'!I1136="","",IF('FUENTE NO BORRAR'!$A1136&lt;&gt;"Resultado total",('FUENTE NO BORRAR'!I1136),""))</f>
        <v>0</v>
      </c>
    </row>
    <row r="1119" spans="1:9" x14ac:dyDescent="0.2">
      <c r="A1119" s="5" t="str">
        <f>IF('FUENTE NO BORRAR'!A1137="","",(IF('FUENTE NO BORRAR'!A1137&lt;&gt;"Resultado total",'FUENTE NO BORRAR'!A1137,"")))</f>
        <v/>
      </c>
      <c r="B1119" s="5" t="str">
        <f>IF('FUENTE NO BORRAR'!B1137="","",'FUENTE NO BORRAR'!B1137)</f>
        <v/>
      </c>
      <c r="C1119" s="5" t="str">
        <f>IF('FUENTE NO BORRAR'!C1137="","",'FUENTE NO BORRAR'!C1137)</f>
        <v/>
      </c>
      <c r="D1119" s="5" t="str">
        <f>IF('FUENTE NO BORRAR'!D1137="","",'FUENTE NO BORRAR'!D1137)</f>
        <v/>
      </c>
      <c r="E1119" s="5" t="str">
        <f>IF('FUENTE NO BORRAR'!E1137="","",'FUENTE NO BORRAR'!E1137)</f>
        <v/>
      </c>
      <c r="F1119" s="6">
        <f>IF('FUENTE NO BORRAR'!F1137="","",IF('FUENTE NO BORRAR'!$A1137&lt;&gt;"Resultado total",('FUENTE NO BORRAR'!F1137),""))</f>
        <v>0</v>
      </c>
      <c r="G1119" s="6">
        <f>IF('FUENTE NO BORRAR'!G1137="","",IF('FUENTE NO BORRAR'!$A1137&lt;&gt;"Resultado total",('FUENTE NO BORRAR'!G1137),""))</f>
        <v>0</v>
      </c>
      <c r="H1119" s="6">
        <f>IF('FUENTE NO BORRAR'!H1137="","",IF('FUENTE NO BORRAR'!$A1137&lt;&gt;"Resultado total",('FUENTE NO BORRAR'!H1137),""))</f>
        <v>0</v>
      </c>
      <c r="I1119" s="6">
        <f>IF('FUENTE NO BORRAR'!I1137="","",IF('FUENTE NO BORRAR'!$A1137&lt;&gt;"Resultado total",('FUENTE NO BORRAR'!I1137),""))</f>
        <v>0</v>
      </c>
    </row>
    <row r="1120" spans="1:9" x14ac:dyDescent="0.2">
      <c r="A1120" s="5" t="str">
        <f>IF('FUENTE NO BORRAR'!A1138="","",(IF('FUENTE NO BORRAR'!A1138&lt;&gt;"Resultado total",'FUENTE NO BORRAR'!A1138,"")))</f>
        <v/>
      </c>
      <c r="B1120" s="5" t="str">
        <f>IF('FUENTE NO BORRAR'!B1138="","",'FUENTE NO BORRAR'!B1138)</f>
        <v/>
      </c>
      <c r="C1120" s="5" t="str">
        <f>IF('FUENTE NO BORRAR'!C1138="","",'FUENTE NO BORRAR'!C1138)</f>
        <v/>
      </c>
      <c r="D1120" s="5" t="str">
        <f>IF('FUENTE NO BORRAR'!D1138="","",'FUENTE NO BORRAR'!D1138)</f>
        <v/>
      </c>
      <c r="E1120" s="5" t="str">
        <f>IF('FUENTE NO BORRAR'!E1138="","",'FUENTE NO BORRAR'!E1138)</f>
        <v/>
      </c>
      <c r="F1120" s="6">
        <f>IF('FUENTE NO BORRAR'!F1138="","",IF('FUENTE NO BORRAR'!$A1138&lt;&gt;"Resultado total",('FUENTE NO BORRAR'!F1138),""))</f>
        <v>2364.96</v>
      </c>
      <c r="G1120" s="6">
        <f>IF('FUENTE NO BORRAR'!G1138="","",IF('FUENTE NO BORRAR'!$A1138&lt;&gt;"Resultado total",('FUENTE NO BORRAR'!G1138),""))</f>
        <v>2364.96</v>
      </c>
      <c r="H1120" s="6">
        <f>IF('FUENTE NO BORRAR'!H1138="","",IF('FUENTE NO BORRAR'!$A1138&lt;&gt;"Resultado total",('FUENTE NO BORRAR'!H1138),""))</f>
        <v>2364.96</v>
      </c>
      <c r="I1120" s="6">
        <f>IF('FUENTE NO BORRAR'!I1138="","",IF('FUENTE NO BORRAR'!$A1138&lt;&gt;"Resultado total",('FUENTE NO BORRAR'!I1138),""))</f>
        <v>0</v>
      </c>
    </row>
    <row r="1121" spans="1:9" x14ac:dyDescent="0.2">
      <c r="A1121" s="5" t="str">
        <f>IF('FUENTE NO BORRAR'!A1139="","",(IF('FUENTE NO BORRAR'!A1139&lt;&gt;"Resultado total",'FUENTE NO BORRAR'!A1139,"")))</f>
        <v/>
      </c>
      <c r="B1121" s="5" t="str">
        <f>IF('FUENTE NO BORRAR'!B1139="","",'FUENTE NO BORRAR'!B1139)</f>
        <v/>
      </c>
      <c r="C1121" s="5" t="str">
        <f>IF('FUENTE NO BORRAR'!C1139="","",'FUENTE NO BORRAR'!C1139)</f>
        <v/>
      </c>
      <c r="D1121" s="5" t="str">
        <f>IF('FUENTE NO BORRAR'!D1139="","",'FUENTE NO BORRAR'!D1139)</f>
        <v/>
      </c>
      <c r="E1121" s="5" t="str">
        <f>IF('FUENTE NO BORRAR'!E1139="","",'FUENTE NO BORRAR'!E1139)</f>
        <v/>
      </c>
      <c r="F1121" s="6">
        <f>IF('FUENTE NO BORRAR'!F1139="","",IF('FUENTE NO BORRAR'!$A1139&lt;&gt;"Resultado total",('FUENTE NO BORRAR'!F1139),""))</f>
        <v>881.59</v>
      </c>
      <c r="G1121" s="6">
        <f>IF('FUENTE NO BORRAR'!G1139="","",IF('FUENTE NO BORRAR'!$A1139&lt;&gt;"Resultado total",('FUENTE NO BORRAR'!G1139),""))</f>
        <v>881.59</v>
      </c>
      <c r="H1121" s="6">
        <f>IF('FUENTE NO BORRAR'!H1139="","",IF('FUENTE NO BORRAR'!$A1139&lt;&gt;"Resultado total",('FUENTE NO BORRAR'!H1139),""))</f>
        <v>881.59</v>
      </c>
      <c r="I1121" s="6">
        <f>IF('FUENTE NO BORRAR'!I1139="","",IF('FUENTE NO BORRAR'!$A1139&lt;&gt;"Resultado total",('FUENTE NO BORRAR'!I1139),""))</f>
        <v>0</v>
      </c>
    </row>
    <row r="1122" spans="1:9" x14ac:dyDescent="0.2">
      <c r="A1122" s="5" t="str">
        <f>IF('FUENTE NO BORRAR'!A1140="","",(IF('FUENTE NO BORRAR'!A1140&lt;&gt;"Resultado total",'FUENTE NO BORRAR'!A1140,"")))</f>
        <v/>
      </c>
      <c r="B1122" s="5" t="str">
        <f>IF('FUENTE NO BORRAR'!B1140="","",'FUENTE NO BORRAR'!B1140)</f>
        <v/>
      </c>
      <c r="C1122" s="5" t="str">
        <f>IF('FUENTE NO BORRAR'!C1140="","",'FUENTE NO BORRAR'!C1140)</f>
        <v/>
      </c>
      <c r="D1122" s="5" t="str">
        <f>IF('FUENTE NO BORRAR'!D1140="","",'FUENTE NO BORRAR'!D1140)</f>
        <v/>
      </c>
      <c r="E1122" s="5" t="str">
        <f>IF('FUENTE NO BORRAR'!E1140="","",'FUENTE NO BORRAR'!E1140)</f>
        <v/>
      </c>
      <c r="F1122" s="6">
        <f>IF('FUENTE NO BORRAR'!F1140="","",IF('FUENTE NO BORRAR'!$A1140&lt;&gt;"Resultado total",('FUENTE NO BORRAR'!F1140),""))</f>
        <v>1448.4</v>
      </c>
      <c r="G1122" s="6">
        <f>IF('FUENTE NO BORRAR'!G1140="","",IF('FUENTE NO BORRAR'!$A1140&lt;&gt;"Resultado total",('FUENTE NO BORRAR'!G1140),""))</f>
        <v>1448.4</v>
      </c>
      <c r="H1122" s="6">
        <f>IF('FUENTE NO BORRAR'!H1140="","",IF('FUENTE NO BORRAR'!$A1140&lt;&gt;"Resultado total",('FUENTE NO BORRAR'!H1140),""))</f>
        <v>1448.4</v>
      </c>
      <c r="I1122" s="6">
        <f>IF('FUENTE NO BORRAR'!I1140="","",IF('FUENTE NO BORRAR'!$A1140&lt;&gt;"Resultado total",('FUENTE NO BORRAR'!I1140),""))</f>
        <v>0</v>
      </c>
    </row>
    <row r="1123" spans="1:9" x14ac:dyDescent="0.2">
      <c r="A1123" s="5" t="str">
        <f>IF('FUENTE NO BORRAR'!A1141="","",(IF('FUENTE NO BORRAR'!A1141&lt;&gt;"Resultado total",'FUENTE NO BORRAR'!A1141,"")))</f>
        <v/>
      </c>
      <c r="B1123" s="5" t="str">
        <f>IF('FUENTE NO BORRAR'!B1141="","",'FUENTE NO BORRAR'!B1141)</f>
        <v/>
      </c>
      <c r="C1123" s="5" t="str">
        <f>IF('FUENTE NO BORRAR'!C1141="","",'FUENTE NO BORRAR'!C1141)</f>
        <v/>
      </c>
      <c r="D1123" s="5" t="str">
        <f>IF('FUENTE NO BORRAR'!D1141="","",'FUENTE NO BORRAR'!D1141)</f>
        <v/>
      </c>
      <c r="E1123" s="5" t="str">
        <f>IF('FUENTE NO BORRAR'!E1141="","",'FUENTE NO BORRAR'!E1141)</f>
        <v/>
      </c>
      <c r="F1123" s="6">
        <f>IF('FUENTE NO BORRAR'!F1141="","",IF('FUENTE NO BORRAR'!$A1141&lt;&gt;"Resultado total",('FUENTE NO BORRAR'!F1141),""))</f>
        <v>690</v>
      </c>
      <c r="G1123" s="6">
        <f>IF('FUENTE NO BORRAR'!G1141="","",IF('FUENTE NO BORRAR'!$A1141&lt;&gt;"Resultado total",('FUENTE NO BORRAR'!G1141),""))</f>
        <v>690</v>
      </c>
      <c r="H1123" s="6">
        <f>IF('FUENTE NO BORRAR'!H1141="","",IF('FUENTE NO BORRAR'!$A1141&lt;&gt;"Resultado total",('FUENTE NO BORRAR'!H1141),""))</f>
        <v>690</v>
      </c>
      <c r="I1123" s="6">
        <f>IF('FUENTE NO BORRAR'!I1141="","",IF('FUENTE NO BORRAR'!$A1141&lt;&gt;"Resultado total",('FUENTE NO BORRAR'!I1141),""))</f>
        <v>0</v>
      </c>
    </row>
    <row r="1124" spans="1:9" x14ac:dyDescent="0.2">
      <c r="A1124" s="5" t="str">
        <f>IF('FUENTE NO BORRAR'!A1142="","",(IF('FUENTE NO BORRAR'!A1142&lt;&gt;"Resultado total",'FUENTE NO BORRAR'!A1142,"")))</f>
        <v/>
      </c>
      <c r="B1124" s="5" t="str">
        <f>IF('FUENTE NO BORRAR'!B1142="","",'FUENTE NO BORRAR'!B1142)</f>
        <v/>
      </c>
      <c r="C1124" s="5" t="str">
        <f>IF('FUENTE NO BORRAR'!C1142="","",'FUENTE NO BORRAR'!C1142)</f>
        <v/>
      </c>
      <c r="D1124" s="5" t="str">
        <f>IF('FUENTE NO BORRAR'!D1142="","",'FUENTE NO BORRAR'!D1142)</f>
        <v/>
      </c>
      <c r="E1124" s="5" t="str">
        <f>IF('FUENTE NO BORRAR'!E1142="","",'FUENTE NO BORRAR'!E1142)</f>
        <v/>
      </c>
      <c r="F1124" s="6">
        <f>IF('FUENTE NO BORRAR'!F1142="","",IF('FUENTE NO BORRAR'!$A1142&lt;&gt;"Resultado total",('FUENTE NO BORRAR'!F1142),""))</f>
        <v>131675.82</v>
      </c>
      <c r="G1124" s="6">
        <f>IF('FUENTE NO BORRAR'!G1142="","",IF('FUENTE NO BORRAR'!$A1142&lt;&gt;"Resultado total",('FUENTE NO BORRAR'!G1142),""))</f>
        <v>131675.82</v>
      </c>
      <c r="H1124" s="6">
        <f>IF('FUENTE NO BORRAR'!H1142="","",IF('FUENTE NO BORRAR'!$A1142&lt;&gt;"Resultado total",('FUENTE NO BORRAR'!H1142),""))</f>
        <v>119254.42</v>
      </c>
      <c r="I1124" s="6">
        <f>IF('FUENTE NO BORRAR'!I1142="","",IF('FUENTE NO BORRAR'!$A1142&lt;&gt;"Resultado total",('FUENTE NO BORRAR'!I1142),""))</f>
        <v>0</v>
      </c>
    </row>
    <row r="1125" spans="1:9" x14ac:dyDescent="0.2">
      <c r="A1125" s="5" t="str">
        <f>IF('FUENTE NO BORRAR'!A1143="","",(IF('FUENTE NO BORRAR'!A1143&lt;&gt;"Resultado total",'FUENTE NO BORRAR'!A1143,"")))</f>
        <v/>
      </c>
      <c r="B1125" s="5" t="str">
        <f>IF('FUENTE NO BORRAR'!B1143="","",'FUENTE NO BORRAR'!B1143)</f>
        <v/>
      </c>
      <c r="C1125" s="5" t="str">
        <f>IF('FUENTE NO BORRAR'!C1143="","",'FUENTE NO BORRAR'!C1143)</f>
        <v/>
      </c>
      <c r="D1125" s="5" t="str">
        <f>IF('FUENTE NO BORRAR'!D1143="","",'FUENTE NO BORRAR'!D1143)</f>
        <v/>
      </c>
      <c r="E1125" s="5" t="str">
        <f>IF('FUENTE NO BORRAR'!E1143="","",'FUENTE NO BORRAR'!E1143)</f>
        <v/>
      </c>
      <c r="F1125" s="6">
        <f>IF('FUENTE NO BORRAR'!F1143="","",IF('FUENTE NO BORRAR'!$A1143&lt;&gt;"Resultado total",('FUENTE NO BORRAR'!F1143),""))</f>
        <v>180.99</v>
      </c>
      <c r="G1125" s="6">
        <f>IF('FUENTE NO BORRAR'!G1143="","",IF('FUENTE NO BORRAR'!$A1143&lt;&gt;"Resultado total",('FUENTE NO BORRAR'!G1143),""))</f>
        <v>180.99</v>
      </c>
      <c r="H1125" s="6">
        <f>IF('FUENTE NO BORRAR'!H1143="","",IF('FUENTE NO BORRAR'!$A1143&lt;&gt;"Resultado total",('FUENTE NO BORRAR'!H1143),""))</f>
        <v>180.99</v>
      </c>
      <c r="I1125" s="6">
        <f>IF('FUENTE NO BORRAR'!I1143="","",IF('FUENTE NO BORRAR'!$A1143&lt;&gt;"Resultado total",('FUENTE NO BORRAR'!I1143),""))</f>
        <v>0</v>
      </c>
    </row>
    <row r="1126" spans="1:9" x14ac:dyDescent="0.2">
      <c r="A1126" s="5" t="str">
        <f>IF('FUENTE NO BORRAR'!A1144="","",(IF('FUENTE NO BORRAR'!A1144&lt;&gt;"Resultado total",'FUENTE NO BORRAR'!A1144,"")))</f>
        <v/>
      </c>
      <c r="B1126" s="5" t="str">
        <f>IF('FUENTE NO BORRAR'!B1144="","",'FUENTE NO BORRAR'!B1144)</f>
        <v/>
      </c>
      <c r="C1126" s="5" t="str">
        <f>IF('FUENTE NO BORRAR'!C1144="","",'FUENTE NO BORRAR'!C1144)</f>
        <v/>
      </c>
      <c r="D1126" s="5" t="str">
        <f>IF('FUENTE NO BORRAR'!D1144="","",'FUENTE NO BORRAR'!D1144)</f>
        <v/>
      </c>
      <c r="E1126" s="5" t="str">
        <f>IF('FUENTE NO BORRAR'!E1144="","",'FUENTE NO BORRAR'!E1144)</f>
        <v/>
      </c>
      <c r="F1126" s="6">
        <f>IF('FUENTE NO BORRAR'!F1144="","",IF('FUENTE NO BORRAR'!$A1144&lt;&gt;"Resultado total",('FUENTE NO BORRAR'!F1144),""))</f>
        <v>300.01</v>
      </c>
      <c r="G1126" s="6">
        <f>IF('FUENTE NO BORRAR'!G1144="","",IF('FUENTE NO BORRAR'!$A1144&lt;&gt;"Resultado total",('FUENTE NO BORRAR'!G1144),""))</f>
        <v>300.01</v>
      </c>
      <c r="H1126" s="6">
        <f>IF('FUENTE NO BORRAR'!H1144="","",IF('FUENTE NO BORRAR'!$A1144&lt;&gt;"Resultado total",('FUENTE NO BORRAR'!H1144),""))</f>
        <v>300.01</v>
      </c>
      <c r="I1126" s="6">
        <f>IF('FUENTE NO BORRAR'!I1144="","",IF('FUENTE NO BORRAR'!$A1144&lt;&gt;"Resultado total",('FUENTE NO BORRAR'!I1144),""))</f>
        <v>0</v>
      </c>
    </row>
    <row r="1127" spans="1:9" x14ac:dyDescent="0.2">
      <c r="A1127" s="5" t="str">
        <f>IF('FUENTE NO BORRAR'!A1145="","",(IF('FUENTE NO BORRAR'!A1145&lt;&gt;"Resultado total",'FUENTE NO BORRAR'!A1145,"")))</f>
        <v/>
      </c>
      <c r="B1127" s="5" t="str">
        <f>IF('FUENTE NO BORRAR'!B1145="","",'FUENTE NO BORRAR'!B1145)</f>
        <v/>
      </c>
      <c r="C1127" s="5" t="str">
        <f>IF('FUENTE NO BORRAR'!C1145="","",'FUENTE NO BORRAR'!C1145)</f>
        <v/>
      </c>
      <c r="D1127" s="5" t="str">
        <f>IF('FUENTE NO BORRAR'!D1145="","",'FUENTE NO BORRAR'!D1145)</f>
        <v/>
      </c>
      <c r="E1127" s="5" t="str">
        <f>IF('FUENTE NO BORRAR'!E1145="","",'FUENTE NO BORRAR'!E1145)</f>
        <v/>
      </c>
      <c r="F1127" s="6">
        <f>IF('FUENTE NO BORRAR'!F1145="","",IF('FUENTE NO BORRAR'!$A1145&lt;&gt;"Resultado total",('FUENTE NO BORRAR'!F1145),""))</f>
        <v>375</v>
      </c>
      <c r="G1127" s="6">
        <f>IF('FUENTE NO BORRAR'!G1145="","",IF('FUENTE NO BORRAR'!$A1145&lt;&gt;"Resultado total",('FUENTE NO BORRAR'!G1145),""))</f>
        <v>375</v>
      </c>
      <c r="H1127" s="6">
        <f>IF('FUENTE NO BORRAR'!H1145="","",IF('FUENTE NO BORRAR'!$A1145&lt;&gt;"Resultado total",('FUENTE NO BORRAR'!H1145),""))</f>
        <v>375</v>
      </c>
      <c r="I1127" s="6">
        <f>IF('FUENTE NO BORRAR'!I1145="","",IF('FUENTE NO BORRAR'!$A1145&lt;&gt;"Resultado total",('FUENTE NO BORRAR'!I1145),""))</f>
        <v>0</v>
      </c>
    </row>
    <row r="1128" spans="1:9" x14ac:dyDescent="0.2">
      <c r="A1128" s="5" t="str">
        <f>IF('FUENTE NO BORRAR'!A1146="","",(IF('FUENTE NO BORRAR'!A1146&lt;&gt;"Resultado total",'FUENTE NO BORRAR'!A1146,"")))</f>
        <v/>
      </c>
      <c r="B1128" s="5" t="str">
        <f>IF('FUENTE NO BORRAR'!B1146="","",'FUENTE NO BORRAR'!B1146)</f>
        <v/>
      </c>
      <c r="C1128" s="5" t="str">
        <f>IF('FUENTE NO BORRAR'!C1146="","",'FUENTE NO BORRAR'!C1146)</f>
        <v/>
      </c>
      <c r="D1128" s="5" t="str">
        <f>IF('FUENTE NO BORRAR'!D1146="","",'FUENTE NO BORRAR'!D1146)</f>
        <v/>
      </c>
      <c r="E1128" s="5" t="str">
        <f>IF('FUENTE NO BORRAR'!E1146="","",'FUENTE NO BORRAR'!E1146)</f>
        <v/>
      </c>
      <c r="F1128" s="6">
        <f>IF('FUENTE NO BORRAR'!F1146="","",IF('FUENTE NO BORRAR'!$A1146&lt;&gt;"Resultado total",('FUENTE NO BORRAR'!F1146),""))</f>
        <v>0</v>
      </c>
      <c r="G1128" s="6">
        <f>IF('FUENTE NO BORRAR'!G1146="","",IF('FUENTE NO BORRAR'!$A1146&lt;&gt;"Resultado total",('FUENTE NO BORRAR'!G1146),""))</f>
        <v>0</v>
      </c>
      <c r="H1128" s="6">
        <f>IF('FUENTE NO BORRAR'!H1146="","",IF('FUENTE NO BORRAR'!$A1146&lt;&gt;"Resultado total",('FUENTE NO BORRAR'!H1146),""))</f>
        <v>0</v>
      </c>
      <c r="I1128" s="6">
        <f>IF('FUENTE NO BORRAR'!I1146="","",IF('FUENTE NO BORRAR'!$A1146&lt;&gt;"Resultado total",('FUENTE NO BORRAR'!I1146),""))</f>
        <v>0</v>
      </c>
    </row>
    <row r="1129" spans="1:9" x14ac:dyDescent="0.2">
      <c r="A1129" s="5" t="str">
        <f>IF('FUENTE NO BORRAR'!A1147="","",(IF('FUENTE NO BORRAR'!A1147&lt;&gt;"Resultado total",'FUENTE NO BORRAR'!A1147,"")))</f>
        <v/>
      </c>
      <c r="B1129" s="5" t="str">
        <f>IF('FUENTE NO BORRAR'!B1147="","",'FUENTE NO BORRAR'!B1147)</f>
        <v/>
      </c>
      <c r="C1129" s="5" t="str">
        <f>IF('FUENTE NO BORRAR'!C1147="","",'FUENTE NO BORRAR'!C1147)</f>
        <v/>
      </c>
      <c r="D1129" s="5" t="str">
        <f>IF('FUENTE NO BORRAR'!D1147="","",'FUENTE NO BORRAR'!D1147)</f>
        <v/>
      </c>
      <c r="E1129" s="5" t="str">
        <f>IF('FUENTE NO BORRAR'!E1147="","",'FUENTE NO BORRAR'!E1147)</f>
        <v/>
      </c>
      <c r="F1129" s="6">
        <f>IF('FUENTE NO BORRAR'!F1147="","",IF('FUENTE NO BORRAR'!$A1147&lt;&gt;"Resultado total",('FUENTE NO BORRAR'!F1147),""))</f>
        <v>0</v>
      </c>
      <c r="G1129" s="6">
        <f>IF('FUENTE NO BORRAR'!G1147="","",IF('FUENTE NO BORRAR'!$A1147&lt;&gt;"Resultado total",('FUENTE NO BORRAR'!G1147),""))</f>
        <v>0</v>
      </c>
      <c r="H1129" s="6">
        <f>IF('FUENTE NO BORRAR'!H1147="","",IF('FUENTE NO BORRAR'!$A1147&lt;&gt;"Resultado total",('FUENTE NO BORRAR'!H1147),""))</f>
        <v>0</v>
      </c>
      <c r="I1129" s="6">
        <f>IF('FUENTE NO BORRAR'!I1147="","",IF('FUENTE NO BORRAR'!$A1147&lt;&gt;"Resultado total",('FUENTE NO BORRAR'!I1147),""))</f>
        <v>0</v>
      </c>
    </row>
    <row r="1130" spans="1:9" x14ac:dyDescent="0.2">
      <c r="A1130" s="5" t="str">
        <f>IF('FUENTE NO BORRAR'!A1148="","",(IF('FUENTE NO BORRAR'!A1148&lt;&gt;"Resultado total",'FUENTE NO BORRAR'!A1148,"")))</f>
        <v/>
      </c>
      <c r="B1130" s="5" t="str">
        <f>IF('FUENTE NO BORRAR'!B1148="","",'FUENTE NO BORRAR'!B1148)</f>
        <v/>
      </c>
      <c r="C1130" s="5" t="str">
        <f>IF('FUENTE NO BORRAR'!C1148="","",'FUENTE NO BORRAR'!C1148)</f>
        <v/>
      </c>
      <c r="D1130" s="5" t="str">
        <f>IF('FUENTE NO BORRAR'!D1148="","",'FUENTE NO BORRAR'!D1148)</f>
        <v/>
      </c>
      <c r="E1130" s="5" t="str">
        <f>IF('FUENTE NO BORRAR'!E1148="","",'FUENTE NO BORRAR'!E1148)</f>
        <v/>
      </c>
      <c r="F1130" s="6">
        <f>IF('FUENTE NO BORRAR'!F1148="","",IF('FUENTE NO BORRAR'!$A1148&lt;&gt;"Resultado total",('FUENTE NO BORRAR'!F1148),""))</f>
        <v>100183.41</v>
      </c>
      <c r="G1130" s="6">
        <f>IF('FUENTE NO BORRAR'!G1148="","",IF('FUENTE NO BORRAR'!$A1148&lt;&gt;"Resultado total",('FUENTE NO BORRAR'!G1148),""))</f>
        <v>100183.41</v>
      </c>
      <c r="H1130" s="6">
        <f>IF('FUENTE NO BORRAR'!H1148="","",IF('FUENTE NO BORRAR'!$A1148&lt;&gt;"Resultado total",('FUENTE NO BORRAR'!H1148),""))</f>
        <v>96695.41</v>
      </c>
      <c r="I1130" s="6">
        <f>IF('FUENTE NO BORRAR'!I1148="","",IF('FUENTE NO BORRAR'!$A1148&lt;&gt;"Resultado total",('FUENTE NO BORRAR'!I1148),""))</f>
        <v>0</v>
      </c>
    </row>
    <row r="1131" spans="1:9" x14ac:dyDescent="0.2">
      <c r="A1131" s="5" t="str">
        <f>IF('FUENTE NO BORRAR'!A1149="","",(IF('FUENTE NO BORRAR'!A1149&lt;&gt;"Resultado total",'FUENTE NO BORRAR'!A1149,"")))</f>
        <v/>
      </c>
      <c r="B1131" s="5" t="str">
        <f>IF('FUENTE NO BORRAR'!B1149="","",'FUENTE NO BORRAR'!B1149)</f>
        <v/>
      </c>
      <c r="C1131" s="5" t="str">
        <f>IF('FUENTE NO BORRAR'!C1149="","",'FUENTE NO BORRAR'!C1149)</f>
        <v/>
      </c>
      <c r="D1131" s="5" t="str">
        <f>IF('FUENTE NO BORRAR'!D1149="","",'FUENTE NO BORRAR'!D1149)</f>
        <v/>
      </c>
      <c r="E1131" s="5" t="str">
        <f>IF('FUENTE NO BORRAR'!E1149="","",'FUENTE NO BORRAR'!E1149)</f>
        <v/>
      </c>
      <c r="F1131" s="6">
        <f>IF('FUENTE NO BORRAR'!F1149="","",IF('FUENTE NO BORRAR'!$A1149&lt;&gt;"Resultado total",('FUENTE NO BORRAR'!F1149),""))</f>
        <v>7983</v>
      </c>
      <c r="G1131" s="6">
        <f>IF('FUENTE NO BORRAR'!G1149="","",IF('FUENTE NO BORRAR'!$A1149&lt;&gt;"Resultado total",('FUENTE NO BORRAR'!G1149),""))</f>
        <v>7983</v>
      </c>
      <c r="H1131" s="6">
        <f>IF('FUENTE NO BORRAR'!H1149="","",IF('FUENTE NO BORRAR'!$A1149&lt;&gt;"Resultado total",('FUENTE NO BORRAR'!H1149),""))</f>
        <v>7983</v>
      </c>
      <c r="I1131" s="6">
        <f>IF('FUENTE NO BORRAR'!I1149="","",IF('FUENTE NO BORRAR'!$A1149&lt;&gt;"Resultado total",('FUENTE NO BORRAR'!I1149),""))</f>
        <v>0</v>
      </c>
    </row>
    <row r="1132" spans="1:9" x14ac:dyDescent="0.2">
      <c r="A1132" s="5" t="str">
        <f>IF('FUENTE NO BORRAR'!A1150="","",(IF('FUENTE NO BORRAR'!A1150&lt;&gt;"Resultado total",'FUENTE NO BORRAR'!A1150,"")))</f>
        <v/>
      </c>
      <c r="B1132" s="5" t="str">
        <f>IF('FUENTE NO BORRAR'!B1150="","",'FUENTE NO BORRAR'!B1150)</f>
        <v/>
      </c>
      <c r="C1132" s="5" t="str">
        <f>IF('FUENTE NO BORRAR'!C1150="","",'FUENTE NO BORRAR'!C1150)</f>
        <v/>
      </c>
      <c r="D1132" s="5" t="str">
        <f>IF('FUENTE NO BORRAR'!D1150="","",'FUENTE NO BORRAR'!D1150)</f>
        <v/>
      </c>
      <c r="E1132" s="5" t="str">
        <f>IF('FUENTE NO BORRAR'!E1150="","",'FUENTE NO BORRAR'!E1150)</f>
        <v/>
      </c>
      <c r="F1132" s="6">
        <f>IF('FUENTE NO BORRAR'!F1150="","",IF('FUENTE NO BORRAR'!$A1150&lt;&gt;"Resultado total",('FUENTE NO BORRAR'!F1150),""))</f>
        <v>28683.72</v>
      </c>
      <c r="G1132" s="6">
        <f>IF('FUENTE NO BORRAR'!G1150="","",IF('FUENTE NO BORRAR'!$A1150&lt;&gt;"Resultado total",('FUENTE NO BORRAR'!G1150),""))</f>
        <v>28683.72</v>
      </c>
      <c r="H1132" s="6">
        <f>IF('FUENTE NO BORRAR'!H1150="","",IF('FUENTE NO BORRAR'!$A1150&lt;&gt;"Resultado total",('FUENTE NO BORRAR'!H1150),""))</f>
        <v>28683.72</v>
      </c>
      <c r="I1132" s="6">
        <f>IF('FUENTE NO BORRAR'!I1150="","",IF('FUENTE NO BORRAR'!$A1150&lt;&gt;"Resultado total",('FUENTE NO BORRAR'!I1150),""))</f>
        <v>0</v>
      </c>
    </row>
    <row r="1133" spans="1:9" x14ac:dyDescent="0.2">
      <c r="A1133" s="5" t="str">
        <f>IF('FUENTE NO BORRAR'!A1151="","",(IF('FUENTE NO BORRAR'!A1151&lt;&gt;"Resultado total",'FUENTE NO BORRAR'!A1151,"")))</f>
        <v/>
      </c>
      <c r="B1133" s="5" t="str">
        <f>IF('FUENTE NO BORRAR'!B1151="","",'FUENTE NO BORRAR'!B1151)</f>
        <v/>
      </c>
      <c r="C1133" s="5" t="str">
        <f>IF('FUENTE NO BORRAR'!C1151="","",'FUENTE NO BORRAR'!C1151)</f>
        <v/>
      </c>
      <c r="D1133" s="5" t="str">
        <f>IF('FUENTE NO BORRAR'!D1151="","",'FUENTE NO BORRAR'!D1151)</f>
        <v/>
      </c>
      <c r="E1133" s="5" t="str">
        <f>IF('FUENTE NO BORRAR'!E1151="","",'FUENTE NO BORRAR'!E1151)</f>
        <v/>
      </c>
      <c r="F1133" s="6">
        <f>IF('FUENTE NO BORRAR'!F1151="","",IF('FUENTE NO BORRAR'!$A1151&lt;&gt;"Resultado total",('FUENTE NO BORRAR'!F1151),""))</f>
        <v>0</v>
      </c>
      <c r="G1133" s="6">
        <f>IF('FUENTE NO BORRAR'!G1151="","",IF('FUENTE NO BORRAR'!$A1151&lt;&gt;"Resultado total",('FUENTE NO BORRAR'!G1151),""))</f>
        <v>0</v>
      </c>
      <c r="H1133" s="6">
        <f>IF('FUENTE NO BORRAR'!H1151="","",IF('FUENTE NO BORRAR'!$A1151&lt;&gt;"Resultado total",('FUENTE NO BORRAR'!H1151),""))</f>
        <v>0</v>
      </c>
      <c r="I1133" s="6">
        <f>IF('FUENTE NO BORRAR'!I1151="","",IF('FUENTE NO BORRAR'!$A1151&lt;&gt;"Resultado total",('FUENTE NO BORRAR'!I1151),""))</f>
        <v>0</v>
      </c>
    </row>
    <row r="1134" spans="1:9" x14ac:dyDescent="0.2">
      <c r="A1134" s="5" t="str">
        <f>IF('FUENTE NO BORRAR'!A1152="","",(IF('FUENTE NO BORRAR'!A1152&lt;&gt;"Resultado total",'FUENTE NO BORRAR'!A1152,"")))</f>
        <v/>
      </c>
      <c r="B1134" s="5" t="str">
        <f>IF('FUENTE NO BORRAR'!B1152="","",'FUENTE NO BORRAR'!B1152)</f>
        <v/>
      </c>
      <c r="C1134" s="5" t="str">
        <f>IF('FUENTE NO BORRAR'!C1152="","",'FUENTE NO BORRAR'!C1152)</f>
        <v/>
      </c>
      <c r="D1134" s="5" t="str">
        <f>IF('FUENTE NO BORRAR'!D1152="","",'FUENTE NO BORRAR'!D1152)</f>
        <v/>
      </c>
      <c r="E1134" s="5" t="str">
        <f>IF('FUENTE NO BORRAR'!E1152="","",'FUENTE NO BORRAR'!E1152)</f>
        <v/>
      </c>
      <c r="F1134" s="6">
        <f>IF('FUENTE NO BORRAR'!F1152="","",IF('FUENTE NO BORRAR'!$A1152&lt;&gt;"Resultado total",('FUENTE NO BORRAR'!F1152),""))</f>
        <v>3064.84</v>
      </c>
      <c r="G1134" s="6">
        <f>IF('FUENTE NO BORRAR'!G1152="","",IF('FUENTE NO BORRAR'!$A1152&lt;&gt;"Resultado total",('FUENTE NO BORRAR'!G1152),""))</f>
        <v>3064.84</v>
      </c>
      <c r="H1134" s="6">
        <f>IF('FUENTE NO BORRAR'!H1152="","",IF('FUENTE NO BORRAR'!$A1152&lt;&gt;"Resultado total",('FUENTE NO BORRAR'!H1152),""))</f>
        <v>3064.84</v>
      </c>
      <c r="I1134" s="6">
        <f>IF('FUENTE NO BORRAR'!I1152="","",IF('FUENTE NO BORRAR'!$A1152&lt;&gt;"Resultado total",('FUENTE NO BORRAR'!I1152),""))</f>
        <v>0</v>
      </c>
    </row>
    <row r="1135" spans="1:9" x14ac:dyDescent="0.2">
      <c r="A1135" s="5" t="str">
        <f>IF('FUENTE NO BORRAR'!A1153="","",(IF('FUENTE NO BORRAR'!A1153&lt;&gt;"Resultado total",'FUENTE NO BORRAR'!A1153,"")))</f>
        <v/>
      </c>
      <c r="B1135" s="5" t="str">
        <f>IF('FUENTE NO BORRAR'!B1153="","",'FUENTE NO BORRAR'!B1153)</f>
        <v/>
      </c>
      <c r="C1135" s="5" t="str">
        <f>IF('FUENTE NO BORRAR'!C1153="","",'FUENTE NO BORRAR'!C1153)</f>
        <v/>
      </c>
      <c r="D1135" s="5" t="str">
        <f>IF('FUENTE NO BORRAR'!D1153="","",'FUENTE NO BORRAR'!D1153)</f>
        <v/>
      </c>
      <c r="E1135" s="5" t="str">
        <f>IF('FUENTE NO BORRAR'!E1153="","",'FUENTE NO BORRAR'!E1153)</f>
        <v/>
      </c>
      <c r="F1135" s="6">
        <f>IF('FUENTE NO BORRAR'!F1153="","",IF('FUENTE NO BORRAR'!$A1153&lt;&gt;"Resultado total",('FUENTE NO BORRAR'!F1153),""))</f>
        <v>4736.68</v>
      </c>
      <c r="G1135" s="6">
        <f>IF('FUENTE NO BORRAR'!G1153="","",IF('FUENTE NO BORRAR'!$A1153&lt;&gt;"Resultado total",('FUENTE NO BORRAR'!G1153),""))</f>
        <v>4736.68</v>
      </c>
      <c r="H1135" s="6">
        <f>IF('FUENTE NO BORRAR'!H1153="","",IF('FUENTE NO BORRAR'!$A1153&lt;&gt;"Resultado total",('FUENTE NO BORRAR'!H1153),""))</f>
        <v>4736.68</v>
      </c>
      <c r="I1135" s="6">
        <f>IF('FUENTE NO BORRAR'!I1153="","",IF('FUENTE NO BORRAR'!$A1153&lt;&gt;"Resultado total",('FUENTE NO BORRAR'!I1153),""))</f>
        <v>0</v>
      </c>
    </row>
    <row r="1136" spans="1:9" x14ac:dyDescent="0.2">
      <c r="A1136" s="5" t="str">
        <f>IF('FUENTE NO BORRAR'!A1154="","",(IF('FUENTE NO BORRAR'!A1154&lt;&gt;"Resultado total",'FUENTE NO BORRAR'!A1154,"")))</f>
        <v/>
      </c>
      <c r="B1136" s="5" t="str">
        <f>IF('FUENTE NO BORRAR'!B1154="","",'FUENTE NO BORRAR'!B1154)</f>
        <v/>
      </c>
      <c r="C1136" s="5" t="str">
        <f>IF('FUENTE NO BORRAR'!C1154="","",'FUENTE NO BORRAR'!C1154)</f>
        <v/>
      </c>
      <c r="D1136" s="5" t="str">
        <f>IF('FUENTE NO BORRAR'!D1154="","",'FUENTE NO BORRAR'!D1154)</f>
        <v/>
      </c>
      <c r="E1136" s="5" t="str">
        <f>IF('FUENTE NO BORRAR'!E1154="","",'FUENTE NO BORRAR'!E1154)</f>
        <v/>
      </c>
      <c r="F1136" s="6">
        <f>IF('FUENTE NO BORRAR'!F1154="","",IF('FUENTE NO BORRAR'!$A1154&lt;&gt;"Resultado total",('FUENTE NO BORRAR'!F1154),""))</f>
        <v>0</v>
      </c>
      <c r="G1136" s="6">
        <f>IF('FUENTE NO BORRAR'!G1154="","",IF('FUENTE NO BORRAR'!$A1154&lt;&gt;"Resultado total",('FUENTE NO BORRAR'!G1154),""))</f>
        <v>0</v>
      </c>
      <c r="H1136" s="6">
        <f>IF('FUENTE NO BORRAR'!H1154="","",IF('FUENTE NO BORRAR'!$A1154&lt;&gt;"Resultado total",('FUENTE NO BORRAR'!H1154),""))</f>
        <v>0</v>
      </c>
      <c r="I1136" s="6">
        <f>IF('FUENTE NO BORRAR'!I1154="","",IF('FUENTE NO BORRAR'!$A1154&lt;&gt;"Resultado total",('FUENTE NO BORRAR'!I1154),""))</f>
        <v>0</v>
      </c>
    </row>
    <row r="1137" spans="1:9" x14ac:dyDescent="0.2">
      <c r="A1137" s="5" t="str">
        <f>IF('FUENTE NO BORRAR'!A1155="","",(IF('FUENTE NO BORRAR'!A1155&lt;&gt;"Resultado total",'FUENTE NO BORRAR'!A1155,"")))</f>
        <v/>
      </c>
      <c r="B1137" s="5" t="str">
        <f>IF('FUENTE NO BORRAR'!B1155="","",'FUENTE NO BORRAR'!B1155)</f>
        <v/>
      </c>
      <c r="C1137" s="5" t="str">
        <f>IF('FUENTE NO BORRAR'!C1155="","",'FUENTE NO BORRAR'!C1155)</f>
        <v/>
      </c>
      <c r="D1137" s="5" t="str">
        <f>IF('FUENTE NO BORRAR'!D1155="","",'FUENTE NO BORRAR'!D1155)</f>
        <v/>
      </c>
      <c r="E1137" s="5" t="str">
        <f>IF('FUENTE NO BORRAR'!E1155="","",'FUENTE NO BORRAR'!E1155)</f>
        <v/>
      </c>
      <c r="F1137" s="6">
        <f>IF('FUENTE NO BORRAR'!F1155="","",IF('FUENTE NO BORRAR'!$A1155&lt;&gt;"Resultado total",('FUENTE NO BORRAR'!F1155),""))</f>
        <v>162.4</v>
      </c>
      <c r="G1137" s="6">
        <f>IF('FUENTE NO BORRAR'!G1155="","",IF('FUENTE NO BORRAR'!$A1155&lt;&gt;"Resultado total",('FUENTE NO BORRAR'!G1155),""))</f>
        <v>162.4</v>
      </c>
      <c r="H1137" s="6">
        <f>IF('FUENTE NO BORRAR'!H1155="","",IF('FUENTE NO BORRAR'!$A1155&lt;&gt;"Resultado total",('FUENTE NO BORRAR'!H1155),""))</f>
        <v>162.4</v>
      </c>
      <c r="I1137" s="6">
        <f>IF('FUENTE NO BORRAR'!I1155="","",IF('FUENTE NO BORRAR'!$A1155&lt;&gt;"Resultado total",('FUENTE NO BORRAR'!I1155),""))</f>
        <v>0</v>
      </c>
    </row>
    <row r="1138" spans="1:9" x14ac:dyDescent="0.2">
      <c r="A1138" s="5" t="str">
        <f>IF('FUENTE NO BORRAR'!A1156="","",(IF('FUENTE NO BORRAR'!A1156&lt;&gt;"Resultado total",'FUENTE NO BORRAR'!A1156,"")))</f>
        <v/>
      </c>
      <c r="B1138" s="5" t="str">
        <f>IF('FUENTE NO BORRAR'!B1156="","",'FUENTE NO BORRAR'!B1156)</f>
        <v/>
      </c>
      <c r="C1138" s="5" t="str">
        <f>IF('FUENTE NO BORRAR'!C1156="","",'FUENTE NO BORRAR'!C1156)</f>
        <v/>
      </c>
      <c r="D1138" s="5" t="str">
        <f>IF('FUENTE NO BORRAR'!D1156="","",'FUENTE NO BORRAR'!D1156)</f>
        <v/>
      </c>
      <c r="E1138" s="5" t="str">
        <f>IF('FUENTE NO BORRAR'!E1156="","",'FUENTE NO BORRAR'!E1156)</f>
        <v/>
      </c>
      <c r="F1138" s="6">
        <f>IF('FUENTE NO BORRAR'!F1156="","",IF('FUENTE NO BORRAR'!$A1156&lt;&gt;"Resultado total",('FUENTE NO BORRAR'!F1156),""))</f>
        <v>0</v>
      </c>
      <c r="G1138" s="6">
        <f>IF('FUENTE NO BORRAR'!G1156="","",IF('FUENTE NO BORRAR'!$A1156&lt;&gt;"Resultado total",('FUENTE NO BORRAR'!G1156),""))</f>
        <v>0</v>
      </c>
      <c r="H1138" s="6">
        <f>IF('FUENTE NO BORRAR'!H1156="","",IF('FUENTE NO BORRAR'!$A1156&lt;&gt;"Resultado total",('FUENTE NO BORRAR'!H1156),""))</f>
        <v>0</v>
      </c>
      <c r="I1138" s="6">
        <f>IF('FUENTE NO BORRAR'!I1156="","",IF('FUENTE NO BORRAR'!$A1156&lt;&gt;"Resultado total",('FUENTE NO BORRAR'!I1156),""))</f>
        <v>0</v>
      </c>
    </row>
    <row r="1139" spans="1:9" x14ac:dyDescent="0.2">
      <c r="A1139" s="5" t="str">
        <f>IF('FUENTE NO BORRAR'!A1157="","",(IF('FUENTE NO BORRAR'!A1157&lt;&gt;"Resultado total",'FUENTE NO BORRAR'!A1157,"")))</f>
        <v/>
      </c>
      <c r="B1139" s="5" t="str">
        <f>IF('FUENTE NO BORRAR'!B1157="","",'FUENTE NO BORRAR'!B1157)</f>
        <v/>
      </c>
      <c r="C1139" s="5" t="str">
        <f>IF('FUENTE NO BORRAR'!C1157="","",'FUENTE NO BORRAR'!C1157)</f>
        <v/>
      </c>
      <c r="D1139" s="5" t="str">
        <f>IF('FUENTE NO BORRAR'!D1157="","",'FUENTE NO BORRAR'!D1157)</f>
        <v/>
      </c>
      <c r="E1139" s="5" t="str">
        <f>IF('FUENTE NO BORRAR'!E1157="","",'FUENTE NO BORRAR'!E1157)</f>
        <v/>
      </c>
      <c r="F1139" s="6">
        <f>IF('FUENTE NO BORRAR'!F1157="","",IF('FUENTE NO BORRAR'!$A1157&lt;&gt;"Resultado total",('FUENTE NO BORRAR'!F1157),""))</f>
        <v>118799.75</v>
      </c>
      <c r="G1139" s="6">
        <f>IF('FUENTE NO BORRAR'!G1157="","",IF('FUENTE NO BORRAR'!$A1157&lt;&gt;"Resultado total",('FUENTE NO BORRAR'!G1157),""))</f>
        <v>118799.75</v>
      </c>
      <c r="H1139" s="6">
        <f>IF('FUENTE NO BORRAR'!H1157="","",IF('FUENTE NO BORRAR'!$A1157&lt;&gt;"Resultado total",('FUENTE NO BORRAR'!H1157),""))</f>
        <v>79185.63</v>
      </c>
      <c r="I1139" s="6">
        <f>IF('FUENTE NO BORRAR'!I1157="","",IF('FUENTE NO BORRAR'!$A1157&lt;&gt;"Resultado total",('FUENTE NO BORRAR'!I1157),""))</f>
        <v>0</v>
      </c>
    </row>
    <row r="1140" spans="1:9" x14ac:dyDescent="0.2">
      <c r="A1140" s="5" t="str">
        <f>IF('FUENTE NO BORRAR'!A1158="","",(IF('FUENTE NO BORRAR'!A1158&lt;&gt;"Resultado total",'FUENTE NO BORRAR'!A1158,"")))</f>
        <v/>
      </c>
      <c r="B1140" s="5" t="str">
        <f>IF('FUENTE NO BORRAR'!B1158="","",'FUENTE NO BORRAR'!B1158)</f>
        <v/>
      </c>
      <c r="C1140" s="5" t="str">
        <f>IF('FUENTE NO BORRAR'!C1158="","",'FUENTE NO BORRAR'!C1158)</f>
        <v/>
      </c>
      <c r="D1140" s="5" t="str">
        <f>IF('FUENTE NO BORRAR'!D1158="","",'FUENTE NO BORRAR'!D1158)</f>
        <v/>
      </c>
      <c r="E1140" s="5" t="str">
        <f>IF('FUENTE NO BORRAR'!E1158="","",'FUENTE NO BORRAR'!E1158)</f>
        <v/>
      </c>
      <c r="F1140" s="6">
        <f>IF('FUENTE NO BORRAR'!F1158="","",IF('FUENTE NO BORRAR'!$A1158&lt;&gt;"Resultado total",('FUENTE NO BORRAR'!F1158),""))</f>
        <v>6676</v>
      </c>
      <c r="G1140" s="6">
        <f>IF('FUENTE NO BORRAR'!G1158="","",IF('FUENTE NO BORRAR'!$A1158&lt;&gt;"Resultado total",('FUENTE NO BORRAR'!G1158),""))</f>
        <v>6676</v>
      </c>
      <c r="H1140" s="6">
        <f>IF('FUENTE NO BORRAR'!H1158="","",IF('FUENTE NO BORRAR'!$A1158&lt;&gt;"Resultado total",('FUENTE NO BORRAR'!H1158),""))</f>
        <v>2500</v>
      </c>
      <c r="I1140" s="6">
        <f>IF('FUENTE NO BORRAR'!I1158="","",IF('FUENTE NO BORRAR'!$A1158&lt;&gt;"Resultado total",('FUENTE NO BORRAR'!I1158),""))</f>
        <v>0</v>
      </c>
    </row>
    <row r="1141" spans="1:9" x14ac:dyDescent="0.2">
      <c r="A1141" s="5" t="str">
        <f>IF('FUENTE NO BORRAR'!A1159="","",(IF('FUENTE NO BORRAR'!A1159&lt;&gt;"Resultado total",'FUENTE NO BORRAR'!A1159,"")))</f>
        <v/>
      </c>
      <c r="B1141" s="5" t="str">
        <f>IF('FUENTE NO BORRAR'!B1159="","",'FUENTE NO BORRAR'!B1159)</f>
        <v/>
      </c>
      <c r="C1141" s="5" t="str">
        <f>IF('FUENTE NO BORRAR'!C1159="","",'FUENTE NO BORRAR'!C1159)</f>
        <v/>
      </c>
      <c r="D1141" s="5" t="str">
        <f>IF('FUENTE NO BORRAR'!D1159="","",'FUENTE NO BORRAR'!D1159)</f>
        <v/>
      </c>
      <c r="E1141" s="5" t="str">
        <f>IF('FUENTE NO BORRAR'!E1159="","",'FUENTE NO BORRAR'!E1159)</f>
        <v/>
      </c>
      <c r="F1141" s="6">
        <f>IF('FUENTE NO BORRAR'!F1159="","",IF('FUENTE NO BORRAR'!$A1159&lt;&gt;"Resultado total",('FUENTE NO BORRAR'!F1159),""))</f>
        <v>655921.14</v>
      </c>
      <c r="G1141" s="6">
        <f>IF('FUENTE NO BORRAR'!G1159="","",IF('FUENTE NO BORRAR'!$A1159&lt;&gt;"Resultado total",('FUENTE NO BORRAR'!G1159),""))</f>
        <v>655921.14</v>
      </c>
      <c r="H1141" s="6">
        <f>IF('FUENTE NO BORRAR'!H1159="","",IF('FUENTE NO BORRAR'!$A1159&lt;&gt;"Resultado total",('FUENTE NO BORRAR'!H1159),""))</f>
        <v>1670.4</v>
      </c>
      <c r="I1141" s="6">
        <f>IF('FUENTE NO BORRAR'!I1159="","",IF('FUENTE NO BORRAR'!$A1159&lt;&gt;"Resultado total",('FUENTE NO BORRAR'!I1159),""))</f>
        <v>0</v>
      </c>
    </row>
    <row r="1142" spans="1:9" x14ac:dyDescent="0.2">
      <c r="A1142" s="5" t="str">
        <f>IF('FUENTE NO BORRAR'!A1160="","",(IF('FUENTE NO BORRAR'!A1160&lt;&gt;"Resultado total",'FUENTE NO BORRAR'!A1160,"")))</f>
        <v/>
      </c>
      <c r="B1142" s="5" t="str">
        <f>IF('FUENTE NO BORRAR'!B1160="","",'FUENTE NO BORRAR'!B1160)</f>
        <v/>
      </c>
      <c r="C1142" s="5" t="str">
        <f>IF('FUENTE NO BORRAR'!C1160="","",'FUENTE NO BORRAR'!C1160)</f>
        <v/>
      </c>
      <c r="D1142" s="5" t="str">
        <f>IF('FUENTE NO BORRAR'!D1160="","",'FUENTE NO BORRAR'!D1160)</f>
        <v/>
      </c>
      <c r="E1142" s="5" t="str">
        <f>IF('FUENTE NO BORRAR'!E1160="","",'FUENTE NO BORRAR'!E1160)</f>
        <v/>
      </c>
      <c r="F1142" s="6">
        <f>IF('FUENTE NO BORRAR'!F1160="","",IF('FUENTE NO BORRAR'!$A1160&lt;&gt;"Resultado total",('FUENTE NO BORRAR'!F1160),""))</f>
        <v>0</v>
      </c>
      <c r="G1142" s="6">
        <f>IF('FUENTE NO BORRAR'!G1160="","",IF('FUENTE NO BORRAR'!$A1160&lt;&gt;"Resultado total",('FUENTE NO BORRAR'!G1160),""))</f>
        <v>0</v>
      </c>
      <c r="H1142" s="6">
        <f>IF('FUENTE NO BORRAR'!H1160="","",IF('FUENTE NO BORRAR'!$A1160&lt;&gt;"Resultado total",('FUENTE NO BORRAR'!H1160),""))</f>
        <v>0</v>
      </c>
      <c r="I1142" s="6">
        <f>IF('FUENTE NO BORRAR'!I1160="","",IF('FUENTE NO BORRAR'!$A1160&lt;&gt;"Resultado total",('FUENTE NO BORRAR'!I1160),""))</f>
        <v>0</v>
      </c>
    </row>
    <row r="1143" spans="1:9" x14ac:dyDescent="0.2">
      <c r="A1143" s="5" t="str">
        <f>IF('FUENTE NO BORRAR'!A1161="","",(IF('FUENTE NO BORRAR'!A1161&lt;&gt;"Resultado total",'FUENTE NO BORRAR'!A1161,"")))</f>
        <v/>
      </c>
      <c r="B1143" s="5" t="str">
        <f>IF('FUENTE NO BORRAR'!B1161="","",'FUENTE NO BORRAR'!B1161)</f>
        <v/>
      </c>
      <c r="C1143" s="5" t="str">
        <f>IF('FUENTE NO BORRAR'!C1161="","",'FUENTE NO BORRAR'!C1161)</f>
        <v/>
      </c>
      <c r="D1143" s="5" t="str">
        <f>IF('FUENTE NO BORRAR'!D1161="","",'FUENTE NO BORRAR'!D1161)</f>
        <v/>
      </c>
      <c r="E1143" s="5" t="str">
        <f>IF('FUENTE NO BORRAR'!E1161="","",'FUENTE NO BORRAR'!E1161)</f>
        <v/>
      </c>
      <c r="F1143" s="6">
        <f>IF('FUENTE NO BORRAR'!F1161="","",IF('FUENTE NO BORRAR'!$A1161&lt;&gt;"Resultado total",('FUENTE NO BORRAR'!F1161),""))</f>
        <v>12243.28</v>
      </c>
      <c r="G1143" s="6">
        <f>IF('FUENTE NO BORRAR'!G1161="","",IF('FUENTE NO BORRAR'!$A1161&lt;&gt;"Resultado total",('FUENTE NO BORRAR'!G1161),""))</f>
        <v>12243.28</v>
      </c>
      <c r="H1143" s="6">
        <f>IF('FUENTE NO BORRAR'!H1161="","",IF('FUENTE NO BORRAR'!$A1161&lt;&gt;"Resultado total",('FUENTE NO BORRAR'!H1161),""))</f>
        <v>9813.08</v>
      </c>
      <c r="I1143" s="6">
        <f>IF('FUENTE NO BORRAR'!I1161="","",IF('FUENTE NO BORRAR'!$A1161&lt;&gt;"Resultado total",('FUENTE NO BORRAR'!I1161),""))</f>
        <v>0</v>
      </c>
    </row>
    <row r="1144" spans="1:9" x14ac:dyDescent="0.2">
      <c r="A1144" s="5" t="str">
        <f>IF('FUENTE NO BORRAR'!A1162="","",(IF('FUENTE NO BORRAR'!A1162&lt;&gt;"Resultado total",'FUENTE NO BORRAR'!A1162,"")))</f>
        <v/>
      </c>
      <c r="B1144" s="5" t="str">
        <f>IF('FUENTE NO BORRAR'!B1162="","",'FUENTE NO BORRAR'!B1162)</f>
        <v/>
      </c>
      <c r="C1144" s="5" t="str">
        <f>IF('FUENTE NO BORRAR'!C1162="","",'FUENTE NO BORRAR'!C1162)</f>
        <v/>
      </c>
      <c r="D1144" s="5" t="str">
        <f>IF('FUENTE NO BORRAR'!D1162="","",'FUENTE NO BORRAR'!D1162)</f>
        <v/>
      </c>
      <c r="E1144" s="5" t="str">
        <f>IF('FUENTE NO BORRAR'!E1162="","",'FUENTE NO BORRAR'!E1162)</f>
        <v/>
      </c>
      <c r="F1144" s="6">
        <f>IF('FUENTE NO BORRAR'!F1162="","",IF('FUENTE NO BORRAR'!$A1162&lt;&gt;"Resultado total",('FUENTE NO BORRAR'!F1162),""))</f>
        <v>40415.519999999997</v>
      </c>
      <c r="G1144" s="6">
        <f>IF('FUENTE NO BORRAR'!G1162="","",IF('FUENTE NO BORRAR'!$A1162&lt;&gt;"Resultado total",('FUENTE NO BORRAR'!G1162),""))</f>
        <v>40415.519999999997</v>
      </c>
      <c r="H1144" s="6">
        <f>IF('FUENTE NO BORRAR'!H1162="","",IF('FUENTE NO BORRAR'!$A1162&lt;&gt;"Resultado total",('FUENTE NO BORRAR'!H1162),""))</f>
        <v>11187</v>
      </c>
      <c r="I1144" s="6">
        <f>IF('FUENTE NO BORRAR'!I1162="","",IF('FUENTE NO BORRAR'!$A1162&lt;&gt;"Resultado total",('FUENTE NO BORRAR'!I1162),""))</f>
        <v>0</v>
      </c>
    </row>
    <row r="1145" spans="1:9" x14ac:dyDescent="0.2">
      <c r="A1145" s="5" t="str">
        <f>IF('FUENTE NO BORRAR'!A1163="","",(IF('FUENTE NO BORRAR'!A1163&lt;&gt;"Resultado total",'FUENTE NO BORRAR'!A1163,"")))</f>
        <v/>
      </c>
      <c r="B1145" s="5" t="str">
        <f>IF('FUENTE NO BORRAR'!B1163="","",'FUENTE NO BORRAR'!B1163)</f>
        <v/>
      </c>
      <c r="C1145" s="5" t="str">
        <f>IF('FUENTE NO BORRAR'!C1163="","",'FUENTE NO BORRAR'!C1163)</f>
        <v/>
      </c>
      <c r="D1145" s="5" t="str">
        <f>IF('FUENTE NO BORRAR'!D1163="","",'FUENTE NO BORRAR'!D1163)</f>
        <v/>
      </c>
      <c r="E1145" s="5" t="str">
        <f>IF('FUENTE NO BORRAR'!E1163="","",'FUENTE NO BORRAR'!E1163)</f>
        <v/>
      </c>
      <c r="F1145" s="6">
        <f>IF('FUENTE NO BORRAR'!F1163="","",IF('FUENTE NO BORRAR'!$A1163&lt;&gt;"Resultado total",('FUENTE NO BORRAR'!F1163),""))</f>
        <v>4891</v>
      </c>
      <c r="G1145" s="6">
        <f>IF('FUENTE NO BORRAR'!G1163="","",IF('FUENTE NO BORRAR'!$A1163&lt;&gt;"Resultado total",('FUENTE NO BORRAR'!G1163),""))</f>
        <v>4891</v>
      </c>
      <c r="H1145" s="6">
        <f>IF('FUENTE NO BORRAR'!H1163="","",IF('FUENTE NO BORRAR'!$A1163&lt;&gt;"Resultado total",('FUENTE NO BORRAR'!H1163),""))</f>
        <v>4891</v>
      </c>
      <c r="I1145" s="6">
        <f>IF('FUENTE NO BORRAR'!I1163="","",IF('FUENTE NO BORRAR'!$A1163&lt;&gt;"Resultado total",('FUENTE NO BORRAR'!I1163),""))</f>
        <v>0</v>
      </c>
    </row>
    <row r="1146" spans="1:9" x14ac:dyDescent="0.2">
      <c r="A1146" s="5" t="str">
        <f>IF('FUENTE NO BORRAR'!A1164="","",(IF('FUENTE NO BORRAR'!A1164&lt;&gt;"Resultado total",'FUENTE NO BORRAR'!A1164,"")))</f>
        <v/>
      </c>
      <c r="B1146" s="5" t="str">
        <f>IF('FUENTE NO BORRAR'!B1164="","",'FUENTE NO BORRAR'!B1164)</f>
        <v/>
      </c>
      <c r="C1146" s="5" t="str">
        <f>IF('FUENTE NO BORRAR'!C1164="","",'FUENTE NO BORRAR'!C1164)</f>
        <v/>
      </c>
      <c r="D1146" s="5" t="str">
        <f>IF('FUENTE NO BORRAR'!D1164="","",'FUENTE NO BORRAR'!D1164)</f>
        <v/>
      </c>
      <c r="E1146" s="5" t="str">
        <f>IF('FUENTE NO BORRAR'!E1164="","",'FUENTE NO BORRAR'!E1164)</f>
        <v/>
      </c>
      <c r="F1146" s="6">
        <f>IF('FUENTE NO BORRAR'!F1164="","",IF('FUENTE NO BORRAR'!$A1164&lt;&gt;"Resultado total",('FUENTE NO BORRAR'!F1164),""))</f>
        <v>12364.99</v>
      </c>
      <c r="G1146" s="6">
        <f>IF('FUENTE NO BORRAR'!G1164="","",IF('FUENTE NO BORRAR'!$A1164&lt;&gt;"Resultado total",('FUENTE NO BORRAR'!G1164),""))</f>
        <v>12364.99</v>
      </c>
      <c r="H1146" s="6">
        <f>IF('FUENTE NO BORRAR'!H1164="","",IF('FUENTE NO BORRAR'!$A1164&lt;&gt;"Resultado total",('FUENTE NO BORRAR'!H1164),""))</f>
        <v>12364.99</v>
      </c>
      <c r="I1146" s="6">
        <f>IF('FUENTE NO BORRAR'!I1164="","",IF('FUENTE NO BORRAR'!$A1164&lt;&gt;"Resultado total",('FUENTE NO BORRAR'!I1164),""))</f>
        <v>0</v>
      </c>
    </row>
    <row r="1147" spans="1:9" x14ac:dyDescent="0.2">
      <c r="A1147" s="5" t="str">
        <f>IF('FUENTE NO BORRAR'!A1165="","",(IF('FUENTE NO BORRAR'!A1165&lt;&gt;"Resultado total",'FUENTE NO BORRAR'!A1165,"")))</f>
        <v/>
      </c>
      <c r="B1147" s="5" t="str">
        <f>IF('FUENTE NO BORRAR'!B1165="","",'FUENTE NO BORRAR'!B1165)</f>
        <v/>
      </c>
      <c r="C1147" s="5" t="str">
        <f>IF('FUENTE NO BORRAR'!C1165="","",'FUENTE NO BORRAR'!C1165)</f>
        <v/>
      </c>
      <c r="D1147" s="5" t="str">
        <f>IF('FUENTE NO BORRAR'!D1165="","",'FUENTE NO BORRAR'!D1165)</f>
        <v/>
      </c>
      <c r="E1147" s="5" t="str">
        <f>IF('FUENTE NO BORRAR'!E1165="","",'FUENTE NO BORRAR'!E1165)</f>
        <v/>
      </c>
      <c r="F1147" s="6">
        <f>IF('FUENTE NO BORRAR'!F1165="","",IF('FUENTE NO BORRAR'!$A1165&lt;&gt;"Resultado total",('FUENTE NO BORRAR'!F1165),""))</f>
        <v>0</v>
      </c>
      <c r="G1147" s="6">
        <f>IF('FUENTE NO BORRAR'!G1165="","",IF('FUENTE NO BORRAR'!$A1165&lt;&gt;"Resultado total",('FUENTE NO BORRAR'!G1165),""))</f>
        <v>0</v>
      </c>
      <c r="H1147" s="6">
        <f>IF('FUENTE NO BORRAR'!H1165="","",IF('FUENTE NO BORRAR'!$A1165&lt;&gt;"Resultado total",('FUENTE NO BORRAR'!H1165),""))</f>
        <v>0</v>
      </c>
      <c r="I1147" s="6">
        <f>IF('FUENTE NO BORRAR'!I1165="","",IF('FUENTE NO BORRAR'!$A1165&lt;&gt;"Resultado total",('FUENTE NO BORRAR'!I1165),""))</f>
        <v>0</v>
      </c>
    </row>
    <row r="1148" spans="1:9" x14ac:dyDescent="0.2">
      <c r="A1148" s="5" t="str">
        <f>IF('FUENTE NO BORRAR'!A1166="","",(IF('FUENTE NO BORRAR'!A1166&lt;&gt;"Resultado total",'FUENTE NO BORRAR'!A1166,"")))</f>
        <v/>
      </c>
      <c r="B1148" s="5" t="str">
        <f>IF('FUENTE NO BORRAR'!B1166="","",'FUENTE NO BORRAR'!B1166)</f>
        <v/>
      </c>
      <c r="C1148" s="5" t="str">
        <f>IF('FUENTE NO BORRAR'!C1166="","",'FUENTE NO BORRAR'!C1166)</f>
        <v/>
      </c>
      <c r="D1148" s="5" t="str">
        <f>IF('FUENTE NO BORRAR'!D1166="","",'FUENTE NO BORRAR'!D1166)</f>
        <v/>
      </c>
      <c r="E1148" s="5" t="str">
        <f>IF('FUENTE NO BORRAR'!E1166="","",'FUENTE NO BORRAR'!E1166)</f>
        <v/>
      </c>
      <c r="F1148" s="6">
        <f>IF('FUENTE NO BORRAR'!F1166="","",IF('FUENTE NO BORRAR'!$A1166&lt;&gt;"Resultado total",('FUENTE NO BORRAR'!F1166),""))</f>
        <v>6112</v>
      </c>
      <c r="G1148" s="6">
        <f>IF('FUENTE NO BORRAR'!G1166="","",IF('FUENTE NO BORRAR'!$A1166&lt;&gt;"Resultado total",('FUENTE NO BORRAR'!G1166),""))</f>
        <v>6112</v>
      </c>
      <c r="H1148" s="6">
        <f>IF('FUENTE NO BORRAR'!H1166="","",IF('FUENTE NO BORRAR'!$A1166&lt;&gt;"Resultado total",('FUENTE NO BORRAR'!H1166),""))</f>
        <v>6112</v>
      </c>
      <c r="I1148" s="6">
        <f>IF('FUENTE NO BORRAR'!I1166="","",IF('FUENTE NO BORRAR'!$A1166&lt;&gt;"Resultado total",('FUENTE NO BORRAR'!I1166),""))</f>
        <v>0</v>
      </c>
    </row>
    <row r="1149" spans="1:9" x14ac:dyDescent="0.2">
      <c r="A1149" s="5" t="str">
        <f>IF('FUENTE NO BORRAR'!A1167="","",(IF('FUENTE NO BORRAR'!A1167&lt;&gt;"Resultado total",'FUENTE NO BORRAR'!A1167,"")))</f>
        <v/>
      </c>
      <c r="B1149" s="5" t="str">
        <f>IF('FUENTE NO BORRAR'!B1167="","",'FUENTE NO BORRAR'!B1167)</f>
        <v/>
      </c>
      <c r="C1149" s="5" t="str">
        <f>IF('FUENTE NO BORRAR'!C1167="","",'FUENTE NO BORRAR'!C1167)</f>
        <v/>
      </c>
      <c r="D1149" s="5" t="str">
        <f>IF('FUENTE NO BORRAR'!D1167="","",'FUENTE NO BORRAR'!D1167)</f>
        <v/>
      </c>
      <c r="E1149" s="5" t="str">
        <f>IF('FUENTE NO BORRAR'!E1167="","",'FUENTE NO BORRAR'!E1167)</f>
        <v/>
      </c>
      <c r="F1149" s="6">
        <f>IF('FUENTE NO BORRAR'!F1167="","",IF('FUENTE NO BORRAR'!$A1167&lt;&gt;"Resultado total",('FUENTE NO BORRAR'!F1167),""))</f>
        <v>1000</v>
      </c>
      <c r="G1149" s="6">
        <f>IF('FUENTE NO BORRAR'!G1167="","",IF('FUENTE NO BORRAR'!$A1167&lt;&gt;"Resultado total",('FUENTE NO BORRAR'!G1167),""))</f>
        <v>1000</v>
      </c>
      <c r="H1149" s="6">
        <f>IF('FUENTE NO BORRAR'!H1167="","",IF('FUENTE NO BORRAR'!$A1167&lt;&gt;"Resultado total",('FUENTE NO BORRAR'!H1167),""))</f>
        <v>1000</v>
      </c>
      <c r="I1149" s="6">
        <f>IF('FUENTE NO BORRAR'!I1167="","",IF('FUENTE NO BORRAR'!$A1167&lt;&gt;"Resultado total",('FUENTE NO BORRAR'!I1167),""))</f>
        <v>0</v>
      </c>
    </row>
    <row r="1150" spans="1:9" x14ac:dyDescent="0.2">
      <c r="A1150" s="5" t="str">
        <f>IF('FUENTE NO BORRAR'!A1168="","",(IF('FUENTE NO BORRAR'!A1168&lt;&gt;"Resultado total",'FUENTE NO BORRAR'!A1168,"")))</f>
        <v/>
      </c>
      <c r="B1150" s="5" t="str">
        <f>IF('FUENTE NO BORRAR'!B1168="","",'FUENTE NO BORRAR'!B1168)</f>
        <v/>
      </c>
      <c r="C1150" s="5" t="str">
        <f>IF('FUENTE NO BORRAR'!C1168="","",'FUENTE NO BORRAR'!C1168)</f>
        <v/>
      </c>
      <c r="D1150" s="5" t="str">
        <f>IF('FUENTE NO BORRAR'!D1168="","",'FUENTE NO BORRAR'!D1168)</f>
        <v/>
      </c>
      <c r="E1150" s="5" t="str">
        <f>IF('FUENTE NO BORRAR'!E1168="","",'FUENTE NO BORRAR'!E1168)</f>
        <v/>
      </c>
      <c r="F1150" s="6">
        <f>IF('FUENTE NO BORRAR'!F1168="","",IF('FUENTE NO BORRAR'!$A1168&lt;&gt;"Resultado total",('FUENTE NO BORRAR'!F1168),""))</f>
        <v>417.6</v>
      </c>
      <c r="G1150" s="6">
        <f>IF('FUENTE NO BORRAR'!G1168="","",IF('FUENTE NO BORRAR'!$A1168&lt;&gt;"Resultado total",('FUENTE NO BORRAR'!G1168),""))</f>
        <v>417.6</v>
      </c>
      <c r="H1150" s="6">
        <f>IF('FUENTE NO BORRAR'!H1168="","",IF('FUENTE NO BORRAR'!$A1168&lt;&gt;"Resultado total",('FUENTE NO BORRAR'!H1168),""))</f>
        <v>417.6</v>
      </c>
      <c r="I1150" s="6">
        <f>IF('FUENTE NO BORRAR'!I1168="","",IF('FUENTE NO BORRAR'!$A1168&lt;&gt;"Resultado total",('FUENTE NO BORRAR'!I1168),""))</f>
        <v>0</v>
      </c>
    </row>
    <row r="1151" spans="1:9" x14ac:dyDescent="0.2">
      <c r="A1151" s="5" t="str">
        <f>IF('FUENTE NO BORRAR'!A1169="","",(IF('FUENTE NO BORRAR'!A1169&lt;&gt;"Resultado total",'FUENTE NO BORRAR'!A1169,"")))</f>
        <v/>
      </c>
      <c r="B1151" s="5" t="str">
        <f>IF('FUENTE NO BORRAR'!B1169="","",'FUENTE NO BORRAR'!B1169)</f>
        <v/>
      </c>
      <c r="C1151" s="5" t="str">
        <f>IF('FUENTE NO BORRAR'!C1169="","",'FUENTE NO BORRAR'!C1169)</f>
        <v>22012121E208</v>
      </c>
      <c r="D1151" s="5" t="str">
        <f>IF('FUENTE NO BORRAR'!D1169="","",'FUENTE NO BORRAR'!D1169)</f>
        <v>SRÍA DES URB OBRA PÚBLICA</v>
      </c>
      <c r="E1151" s="5" t="str">
        <f>IF('FUENTE NO BORRAR'!E1169="","",'FUENTE NO BORRAR'!E1169)</f>
        <v/>
      </c>
      <c r="F1151" s="6">
        <f>IF('FUENTE NO BORRAR'!F1169="","",IF('FUENTE NO BORRAR'!$A1169&lt;&gt;"Resultado total",('FUENTE NO BORRAR'!F1169),""))</f>
        <v>0</v>
      </c>
      <c r="G1151" s="6">
        <f>IF('FUENTE NO BORRAR'!G1169="","",IF('FUENTE NO BORRAR'!$A1169&lt;&gt;"Resultado total",('FUENTE NO BORRAR'!G1169),""))</f>
        <v>0</v>
      </c>
      <c r="H1151" s="6">
        <f>IF('FUENTE NO BORRAR'!H1169="","",IF('FUENTE NO BORRAR'!$A1169&lt;&gt;"Resultado total",('FUENTE NO BORRAR'!H1169),""))</f>
        <v>0</v>
      </c>
      <c r="I1151" s="6">
        <f>IF('FUENTE NO BORRAR'!I1169="","",IF('FUENTE NO BORRAR'!$A1169&lt;&gt;"Resultado total",('FUENTE NO BORRAR'!I1169),""))</f>
        <v>0</v>
      </c>
    </row>
    <row r="1152" spans="1:9" x14ac:dyDescent="0.2">
      <c r="A1152" s="5" t="str">
        <f>IF('FUENTE NO BORRAR'!A1170="","",(IF('FUENTE NO BORRAR'!A1170&lt;&gt;"Resultado total",'FUENTE NO BORRAR'!A1170,"")))</f>
        <v/>
      </c>
      <c r="B1152" s="5" t="str">
        <f>IF('FUENTE NO BORRAR'!B1170="","",'FUENTE NO BORRAR'!B1170)</f>
        <v/>
      </c>
      <c r="C1152" s="5" t="str">
        <f>IF('FUENTE NO BORRAR'!C1170="","",'FUENTE NO BORRAR'!C1170)</f>
        <v>22012121E209</v>
      </c>
      <c r="D1152" s="5" t="str">
        <f>IF('FUENTE NO BORRAR'!D1170="","",'FUENTE NO BORRAR'!D1170)</f>
        <v>SRIA. DES. URB. URB Y E.</v>
      </c>
      <c r="E1152" s="5" t="str">
        <f>IF('FUENTE NO BORRAR'!E1170="","",'FUENTE NO BORRAR'!E1170)</f>
        <v/>
      </c>
      <c r="F1152" s="6" t="str">
        <f>IF('FUENTE NO BORRAR'!F1170="","",IF('FUENTE NO BORRAR'!$A1170&lt;&gt;"Resultado total",('FUENTE NO BORRAR'!F1170),""))</f>
        <v/>
      </c>
      <c r="G1152" s="6">
        <f>IF('FUENTE NO BORRAR'!G1170="","",IF('FUENTE NO BORRAR'!$A1170&lt;&gt;"Resultado total",('FUENTE NO BORRAR'!G1170),""))</f>
        <v>0</v>
      </c>
      <c r="H1152" s="6">
        <f>IF('FUENTE NO BORRAR'!H1170="","",IF('FUENTE NO BORRAR'!$A1170&lt;&gt;"Resultado total",('FUENTE NO BORRAR'!H1170),""))</f>
        <v>0</v>
      </c>
      <c r="I1152" s="6">
        <f>IF('FUENTE NO BORRAR'!I1170="","",IF('FUENTE NO BORRAR'!$A1170&lt;&gt;"Resultado total",('FUENTE NO BORRAR'!I1170),""))</f>
        <v>0</v>
      </c>
    </row>
    <row r="1153" spans="1:9" x14ac:dyDescent="0.2">
      <c r="A1153" s="5" t="str">
        <f>IF('FUENTE NO BORRAR'!A1171="","",(IF('FUENTE NO BORRAR'!A1171&lt;&gt;"Resultado total",'FUENTE NO BORRAR'!A1171,"")))</f>
        <v/>
      </c>
      <c r="B1153" s="5" t="str">
        <f>IF('FUENTE NO BORRAR'!B1171="","",'FUENTE NO BORRAR'!B1171)</f>
        <v/>
      </c>
      <c r="C1153" s="5" t="str">
        <f>IF('FUENTE NO BORRAR'!C1171="","",'FUENTE NO BORRAR'!C1171)</f>
        <v>22013071E207</v>
      </c>
      <c r="D1153" s="5" t="str">
        <f>IF('FUENTE NO BORRAR'!D1171="","",'FUENTE NO BORRAR'!D1171)</f>
        <v>22013071E207</v>
      </c>
      <c r="E1153" s="5" t="str">
        <f>IF('FUENTE NO BORRAR'!E1171="","",'FUENTE NO BORRAR'!E1171)</f>
        <v/>
      </c>
      <c r="F1153" s="6">
        <f>IF('FUENTE NO BORRAR'!F1171="","",IF('FUENTE NO BORRAR'!$A1171&lt;&gt;"Resultado total",('FUENTE NO BORRAR'!F1171),""))</f>
        <v>1964171.18</v>
      </c>
      <c r="G1153" s="6">
        <f>IF('FUENTE NO BORRAR'!G1171="","",IF('FUENTE NO BORRAR'!$A1171&lt;&gt;"Resultado total",('FUENTE NO BORRAR'!G1171),""))</f>
        <v>1964171.18</v>
      </c>
      <c r="H1153" s="6">
        <f>IF('FUENTE NO BORRAR'!H1171="","",IF('FUENTE NO BORRAR'!$A1171&lt;&gt;"Resultado total",('FUENTE NO BORRAR'!H1171),""))</f>
        <v>1964171.18</v>
      </c>
      <c r="I1153" s="6">
        <f>IF('FUENTE NO BORRAR'!I1171="","",IF('FUENTE NO BORRAR'!$A1171&lt;&gt;"Resultado total",('FUENTE NO BORRAR'!I1171),""))</f>
        <v>0</v>
      </c>
    </row>
    <row r="1154" spans="1:9" x14ac:dyDescent="0.2">
      <c r="A1154" s="5" t="str">
        <f>IF('FUENTE NO BORRAR'!A1172="","",(IF('FUENTE NO BORRAR'!A1172&lt;&gt;"Resultado total",'FUENTE NO BORRAR'!A1172,"")))</f>
        <v/>
      </c>
      <c r="B1154" s="5" t="str">
        <f>IF('FUENTE NO BORRAR'!B1172="","",'FUENTE NO BORRAR'!B1172)</f>
        <v/>
      </c>
      <c r="C1154" s="5" t="str">
        <f>IF('FUENTE NO BORRAR'!C1172="","",'FUENTE NO BORRAR'!C1172)</f>
        <v/>
      </c>
      <c r="D1154" s="5" t="str">
        <f>IF('FUENTE NO BORRAR'!D1172="","",'FUENTE NO BORRAR'!D1172)</f>
        <v/>
      </c>
      <c r="E1154" s="5" t="str">
        <f>IF('FUENTE NO BORRAR'!E1172="","",'FUENTE NO BORRAR'!E1172)</f>
        <v/>
      </c>
      <c r="F1154" s="6">
        <f>IF('FUENTE NO BORRAR'!F1172="","",IF('FUENTE NO BORRAR'!$A1172&lt;&gt;"Resultado total",('FUENTE NO BORRAR'!F1172),""))</f>
        <v>699237.89</v>
      </c>
      <c r="G1154" s="6">
        <f>IF('FUENTE NO BORRAR'!G1172="","",IF('FUENTE NO BORRAR'!$A1172&lt;&gt;"Resultado total",('FUENTE NO BORRAR'!G1172),""))</f>
        <v>699237.89</v>
      </c>
      <c r="H1154" s="6">
        <f>IF('FUENTE NO BORRAR'!H1172="","",IF('FUENTE NO BORRAR'!$A1172&lt;&gt;"Resultado total",('FUENTE NO BORRAR'!H1172),""))</f>
        <v>699237.89</v>
      </c>
      <c r="I1154" s="6">
        <f>IF('FUENTE NO BORRAR'!I1172="","",IF('FUENTE NO BORRAR'!$A1172&lt;&gt;"Resultado total",('FUENTE NO BORRAR'!I1172),""))</f>
        <v>0</v>
      </c>
    </row>
    <row r="1155" spans="1:9" x14ac:dyDescent="0.2">
      <c r="A1155" s="5" t="str">
        <f>IF('FUENTE NO BORRAR'!A1173="","",(IF('FUENTE NO BORRAR'!A1173&lt;&gt;"Resultado total",'FUENTE NO BORRAR'!A1173,"")))</f>
        <v/>
      </c>
      <c r="B1155" s="5" t="str">
        <f>IF('FUENTE NO BORRAR'!B1173="","",'FUENTE NO BORRAR'!B1173)</f>
        <v/>
      </c>
      <c r="C1155" s="5" t="str">
        <f>IF('FUENTE NO BORRAR'!C1173="","",'FUENTE NO BORRAR'!C1173)</f>
        <v/>
      </c>
      <c r="D1155" s="5" t="str">
        <f>IF('FUENTE NO BORRAR'!D1173="","",'FUENTE NO BORRAR'!D1173)</f>
        <v/>
      </c>
      <c r="E1155" s="5" t="str">
        <f>IF('FUENTE NO BORRAR'!E1173="","",'FUENTE NO BORRAR'!E1173)</f>
        <v/>
      </c>
      <c r="F1155" s="6">
        <f>IF('FUENTE NO BORRAR'!F1173="","",IF('FUENTE NO BORRAR'!$A1173&lt;&gt;"Resultado total",('FUENTE NO BORRAR'!F1173),""))</f>
        <v>0</v>
      </c>
      <c r="G1155" s="6">
        <f>IF('FUENTE NO BORRAR'!G1173="","",IF('FUENTE NO BORRAR'!$A1173&lt;&gt;"Resultado total",('FUENTE NO BORRAR'!G1173),""))</f>
        <v>0</v>
      </c>
      <c r="H1155" s="6">
        <f>IF('FUENTE NO BORRAR'!H1173="","",IF('FUENTE NO BORRAR'!$A1173&lt;&gt;"Resultado total",('FUENTE NO BORRAR'!H1173),""))</f>
        <v>0</v>
      </c>
      <c r="I1155" s="6">
        <f>IF('FUENTE NO BORRAR'!I1173="","",IF('FUENTE NO BORRAR'!$A1173&lt;&gt;"Resultado total",('FUENTE NO BORRAR'!I1173),""))</f>
        <v>0</v>
      </c>
    </row>
    <row r="1156" spans="1:9" x14ac:dyDescent="0.2">
      <c r="A1156" s="5" t="str">
        <f>IF('FUENTE NO BORRAR'!A1174="","",(IF('FUENTE NO BORRAR'!A1174&lt;&gt;"Resultado total",'FUENTE NO BORRAR'!A1174,"")))</f>
        <v/>
      </c>
      <c r="B1156" s="5" t="str">
        <f>IF('FUENTE NO BORRAR'!B1174="","",'FUENTE NO BORRAR'!B1174)</f>
        <v/>
      </c>
      <c r="C1156" s="5" t="str">
        <f>IF('FUENTE NO BORRAR'!C1174="","",'FUENTE NO BORRAR'!C1174)</f>
        <v/>
      </c>
      <c r="D1156" s="5" t="str">
        <f>IF('FUENTE NO BORRAR'!D1174="","",'FUENTE NO BORRAR'!D1174)</f>
        <v/>
      </c>
      <c r="E1156" s="5" t="str">
        <f>IF('FUENTE NO BORRAR'!E1174="","",'FUENTE NO BORRAR'!E1174)</f>
        <v/>
      </c>
      <c r="F1156" s="6">
        <f>IF('FUENTE NO BORRAR'!F1174="","",IF('FUENTE NO BORRAR'!$A1174&lt;&gt;"Resultado total",('FUENTE NO BORRAR'!F1174),""))</f>
        <v>474646.09</v>
      </c>
      <c r="G1156" s="6">
        <f>IF('FUENTE NO BORRAR'!G1174="","",IF('FUENTE NO BORRAR'!$A1174&lt;&gt;"Resultado total",('FUENTE NO BORRAR'!G1174),""))</f>
        <v>474646.09</v>
      </c>
      <c r="H1156" s="6">
        <f>IF('FUENTE NO BORRAR'!H1174="","",IF('FUENTE NO BORRAR'!$A1174&lt;&gt;"Resultado total",('FUENTE NO BORRAR'!H1174),""))</f>
        <v>474646.09</v>
      </c>
      <c r="I1156" s="6">
        <f>IF('FUENTE NO BORRAR'!I1174="","",IF('FUENTE NO BORRAR'!$A1174&lt;&gt;"Resultado total",('FUENTE NO BORRAR'!I1174),""))</f>
        <v>0</v>
      </c>
    </row>
    <row r="1157" spans="1:9" x14ac:dyDescent="0.2">
      <c r="A1157" s="5" t="str">
        <f>IF('FUENTE NO BORRAR'!A1175="","",(IF('FUENTE NO BORRAR'!A1175&lt;&gt;"Resultado total",'FUENTE NO BORRAR'!A1175,"")))</f>
        <v/>
      </c>
      <c r="B1157" s="5" t="str">
        <f>IF('FUENTE NO BORRAR'!B1175="","",'FUENTE NO BORRAR'!B1175)</f>
        <v/>
      </c>
      <c r="C1157" s="5" t="str">
        <f>IF('FUENTE NO BORRAR'!C1175="","",'FUENTE NO BORRAR'!C1175)</f>
        <v/>
      </c>
      <c r="D1157" s="5" t="str">
        <f>IF('FUENTE NO BORRAR'!D1175="","",'FUENTE NO BORRAR'!D1175)</f>
        <v/>
      </c>
      <c r="E1157" s="5" t="str">
        <f>IF('FUENTE NO BORRAR'!E1175="","",'FUENTE NO BORRAR'!E1175)</f>
        <v/>
      </c>
      <c r="F1157" s="6">
        <f>IF('FUENTE NO BORRAR'!F1175="","",IF('FUENTE NO BORRAR'!$A1175&lt;&gt;"Resultado total",('FUENTE NO BORRAR'!F1175),""))</f>
        <v>38920.99</v>
      </c>
      <c r="G1157" s="6">
        <f>IF('FUENTE NO BORRAR'!G1175="","",IF('FUENTE NO BORRAR'!$A1175&lt;&gt;"Resultado total",('FUENTE NO BORRAR'!G1175),""))</f>
        <v>38920.99</v>
      </c>
      <c r="H1157" s="6">
        <f>IF('FUENTE NO BORRAR'!H1175="","",IF('FUENTE NO BORRAR'!$A1175&lt;&gt;"Resultado total",('FUENTE NO BORRAR'!H1175),""))</f>
        <v>38920.99</v>
      </c>
      <c r="I1157" s="6">
        <f>IF('FUENTE NO BORRAR'!I1175="","",IF('FUENTE NO BORRAR'!$A1175&lt;&gt;"Resultado total",('FUENTE NO BORRAR'!I1175),""))</f>
        <v>0</v>
      </c>
    </row>
    <row r="1158" spans="1:9" x14ac:dyDescent="0.2">
      <c r="A1158" s="5" t="str">
        <f>IF('FUENTE NO BORRAR'!A1176="","",(IF('FUENTE NO BORRAR'!A1176&lt;&gt;"Resultado total",'FUENTE NO BORRAR'!A1176,"")))</f>
        <v/>
      </c>
      <c r="B1158" s="5" t="str">
        <f>IF('FUENTE NO BORRAR'!B1176="","",'FUENTE NO BORRAR'!B1176)</f>
        <v/>
      </c>
      <c r="C1158" s="5" t="str">
        <f>IF('FUENTE NO BORRAR'!C1176="","",'FUENTE NO BORRAR'!C1176)</f>
        <v/>
      </c>
      <c r="D1158" s="5" t="str">
        <f>IF('FUENTE NO BORRAR'!D1176="","",'FUENTE NO BORRAR'!D1176)</f>
        <v/>
      </c>
      <c r="E1158" s="5" t="str">
        <f>IF('FUENTE NO BORRAR'!E1176="","",'FUENTE NO BORRAR'!E1176)</f>
        <v/>
      </c>
      <c r="F1158" s="6">
        <f>IF('FUENTE NO BORRAR'!F1176="","",IF('FUENTE NO BORRAR'!$A1176&lt;&gt;"Resultado total",('FUENTE NO BORRAR'!F1176),""))</f>
        <v>156850.07</v>
      </c>
      <c r="G1158" s="6">
        <f>IF('FUENTE NO BORRAR'!G1176="","",IF('FUENTE NO BORRAR'!$A1176&lt;&gt;"Resultado total",('FUENTE NO BORRAR'!G1176),""))</f>
        <v>156850.07</v>
      </c>
      <c r="H1158" s="6">
        <f>IF('FUENTE NO BORRAR'!H1176="","",IF('FUENTE NO BORRAR'!$A1176&lt;&gt;"Resultado total",('FUENTE NO BORRAR'!H1176),""))</f>
        <v>156850.07</v>
      </c>
      <c r="I1158" s="6">
        <f>IF('FUENTE NO BORRAR'!I1176="","",IF('FUENTE NO BORRAR'!$A1176&lt;&gt;"Resultado total",('FUENTE NO BORRAR'!I1176),""))</f>
        <v>0</v>
      </c>
    </row>
    <row r="1159" spans="1:9" x14ac:dyDescent="0.2">
      <c r="A1159" s="5" t="str">
        <f>IF('FUENTE NO BORRAR'!A1177="","",(IF('FUENTE NO BORRAR'!A1177&lt;&gt;"Resultado total",'FUENTE NO BORRAR'!A1177,"")))</f>
        <v/>
      </c>
      <c r="B1159" s="5" t="str">
        <f>IF('FUENTE NO BORRAR'!B1177="","",'FUENTE NO BORRAR'!B1177)</f>
        <v/>
      </c>
      <c r="C1159" s="5" t="str">
        <f>IF('FUENTE NO BORRAR'!C1177="","",'FUENTE NO BORRAR'!C1177)</f>
        <v/>
      </c>
      <c r="D1159" s="5" t="str">
        <f>IF('FUENTE NO BORRAR'!D1177="","",'FUENTE NO BORRAR'!D1177)</f>
        <v/>
      </c>
      <c r="E1159" s="5" t="str">
        <f>IF('FUENTE NO BORRAR'!E1177="","",'FUENTE NO BORRAR'!E1177)</f>
        <v/>
      </c>
      <c r="F1159" s="6">
        <f>IF('FUENTE NO BORRAR'!F1177="","",IF('FUENTE NO BORRAR'!$A1177&lt;&gt;"Resultado total",('FUENTE NO BORRAR'!F1177),""))</f>
        <v>575175.74</v>
      </c>
      <c r="G1159" s="6">
        <f>IF('FUENTE NO BORRAR'!G1177="","",IF('FUENTE NO BORRAR'!$A1177&lt;&gt;"Resultado total",('FUENTE NO BORRAR'!G1177),""))</f>
        <v>575175.74</v>
      </c>
      <c r="H1159" s="6">
        <f>IF('FUENTE NO BORRAR'!H1177="","",IF('FUENTE NO BORRAR'!$A1177&lt;&gt;"Resultado total",('FUENTE NO BORRAR'!H1177),""))</f>
        <v>575175.74</v>
      </c>
      <c r="I1159" s="6">
        <f>IF('FUENTE NO BORRAR'!I1177="","",IF('FUENTE NO BORRAR'!$A1177&lt;&gt;"Resultado total",('FUENTE NO BORRAR'!I1177),""))</f>
        <v>0</v>
      </c>
    </row>
    <row r="1160" spans="1:9" x14ac:dyDescent="0.2">
      <c r="A1160" s="5" t="str">
        <f>IF('FUENTE NO BORRAR'!A1178="","",(IF('FUENTE NO BORRAR'!A1178&lt;&gt;"Resultado total",'FUENTE NO BORRAR'!A1178,"")))</f>
        <v/>
      </c>
      <c r="B1160" s="5" t="str">
        <f>IF('FUENTE NO BORRAR'!B1178="","",'FUENTE NO BORRAR'!B1178)</f>
        <v/>
      </c>
      <c r="C1160" s="5" t="str">
        <f>IF('FUENTE NO BORRAR'!C1178="","",'FUENTE NO BORRAR'!C1178)</f>
        <v/>
      </c>
      <c r="D1160" s="5" t="str">
        <f>IF('FUENTE NO BORRAR'!D1178="","",'FUENTE NO BORRAR'!D1178)</f>
        <v/>
      </c>
      <c r="E1160" s="5" t="str">
        <f>IF('FUENTE NO BORRAR'!E1178="","",'FUENTE NO BORRAR'!E1178)</f>
        <v/>
      </c>
      <c r="F1160" s="6">
        <f>IF('FUENTE NO BORRAR'!F1178="","",IF('FUENTE NO BORRAR'!$A1178&lt;&gt;"Resultado total",('FUENTE NO BORRAR'!F1178),""))</f>
        <v>1085.5999999999999</v>
      </c>
      <c r="G1160" s="6">
        <f>IF('FUENTE NO BORRAR'!G1178="","",IF('FUENTE NO BORRAR'!$A1178&lt;&gt;"Resultado total",('FUENTE NO BORRAR'!G1178),""))</f>
        <v>1085.5999999999999</v>
      </c>
      <c r="H1160" s="6">
        <f>IF('FUENTE NO BORRAR'!H1178="","",IF('FUENTE NO BORRAR'!$A1178&lt;&gt;"Resultado total",('FUENTE NO BORRAR'!H1178),""))</f>
        <v>1085.5999999999999</v>
      </c>
      <c r="I1160" s="6">
        <f>IF('FUENTE NO BORRAR'!I1178="","",IF('FUENTE NO BORRAR'!$A1178&lt;&gt;"Resultado total",('FUENTE NO BORRAR'!I1178),""))</f>
        <v>0</v>
      </c>
    </row>
    <row r="1161" spans="1:9" x14ac:dyDescent="0.2">
      <c r="A1161" s="5" t="str">
        <f>IF('FUENTE NO BORRAR'!A1179="","",(IF('FUENTE NO BORRAR'!A1179&lt;&gt;"Resultado total",'FUENTE NO BORRAR'!A1179,"")))</f>
        <v/>
      </c>
      <c r="B1161" s="5" t="str">
        <f>IF('FUENTE NO BORRAR'!B1179="","",'FUENTE NO BORRAR'!B1179)</f>
        <v/>
      </c>
      <c r="C1161" s="5" t="str">
        <f>IF('FUENTE NO BORRAR'!C1179="","",'FUENTE NO BORRAR'!C1179)</f>
        <v/>
      </c>
      <c r="D1161" s="5" t="str">
        <f>IF('FUENTE NO BORRAR'!D1179="","",'FUENTE NO BORRAR'!D1179)</f>
        <v/>
      </c>
      <c r="E1161" s="5" t="str">
        <f>IF('FUENTE NO BORRAR'!E1179="","",'FUENTE NO BORRAR'!E1179)</f>
        <v/>
      </c>
      <c r="F1161" s="6">
        <f>IF('FUENTE NO BORRAR'!F1179="","",IF('FUENTE NO BORRAR'!$A1179&lt;&gt;"Resultado total",('FUENTE NO BORRAR'!F1179),""))</f>
        <v>229403.36</v>
      </c>
      <c r="G1161" s="6">
        <f>IF('FUENTE NO BORRAR'!G1179="","",IF('FUENTE NO BORRAR'!$A1179&lt;&gt;"Resultado total",('FUENTE NO BORRAR'!G1179),""))</f>
        <v>229403.36</v>
      </c>
      <c r="H1161" s="6">
        <f>IF('FUENTE NO BORRAR'!H1179="","",IF('FUENTE NO BORRAR'!$A1179&lt;&gt;"Resultado total",('FUENTE NO BORRAR'!H1179),""))</f>
        <v>232537.51</v>
      </c>
      <c r="I1161" s="6">
        <f>IF('FUENTE NO BORRAR'!I1179="","",IF('FUENTE NO BORRAR'!$A1179&lt;&gt;"Resultado total",('FUENTE NO BORRAR'!I1179),""))</f>
        <v>0</v>
      </c>
    </row>
    <row r="1162" spans="1:9" x14ac:dyDescent="0.2">
      <c r="A1162" s="5" t="str">
        <f>IF('FUENTE NO BORRAR'!A1180="","",(IF('FUENTE NO BORRAR'!A1180&lt;&gt;"Resultado total",'FUENTE NO BORRAR'!A1180,"")))</f>
        <v/>
      </c>
      <c r="B1162" s="5" t="str">
        <f>IF('FUENTE NO BORRAR'!B1180="","",'FUENTE NO BORRAR'!B1180)</f>
        <v/>
      </c>
      <c r="C1162" s="5" t="str">
        <f>IF('FUENTE NO BORRAR'!C1180="","",'FUENTE NO BORRAR'!C1180)</f>
        <v/>
      </c>
      <c r="D1162" s="5" t="str">
        <f>IF('FUENTE NO BORRAR'!D1180="","",'FUENTE NO BORRAR'!D1180)</f>
        <v/>
      </c>
      <c r="E1162" s="5" t="str">
        <f>IF('FUENTE NO BORRAR'!E1180="","",'FUENTE NO BORRAR'!E1180)</f>
        <v/>
      </c>
      <c r="F1162" s="6">
        <f>IF('FUENTE NO BORRAR'!F1180="","",IF('FUENTE NO BORRAR'!$A1180&lt;&gt;"Resultado total",('FUENTE NO BORRAR'!F1180),""))</f>
        <v>808167.78</v>
      </c>
      <c r="G1162" s="6">
        <f>IF('FUENTE NO BORRAR'!G1180="","",IF('FUENTE NO BORRAR'!$A1180&lt;&gt;"Resultado total",('FUENTE NO BORRAR'!G1180),""))</f>
        <v>808167.78</v>
      </c>
      <c r="H1162" s="6">
        <f>IF('FUENTE NO BORRAR'!H1180="","",IF('FUENTE NO BORRAR'!$A1180&lt;&gt;"Resultado total",('FUENTE NO BORRAR'!H1180),""))</f>
        <v>808167.78</v>
      </c>
      <c r="I1162" s="6">
        <f>IF('FUENTE NO BORRAR'!I1180="","",IF('FUENTE NO BORRAR'!$A1180&lt;&gt;"Resultado total",('FUENTE NO BORRAR'!I1180),""))</f>
        <v>0</v>
      </c>
    </row>
    <row r="1163" spans="1:9" x14ac:dyDescent="0.2">
      <c r="A1163" s="5" t="str">
        <f>IF('FUENTE NO BORRAR'!A1181="","",(IF('FUENTE NO BORRAR'!A1181&lt;&gt;"Resultado total",'FUENTE NO BORRAR'!A1181,"")))</f>
        <v/>
      </c>
      <c r="B1163" s="5" t="str">
        <f>IF('FUENTE NO BORRAR'!B1181="","",'FUENTE NO BORRAR'!B1181)</f>
        <v/>
      </c>
      <c r="C1163" s="5" t="str">
        <f>IF('FUENTE NO BORRAR'!C1181="","",'FUENTE NO BORRAR'!C1181)</f>
        <v/>
      </c>
      <c r="D1163" s="5" t="str">
        <f>IF('FUENTE NO BORRAR'!D1181="","",'FUENTE NO BORRAR'!D1181)</f>
        <v/>
      </c>
      <c r="E1163" s="5" t="str">
        <f>IF('FUENTE NO BORRAR'!E1181="","",'FUENTE NO BORRAR'!E1181)</f>
        <v/>
      </c>
      <c r="F1163" s="6">
        <f>IF('FUENTE NO BORRAR'!F1181="","",IF('FUENTE NO BORRAR'!$A1181&lt;&gt;"Resultado total",('FUENTE NO BORRAR'!F1181),""))</f>
        <v>496262.68</v>
      </c>
      <c r="G1163" s="6">
        <f>IF('FUENTE NO BORRAR'!G1181="","",IF('FUENTE NO BORRAR'!$A1181&lt;&gt;"Resultado total",('FUENTE NO BORRAR'!G1181),""))</f>
        <v>496262.68</v>
      </c>
      <c r="H1163" s="6">
        <f>IF('FUENTE NO BORRAR'!H1181="","",IF('FUENTE NO BORRAR'!$A1181&lt;&gt;"Resultado total",('FUENTE NO BORRAR'!H1181),""))</f>
        <v>496262.68</v>
      </c>
      <c r="I1163" s="6">
        <f>IF('FUENTE NO BORRAR'!I1181="","",IF('FUENTE NO BORRAR'!$A1181&lt;&gt;"Resultado total",('FUENTE NO BORRAR'!I1181),""))</f>
        <v>0</v>
      </c>
    </row>
    <row r="1164" spans="1:9" x14ac:dyDescent="0.2">
      <c r="A1164" s="5" t="str">
        <f>IF('FUENTE NO BORRAR'!A1182="","",(IF('FUENTE NO BORRAR'!A1182&lt;&gt;"Resultado total",'FUENTE NO BORRAR'!A1182,"")))</f>
        <v/>
      </c>
      <c r="B1164" s="5" t="str">
        <f>IF('FUENTE NO BORRAR'!B1182="","",'FUENTE NO BORRAR'!B1182)</f>
        <v/>
      </c>
      <c r="C1164" s="5" t="str">
        <f>IF('FUENTE NO BORRAR'!C1182="","",'FUENTE NO BORRAR'!C1182)</f>
        <v/>
      </c>
      <c r="D1164" s="5" t="str">
        <f>IF('FUENTE NO BORRAR'!D1182="","",'FUENTE NO BORRAR'!D1182)</f>
        <v/>
      </c>
      <c r="E1164" s="5" t="str">
        <f>IF('FUENTE NO BORRAR'!E1182="","",'FUENTE NO BORRAR'!E1182)</f>
        <v/>
      </c>
      <c r="F1164" s="6">
        <f>IF('FUENTE NO BORRAR'!F1182="","",IF('FUENTE NO BORRAR'!$A1182&lt;&gt;"Resultado total",('FUENTE NO BORRAR'!F1182),""))</f>
        <v>161475.98000000001</v>
      </c>
      <c r="G1164" s="6">
        <f>IF('FUENTE NO BORRAR'!G1182="","",IF('FUENTE NO BORRAR'!$A1182&lt;&gt;"Resultado total",('FUENTE NO BORRAR'!G1182),""))</f>
        <v>161475.98000000001</v>
      </c>
      <c r="H1164" s="6">
        <f>IF('FUENTE NO BORRAR'!H1182="","",IF('FUENTE NO BORRAR'!$A1182&lt;&gt;"Resultado total",('FUENTE NO BORRAR'!H1182),""))</f>
        <v>161475.98000000001</v>
      </c>
      <c r="I1164" s="6">
        <f>IF('FUENTE NO BORRAR'!I1182="","",IF('FUENTE NO BORRAR'!$A1182&lt;&gt;"Resultado total",('FUENTE NO BORRAR'!I1182),""))</f>
        <v>0</v>
      </c>
    </row>
    <row r="1165" spans="1:9" x14ac:dyDescent="0.2">
      <c r="A1165" s="5" t="str">
        <f>IF('FUENTE NO BORRAR'!A1183="","",(IF('FUENTE NO BORRAR'!A1183&lt;&gt;"Resultado total",'FUENTE NO BORRAR'!A1183,"")))</f>
        <v/>
      </c>
      <c r="B1165" s="5" t="str">
        <f>IF('FUENTE NO BORRAR'!B1183="","",'FUENTE NO BORRAR'!B1183)</f>
        <v/>
      </c>
      <c r="C1165" s="5" t="str">
        <f>IF('FUENTE NO BORRAR'!C1183="","",'FUENTE NO BORRAR'!C1183)</f>
        <v/>
      </c>
      <c r="D1165" s="5" t="str">
        <f>IF('FUENTE NO BORRAR'!D1183="","",'FUENTE NO BORRAR'!D1183)</f>
        <v/>
      </c>
      <c r="E1165" s="5" t="str">
        <f>IF('FUENTE NO BORRAR'!E1183="","",'FUENTE NO BORRAR'!E1183)</f>
        <v/>
      </c>
      <c r="F1165" s="6">
        <f>IF('FUENTE NO BORRAR'!F1183="","",IF('FUENTE NO BORRAR'!$A1183&lt;&gt;"Resultado total",('FUENTE NO BORRAR'!F1183),""))</f>
        <v>76832.45</v>
      </c>
      <c r="G1165" s="6">
        <f>IF('FUENTE NO BORRAR'!G1183="","",IF('FUENTE NO BORRAR'!$A1183&lt;&gt;"Resultado total",('FUENTE NO BORRAR'!G1183),""))</f>
        <v>76832.45</v>
      </c>
      <c r="H1165" s="6">
        <f>IF('FUENTE NO BORRAR'!H1183="","",IF('FUENTE NO BORRAR'!$A1183&lt;&gt;"Resultado total",('FUENTE NO BORRAR'!H1183),""))</f>
        <v>76832.45</v>
      </c>
      <c r="I1165" s="6">
        <f>IF('FUENTE NO BORRAR'!I1183="","",IF('FUENTE NO BORRAR'!$A1183&lt;&gt;"Resultado total",('FUENTE NO BORRAR'!I1183),""))</f>
        <v>0</v>
      </c>
    </row>
    <row r="1166" spans="1:9" x14ac:dyDescent="0.2">
      <c r="A1166" s="5" t="str">
        <f>IF('FUENTE NO BORRAR'!A1184="","",(IF('FUENTE NO BORRAR'!A1184&lt;&gt;"Resultado total",'FUENTE NO BORRAR'!A1184,"")))</f>
        <v/>
      </c>
      <c r="B1166" s="5" t="str">
        <f>IF('FUENTE NO BORRAR'!B1184="","",'FUENTE NO BORRAR'!B1184)</f>
        <v/>
      </c>
      <c r="C1166" s="5" t="str">
        <f>IF('FUENTE NO BORRAR'!C1184="","",'FUENTE NO BORRAR'!C1184)</f>
        <v/>
      </c>
      <c r="D1166" s="5" t="str">
        <f>IF('FUENTE NO BORRAR'!D1184="","",'FUENTE NO BORRAR'!D1184)</f>
        <v/>
      </c>
      <c r="E1166" s="5" t="str">
        <f>IF('FUENTE NO BORRAR'!E1184="","",'FUENTE NO BORRAR'!E1184)</f>
        <v/>
      </c>
      <c r="F1166" s="6">
        <f>IF('FUENTE NO BORRAR'!F1184="","",IF('FUENTE NO BORRAR'!$A1184&lt;&gt;"Resultado total",('FUENTE NO BORRAR'!F1184),""))</f>
        <v>319740</v>
      </c>
      <c r="G1166" s="6">
        <f>IF('FUENTE NO BORRAR'!G1184="","",IF('FUENTE NO BORRAR'!$A1184&lt;&gt;"Resultado total",('FUENTE NO BORRAR'!G1184),""))</f>
        <v>319740</v>
      </c>
      <c r="H1166" s="6">
        <f>IF('FUENTE NO BORRAR'!H1184="","",IF('FUENTE NO BORRAR'!$A1184&lt;&gt;"Resultado total",('FUENTE NO BORRAR'!H1184),""))</f>
        <v>319740</v>
      </c>
      <c r="I1166" s="6">
        <f>IF('FUENTE NO BORRAR'!I1184="","",IF('FUENTE NO BORRAR'!$A1184&lt;&gt;"Resultado total",('FUENTE NO BORRAR'!I1184),""))</f>
        <v>0</v>
      </c>
    </row>
    <row r="1167" spans="1:9" x14ac:dyDescent="0.2">
      <c r="A1167" s="5" t="str">
        <f>IF('FUENTE NO BORRAR'!A1185="","",(IF('FUENTE NO BORRAR'!A1185&lt;&gt;"Resultado total",'FUENTE NO BORRAR'!A1185,"")))</f>
        <v/>
      </c>
      <c r="B1167" s="5" t="str">
        <f>IF('FUENTE NO BORRAR'!B1185="","",'FUENTE NO BORRAR'!B1185)</f>
        <v/>
      </c>
      <c r="C1167" s="5" t="str">
        <f>IF('FUENTE NO BORRAR'!C1185="","",'FUENTE NO BORRAR'!C1185)</f>
        <v/>
      </c>
      <c r="D1167" s="5" t="str">
        <f>IF('FUENTE NO BORRAR'!D1185="","",'FUENTE NO BORRAR'!D1185)</f>
        <v/>
      </c>
      <c r="E1167" s="5" t="str">
        <f>IF('FUENTE NO BORRAR'!E1185="","",'FUENTE NO BORRAR'!E1185)</f>
        <v/>
      </c>
      <c r="F1167" s="6">
        <f>IF('FUENTE NO BORRAR'!F1185="","",IF('FUENTE NO BORRAR'!$A1185&lt;&gt;"Resultado total",('FUENTE NO BORRAR'!F1185),""))</f>
        <v>1503014.43</v>
      </c>
      <c r="G1167" s="6">
        <f>IF('FUENTE NO BORRAR'!G1185="","",IF('FUENTE NO BORRAR'!$A1185&lt;&gt;"Resultado total",('FUENTE NO BORRAR'!G1185),""))</f>
        <v>1503014.43</v>
      </c>
      <c r="H1167" s="6">
        <f>IF('FUENTE NO BORRAR'!H1185="","",IF('FUENTE NO BORRAR'!$A1185&lt;&gt;"Resultado total",('FUENTE NO BORRAR'!H1185),""))</f>
        <v>1503014.43</v>
      </c>
      <c r="I1167" s="6">
        <f>IF('FUENTE NO BORRAR'!I1185="","",IF('FUENTE NO BORRAR'!$A1185&lt;&gt;"Resultado total",('FUENTE NO BORRAR'!I1185),""))</f>
        <v>0</v>
      </c>
    </row>
    <row r="1168" spans="1:9" x14ac:dyDescent="0.2">
      <c r="A1168" s="5" t="str">
        <f>IF('FUENTE NO BORRAR'!A1186="","",(IF('FUENTE NO BORRAR'!A1186&lt;&gt;"Resultado total",'FUENTE NO BORRAR'!A1186,"")))</f>
        <v/>
      </c>
      <c r="B1168" s="5" t="str">
        <f>IF('FUENTE NO BORRAR'!B1186="","",'FUENTE NO BORRAR'!B1186)</f>
        <v/>
      </c>
      <c r="C1168" s="5" t="str">
        <f>IF('FUENTE NO BORRAR'!C1186="","",'FUENTE NO BORRAR'!C1186)</f>
        <v/>
      </c>
      <c r="D1168" s="5" t="str">
        <f>IF('FUENTE NO BORRAR'!D1186="","",'FUENTE NO BORRAR'!D1186)</f>
        <v/>
      </c>
      <c r="E1168" s="5" t="str">
        <f>IF('FUENTE NO BORRAR'!E1186="","",'FUENTE NO BORRAR'!E1186)</f>
        <v/>
      </c>
      <c r="F1168" s="6">
        <f>IF('FUENTE NO BORRAR'!F1186="","",IF('FUENTE NO BORRAR'!$A1186&lt;&gt;"Resultado total",('FUENTE NO BORRAR'!F1186),""))</f>
        <v>5699</v>
      </c>
      <c r="G1168" s="6">
        <f>IF('FUENTE NO BORRAR'!G1186="","",IF('FUENTE NO BORRAR'!$A1186&lt;&gt;"Resultado total",('FUENTE NO BORRAR'!G1186),""))</f>
        <v>5699</v>
      </c>
      <c r="H1168" s="6">
        <f>IF('FUENTE NO BORRAR'!H1186="","",IF('FUENTE NO BORRAR'!$A1186&lt;&gt;"Resultado total",('FUENTE NO BORRAR'!H1186),""))</f>
        <v>5699</v>
      </c>
      <c r="I1168" s="6">
        <f>IF('FUENTE NO BORRAR'!I1186="","",IF('FUENTE NO BORRAR'!$A1186&lt;&gt;"Resultado total",('FUENTE NO BORRAR'!I1186),""))</f>
        <v>0</v>
      </c>
    </row>
    <row r="1169" spans="1:9" x14ac:dyDescent="0.2">
      <c r="A1169" s="5" t="str">
        <f>IF('FUENTE NO BORRAR'!A1187="","",(IF('FUENTE NO BORRAR'!A1187&lt;&gt;"Resultado total",'FUENTE NO BORRAR'!A1187,"")))</f>
        <v/>
      </c>
      <c r="B1169" s="5" t="str">
        <f>IF('FUENTE NO BORRAR'!B1187="","",'FUENTE NO BORRAR'!B1187)</f>
        <v/>
      </c>
      <c r="C1169" s="5" t="str">
        <f>IF('FUENTE NO BORRAR'!C1187="","",'FUENTE NO BORRAR'!C1187)</f>
        <v/>
      </c>
      <c r="D1169" s="5" t="str">
        <f>IF('FUENTE NO BORRAR'!D1187="","",'FUENTE NO BORRAR'!D1187)</f>
        <v/>
      </c>
      <c r="E1169" s="5" t="str">
        <f>IF('FUENTE NO BORRAR'!E1187="","",'FUENTE NO BORRAR'!E1187)</f>
        <v/>
      </c>
      <c r="F1169" s="6">
        <f>IF('FUENTE NO BORRAR'!F1187="","",IF('FUENTE NO BORRAR'!$A1187&lt;&gt;"Resultado total",('FUENTE NO BORRAR'!F1187),""))</f>
        <v>0</v>
      </c>
      <c r="G1169" s="6">
        <f>IF('FUENTE NO BORRAR'!G1187="","",IF('FUENTE NO BORRAR'!$A1187&lt;&gt;"Resultado total",('FUENTE NO BORRAR'!G1187),""))</f>
        <v>0</v>
      </c>
      <c r="H1169" s="6">
        <f>IF('FUENTE NO BORRAR'!H1187="","",IF('FUENTE NO BORRAR'!$A1187&lt;&gt;"Resultado total",('FUENTE NO BORRAR'!H1187),""))</f>
        <v>0</v>
      </c>
      <c r="I1169" s="6">
        <f>IF('FUENTE NO BORRAR'!I1187="","",IF('FUENTE NO BORRAR'!$A1187&lt;&gt;"Resultado total",('FUENTE NO BORRAR'!I1187),""))</f>
        <v>0</v>
      </c>
    </row>
    <row r="1170" spans="1:9" x14ac:dyDescent="0.2">
      <c r="A1170" s="5" t="str">
        <f>IF('FUENTE NO BORRAR'!A1188="","",(IF('FUENTE NO BORRAR'!A1188&lt;&gt;"Resultado total",'FUENTE NO BORRAR'!A1188,"")))</f>
        <v/>
      </c>
      <c r="B1170" s="5" t="str">
        <f>IF('FUENTE NO BORRAR'!B1188="","",'FUENTE NO BORRAR'!B1188)</f>
        <v/>
      </c>
      <c r="C1170" s="5" t="str">
        <f>IF('FUENTE NO BORRAR'!C1188="","",'FUENTE NO BORRAR'!C1188)</f>
        <v/>
      </c>
      <c r="D1170" s="5" t="str">
        <f>IF('FUENTE NO BORRAR'!D1188="","",'FUENTE NO BORRAR'!D1188)</f>
        <v/>
      </c>
      <c r="E1170" s="5" t="str">
        <f>IF('FUENTE NO BORRAR'!E1188="","",'FUENTE NO BORRAR'!E1188)</f>
        <v/>
      </c>
      <c r="F1170" s="6">
        <f>IF('FUENTE NO BORRAR'!F1188="","",IF('FUENTE NO BORRAR'!$A1188&lt;&gt;"Resultado total",('FUENTE NO BORRAR'!F1188),""))</f>
        <v>8852.99</v>
      </c>
      <c r="G1170" s="6">
        <f>IF('FUENTE NO BORRAR'!G1188="","",IF('FUENTE NO BORRAR'!$A1188&lt;&gt;"Resultado total",('FUENTE NO BORRAR'!G1188),""))</f>
        <v>8852.99</v>
      </c>
      <c r="H1170" s="6">
        <f>IF('FUENTE NO BORRAR'!H1188="","",IF('FUENTE NO BORRAR'!$A1188&lt;&gt;"Resultado total",('FUENTE NO BORRAR'!H1188),""))</f>
        <v>8852.99</v>
      </c>
      <c r="I1170" s="6">
        <f>IF('FUENTE NO BORRAR'!I1188="","",IF('FUENTE NO BORRAR'!$A1188&lt;&gt;"Resultado total",('FUENTE NO BORRAR'!I1188),""))</f>
        <v>0</v>
      </c>
    </row>
    <row r="1171" spans="1:9" x14ac:dyDescent="0.2">
      <c r="A1171" s="5" t="str">
        <f>IF('FUENTE NO BORRAR'!A1189="","",(IF('FUENTE NO BORRAR'!A1189&lt;&gt;"Resultado total",'FUENTE NO BORRAR'!A1189,"")))</f>
        <v/>
      </c>
      <c r="B1171" s="5" t="str">
        <f>IF('FUENTE NO BORRAR'!B1189="","",'FUENTE NO BORRAR'!B1189)</f>
        <v/>
      </c>
      <c r="C1171" s="5" t="str">
        <f>IF('FUENTE NO BORRAR'!C1189="","",'FUENTE NO BORRAR'!C1189)</f>
        <v/>
      </c>
      <c r="D1171" s="5" t="str">
        <f>IF('FUENTE NO BORRAR'!D1189="","",'FUENTE NO BORRAR'!D1189)</f>
        <v/>
      </c>
      <c r="E1171" s="5" t="str">
        <f>IF('FUENTE NO BORRAR'!E1189="","",'FUENTE NO BORRAR'!E1189)</f>
        <v/>
      </c>
      <c r="F1171" s="6">
        <f>IF('FUENTE NO BORRAR'!F1189="","",IF('FUENTE NO BORRAR'!$A1189&lt;&gt;"Resultado total",('FUENTE NO BORRAR'!F1189),""))</f>
        <v>0</v>
      </c>
      <c r="G1171" s="6">
        <f>IF('FUENTE NO BORRAR'!G1189="","",IF('FUENTE NO BORRAR'!$A1189&lt;&gt;"Resultado total",('FUENTE NO BORRAR'!G1189),""))</f>
        <v>0</v>
      </c>
      <c r="H1171" s="6">
        <f>IF('FUENTE NO BORRAR'!H1189="","",IF('FUENTE NO BORRAR'!$A1189&lt;&gt;"Resultado total",('FUENTE NO BORRAR'!H1189),""))</f>
        <v>0</v>
      </c>
      <c r="I1171" s="6">
        <f>IF('FUENTE NO BORRAR'!I1189="","",IF('FUENTE NO BORRAR'!$A1189&lt;&gt;"Resultado total",('FUENTE NO BORRAR'!I1189),""))</f>
        <v>0</v>
      </c>
    </row>
    <row r="1172" spans="1:9" x14ac:dyDescent="0.2">
      <c r="A1172" s="5" t="str">
        <f>IF('FUENTE NO BORRAR'!A1190="","",(IF('FUENTE NO BORRAR'!A1190&lt;&gt;"Resultado total",'FUENTE NO BORRAR'!A1190,"")))</f>
        <v/>
      </c>
      <c r="B1172" s="5" t="str">
        <f>IF('FUENTE NO BORRAR'!B1190="","",'FUENTE NO BORRAR'!B1190)</f>
        <v/>
      </c>
      <c r="C1172" s="5" t="str">
        <f>IF('FUENTE NO BORRAR'!C1190="","",'FUENTE NO BORRAR'!C1190)</f>
        <v/>
      </c>
      <c r="D1172" s="5" t="str">
        <f>IF('FUENTE NO BORRAR'!D1190="","",'FUENTE NO BORRAR'!D1190)</f>
        <v/>
      </c>
      <c r="E1172" s="5" t="str">
        <f>IF('FUENTE NO BORRAR'!E1190="","",'FUENTE NO BORRAR'!E1190)</f>
        <v/>
      </c>
      <c r="F1172" s="6">
        <f>IF('FUENTE NO BORRAR'!F1190="","",IF('FUENTE NO BORRAR'!$A1190&lt;&gt;"Resultado total",('FUENTE NO BORRAR'!F1190),""))</f>
        <v>0</v>
      </c>
      <c r="G1172" s="6">
        <f>IF('FUENTE NO BORRAR'!G1190="","",IF('FUENTE NO BORRAR'!$A1190&lt;&gt;"Resultado total",('FUENTE NO BORRAR'!G1190),""))</f>
        <v>0</v>
      </c>
      <c r="H1172" s="6">
        <f>IF('FUENTE NO BORRAR'!H1190="","",IF('FUENTE NO BORRAR'!$A1190&lt;&gt;"Resultado total",('FUENTE NO BORRAR'!H1190),""))</f>
        <v>0</v>
      </c>
      <c r="I1172" s="6">
        <f>IF('FUENTE NO BORRAR'!I1190="","",IF('FUENTE NO BORRAR'!$A1190&lt;&gt;"Resultado total",('FUENTE NO BORRAR'!I1190),""))</f>
        <v>0</v>
      </c>
    </row>
    <row r="1173" spans="1:9" x14ac:dyDescent="0.2">
      <c r="A1173" s="5" t="str">
        <f>IF('FUENTE NO BORRAR'!A1191="","",(IF('FUENTE NO BORRAR'!A1191&lt;&gt;"Resultado total",'FUENTE NO BORRAR'!A1191,"")))</f>
        <v/>
      </c>
      <c r="B1173" s="5" t="str">
        <f>IF('FUENTE NO BORRAR'!B1191="","",'FUENTE NO BORRAR'!B1191)</f>
        <v/>
      </c>
      <c r="C1173" s="5" t="str">
        <f>IF('FUENTE NO BORRAR'!C1191="","",'FUENTE NO BORRAR'!C1191)</f>
        <v/>
      </c>
      <c r="D1173" s="5" t="str">
        <f>IF('FUENTE NO BORRAR'!D1191="","",'FUENTE NO BORRAR'!D1191)</f>
        <v/>
      </c>
      <c r="E1173" s="5" t="str">
        <f>IF('FUENTE NO BORRAR'!E1191="","",'FUENTE NO BORRAR'!E1191)</f>
        <v/>
      </c>
      <c r="F1173" s="6">
        <f>IF('FUENTE NO BORRAR'!F1191="","",IF('FUENTE NO BORRAR'!$A1191&lt;&gt;"Resultado total",('FUENTE NO BORRAR'!F1191),""))</f>
        <v>0</v>
      </c>
      <c r="G1173" s="6">
        <f>IF('FUENTE NO BORRAR'!G1191="","",IF('FUENTE NO BORRAR'!$A1191&lt;&gt;"Resultado total",('FUENTE NO BORRAR'!G1191),""))</f>
        <v>0</v>
      </c>
      <c r="H1173" s="6">
        <f>IF('FUENTE NO BORRAR'!H1191="","",IF('FUENTE NO BORRAR'!$A1191&lt;&gt;"Resultado total",('FUENTE NO BORRAR'!H1191),""))</f>
        <v>0</v>
      </c>
      <c r="I1173" s="6">
        <f>IF('FUENTE NO BORRAR'!I1191="","",IF('FUENTE NO BORRAR'!$A1191&lt;&gt;"Resultado total",('FUENTE NO BORRAR'!I1191),""))</f>
        <v>0</v>
      </c>
    </row>
    <row r="1174" spans="1:9" x14ac:dyDescent="0.2">
      <c r="A1174" s="5" t="str">
        <f>IF('FUENTE NO BORRAR'!A1192="","",(IF('FUENTE NO BORRAR'!A1192&lt;&gt;"Resultado total",'FUENTE NO BORRAR'!A1192,"")))</f>
        <v/>
      </c>
      <c r="B1174" s="5" t="str">
        <f>IF('FUENTE NO BORRAR'!B1192="","",'FUENTE NO BORRAR'!B1192)</f>
        <v/>
      </c>
      <c r="C1174" s="5" t="str">
        <f>IF('FUENTE NO BORRAR'!C1192="","",'FUENTE NO BORRAR'!C1192)</f>
        <v/>
      </c>
      <c r="D1174" s="5" t="str">
        <f>IF('FUENTE NO BORRAR'!D1192="","",'FUENTE NO BORRAR'!D1192)</f>
        <v/>
      </c>
      <c r="E1174" s="5" t="str">
        <f>IF('FUENTE NO BORRAR'!E1192="","",'FUENTE NO BORRAR'!E1192)</f>
        <v/>
      </c>
      <c r="F1174" s="6">
        <f>IF('FUENTE NO BORRAR'!F1192="","",IF('FUENTE NO BORRAR'!$A1192&lt;&gt;"Resultado total",('FUENTE NO BORRAR'!F1192),""))</f>
        <v>0</v>
      </c>
      <c r="G1174" s="6">
        <f>IF('FUENTE NO BORRAR'!G1192="","",IF('FUENTE NO BORRAR'!$A1192&lt;&gt;"Resultado total",('FUENTE NO BORRAR'!G1192),""))</f>
        <v>0</v>
      </c>
      <c r="H1174" s="6">
        <f>IF('FUENTE NO BORRAR'!H1192="","",IF('FUENTE NO BORRAR'!$A1192&lt;&gt;"Resultado total",('FUENTE NO BORRAR'!H1192),""))</f>
        <v>0</v>
      </c>
      <c r="I1174" s="6">
        <f>IF('FUENTE NO BORRAR'!I1192="","",IF('FUENTE NO BORRAR'!$A1192&lt;&gt;"Resultado total",('FUENTE NO BORRAR'!I1192),""))</f>
        <v>0</v>
      </c>
    </row>
    <row r="1175" spans="1:9" x14ac:dyDescent="0.2">
      <c r="A1175" s="5" t="str">
        <f>IF('FUENTE NO BORRAR'!A1193="","",(IF('FUENTE NO BORRAR'!A1193&lt;&gt;"Resultado total",'FUENTE NO BORRAR'!A1193,"")))</f>
        <v/>
      </c>
      <c r="B1175" s="5" t="str">
        <f>IF('FUENTE NO BORRAR'!B1193="","",'FUENTE NO BORRAR'!B1193)</f>
        <v/>
      </c>
      <c r="C1175" s="5" t="str">
        <f>IF('FUENTE NO BORRAR'!C1193="","",'FUENTE NO BORRAR'!C1193)</f>
        <v/>
      </c>
      <c r="D1175" s="5" t="str">
        <f>IF('FUENTE NO BORRAR'!D1193="","",'FUENTE NO BORRAR'!D1193)</f>
        <v/>
      </c>
      <c r="E1175" s="5" t="str">
        <f>IF('FUENTE NO BORRAR'!E1193="","",'FUENTE NO BORRAR'!E1193)</f>
        <v/>
      </c>
      <c r="F1175" s="6">
        <f>IF('FUENTE NO BORRAR'!F1193="","",IF('FUENTE NO BORRAR'!$A1193&lt;&gt;"Resultado total",('FUENTE NO BORRAR'!F1193),""))</f>
        <v>301.95999999999998</v>
      </c>
      <c r="G1175" s="6">
        <f>IF('FUENTE NO BORRAR'!G1193="","",IF('FUENTE NO BORRAR'!$A1193&lt;&gt;"Resultado total",('FUENTE NO BORRAR'!G1193),""))</f>
        <v>301.95999999999998</v>
      </c>
      <c r="H1175" s="6">
        <f>IF('FUENTE NO BORRAR'!H1193="","",IF('FUENTE NO BORRAR'!$A1193&lt;&gt;"Resultado total",('FUENTE NO BORRAR'!H1193),""))</f>
        <v>301.95999999999998</v>
      </c>
      <c r="I1175" s="6">
        <f>IF('FUENTE NO BORRAR'!I1193="","",IF('FUENTE NO BORRAR'!$A1193&lt;&gt;"Resultado total",('FUENTE NO BORRAR'!I1193),""))</f>
        <v>0</v>
      </c>
    </row>
    <row r="1176" spans="1:9" x14ac:dyDescent="0.2">
      <c r="A1176" s="5" t="str">
        <f>IF('FUENTE NO BORRAR'!A1194="","",(IF('FUENTE NO BORRAR'!A1194&lt;&gt;"Resultado total",'FUENTE NO BORRAR'!A1194,"")))</f>
        <v/>
      </c>
      <c r="B1176" s="5" t="str">
        <f>IF('FUENTE NO BORRAR'!B1194="","",'FUENTE NO BORRAR'!B1194)</f>
        <v/>
      </c>
      <c r="C1176" s="5" t="str">
        <f>IF('FUENTE NO BORRAR'!C1194="","",'FUENTE NO BORRAR'!C1194)</f>
        <v/>
      </c>
      <c r="D1176" s="5" t="str">
        <f>IF('FUENTE NO BORRAR'!D1194="","",'FUENTE NO BORRAR'!D1194)</f>
        <v/>
      </c>
      <c r="E1176" s="5" t="str">
        <f>IF('FUENTE NO BORRAR'!E1194="","",'FUENTE NO BORRAR'!E1194)</f>
        <v/>
      </c>
      <c r="F1176" s="6">
        <f>IF('FUENTE NO BORRAR'!F1194="","",IF('FUENTE NO BORRAR'!$A1194&lt;&gt;"Resultado total",('FUENTE NO BORRAR'!F1194),""))</f>
        <v>0</v>
      </c>
      <c r="G1176" s="6">
        <f>IF('FUENTE NO BORRAR'!G1194="","",IF('FUENTE NO BORRAR'!$A1194&lt;&gt;"Resultado total",('FUENTE NO BORRAR'!G1194),""))</f>
        <v>0</v>
      </c>
      <c r="H1176" s="6">
        <f>IF('FUENTE NO BORRAR'!H1194="","",IF('FUENTE NO BORRAR'!$A1194&lt;&gt;"Resultado total",('FUENTE NO BORRAR'!H1194),""))</f>
        <v>0</v>
      </c>
      <c r="I1176" s="6">
        <f>IF('FUENTE NO BORRAR'!I1194="","",IF('FUENTE NO BORRAR'!$A1194&lt;&gt;"Resultado total",('FUENTE NO BORRAR'!I1194),""))</f>
        <v>0</v>
      </c>
    </row>
    <row r="1177" spans="1:9" x14ac:dyDescent="0.2">
      <c r="A1177" s="5" t="str">
        <f>IF('FUENTE NO BORRAR'!A1195="","",(IF('FUENTE NO BORRAR'!A1195&lt;&gt;"Resultado total",'FUENTE NO BORRAR'!A1195,"")))</f>
        <v/>
      </c>
      <c r="B1177" s="5" t="str">
        <f>IF('FUENTE NO BORRAR'!B1195="","",'FUENTE NO BORRAR'!B1195)</f>
        <v/>
      </c>
      <c r="C1177" s="5" t="str">
        <f>IF('FUENTE NO BORRAR'!C1195="","",'FUENTE NO BORRAR'!C1195)</f>
        <v/>
      </c>
      <c r="D1177" s="5" t="str">
        <f>IF('FUENTE NO BORRAR'!D1195="","",'FUENTE NO BORRAR'!D1195)</f>
        <v/>
      </c>
      <c r="E1177" s="5" t="str">
        <f>IF('FUENTE NO BORRAR'!E1195="","",'FUENTE NO BORRAR'!E1195)</f>
        <v/>
      </c>
      <c r="F1177" s="6">
        <f>IF('FUENTE NO BORRAR'!F1195="","",IF('FUENTE NO BORRAR'!$A1195&lt;&gt;"Resultado total",('FUENTE NO BORRAR'!F1195),""))</f>
        <v>354.01</v>
      </c>
      <c r="G1177" s="6">
        <f>IF('FUENTE NO BORRAR'!G1195="","",IF('FUENTE NO BORRAR'!$A1195&lt;&gt;"Resultado total",('FUENTE NO BORRAR'!G1195),""))</f>
        <v>354.01</v>
      </c>
      <c r="H1177" s="6">
        <f>IF('FUENTE NO BORRAR'!H1195="","",IF('FUENTE NO BORRAR'!$A1195&lt;&gt;"Resultado total",('FUENTE NO BORRAR'!H1195),""))</f>
        <v>354.01</v>
      </c>
      <c r="I1177" s="6">
        <f>IF('FUENTE NO BORRAR'!I1195="","",IF('FUENTE NO BORRAR'!$A1195&lt;&gt;"Resultado total",('FUENTE NO BORRAR'!I1195),""))</f>
        <v>0</v>
      </c>
    </row>
    <row r="1178" spans="1:9" x14ac:dyDescent="0.2">
      <c r="A1178" s="5" t="str">
        <f>IF('FUENTE NO BORRAR'!A1196="","",(IF('FUENTE NO BORRAR'!A1196&lt;&gt;"Resultado total",'FUENTE NO BORRAR'!A1196,"")))</f>
        <v/>
      </c>
      <c r="B1178" s="5" t="str">
        <f>IF('FUENTE NO BORRAR'!B1196="","",'FUENTE NO BORRAR'!B1196)</f>
        <v/>
      </c>
      <c r="C1178" s="5" t="str">
        <f>IF('FUENTE NO BORRAR'!C1196="","",'FUENTE NO BORRAR'!C1196)</f>
        <v/>
      </c>
      <c r="D1178" s="5" t="str">
        <f>IF('FUENTE NO BORRAR'!D1196="","",'FUENTE NO BORRAR'!D1196)</f>
        <v/>
      </c>
      <c r="E1178" s="5" t="str">
        <f>IF('FUENTE NO BORRAR'!E1196="","",'FUENTE NO BORRAR'!E1196)</f>
        <v/>
      </c>
      <c r="F1178" s="6">
        <f>IF('FUENTE NO BORRAR'!F1196="","",IF('FUENTE NO BORRAR'!$A1196&lt;&gt;"Resultado total",('FUENTE NO BORRAR'!F1196),""))</f>
        <v>0</v>
      </c>
      <c r="G1178" s="6">
        <f>IF('FUENTE NO BORRAR'!G1196="","",IF('FUENTE NO BORRAR'!$A1196&lt;&gt;"Resultado total",('FUENTE NO BORRAR'!G1196),""))</f>
        <v>0</v>
      </c>
      <c r="H1178" s="6">
        <f>IF('FUENTE NO BORRAR'!H1196="","",IF('FUENTE NO BORRAR'!$A1196&lt;&gt;"Resultado total",('FUENTE NO BORRAR'!H1196),""))</f>
        <v>0</v>
      </c>
      <c r="I1178" s="6">
        <f>IF('FUENTE NO BORRAR'!I1196="","",IF('FUENTE NO BORRAR'!$A1196&lt;&gt;"Resultado total",('FUENTE NO BORRAR'!I1196),""))</f>
        <v>0</v>
      </c>
    </row>
    <row r="1179" spans="1:9" x14ac:dyDescent="0.2">
      <c r="A1179" s="5" t="str">
        <f>IF('FUENTE NO BORRAR'!A1197="","",(IF('FUENTE NO BORRAR'!A1197&lt;&gt;"Resultado total",'FUENTE NO BORRAR'!A1197,"")))</f>
        <v/>
      </c>
      <c r="B1179" s="5" t="str">
        <f>IF('FUENTE NO BORRAR'!B1197="","",'FUENTE NO BORRAR'!B1197)</f>
        <v/>
      </c>
      <c r="C1179" s="5" t="str">
        <f>IF('FUENTE NO BORRAR'!C1197="","",'FUENTE NO BORRAR'!C1197)</f>
        <v/>
      </c>
      <c r="D1179" s="5" t="str">
        <f>IF('FUENTE NO BORRAR'!D1197="","",'FUENTE NO BORRAR'!D1197)</f>
        <v/>
      </c>
      <c r="E1179" s="5" t="str">
        <f>IF('FUENTE NO BORRAR'!E1197="","",'FUENTE NO BORRAR'!E1197)</f>
        <v/>
      </c>
      <c r="F1179" s="6">
        <f>IF('FUENTE NO BORRAR'!F1197="","",IF('FUENTE NO BORRAR'!$A1197&lt;&gt;"Resultado total",('FUENTE NO BORRAR'!F1197),""))</f>
        <v>0</v>
      </c>
      <c r="G1179" s="6">
        <f>IF('FUENTE NO BORRAR'!G1197="","",IF('FUENTE NO BORRAR'!$A1197&lt;&gt;"Resultado total",('FUENTE NO BORRAR'!G1197),""))</f>
        <v>0</v>
      </c>
      <c r="H1179" s="6">
        <f>IF('FUENTE NO BORRAR'!H1197="","",IF('FUENTE NO BORRAR'!$A1197&lt;&gt;"Resultado total",('FUENTE NO BORRAR'!H1197),""))</f>
        <v>0</v>
      </c>
      <c r="I1179" s="6">
        <f>IF('FUENTE NO BORRAR'!I1197="","",IF('FUENTE NO BORRAR'!$A1197&lt;&gt;"Resultado total",('FUENTE NO BORRAR'!I1197),""))</f>
        <v>0</v>
      </c>
    </row>
    <row r="1180" spans="1:9" x14ac:dyDescent="0.2">
      <c r="A1180" s="5" t="str">
        <f>IF('FUENTE NO BORRAR'!A1198="","",(IF('FUENTE NO BORRAR'!A1198&lt;&gt;"Resultado total",'FUENTE NO BORRAR'!A1198,"")))</f>
        <v/>
      </c>
      <c r="B1180" s="5" t="str">
        <f>IF('FUENTE NO BORRAR'!B1198="","",'FUENTE NO BORRAR'!B1198)</f>
        <v/>
      </c>
      <c r="C1180" s="5" t="str">
        <f>IF('FUENTE NO BORRAR'!C1198="","",'FUENTE NO BORRAR'!C1198)</f>
        <v/>
      </c>
      <c r="D1180" s="5" t="str">
        <f>IF('FUENTE NO BORRAR'!D1198="","",'FUENTE NO BORRAR'!D1198)</f>
        <v/>
      </c>
      <c r="E1180" s="5" t="str">
        <f>IF('FUENTE NO BORRAR'!E1198="","",'FUENTE NO BORRAR'!E1198)</f>
        <v/>
      </c>
      <c r="F1180" s="6">
        <f>IF('FUENTE NO BORRAR'!F1198="","",IF('FUENTE NO BORRAR'!$A1198&lt;&gt;"Resultado total",('FUENTE NO BORRAR'!F1198),""))</f>
        <v>38</v>
      </c>
      <c r="G1180" s="6">
        <f>IF('FUENTE NO BORRAR'!G1198="","",IF('FUENTE NO BORRAR'!$A1198&lt;&gt;"Resultado total",('FUENTE NO BORRAR'!G1198),""))</f>
        <v>38</v>
      </c>
      <c r="H1180" s="6">
        <f>IF('FUENTE NO BORRAR'!H1198="","",IF('FUENTE NO BORRAR'!$A1198&lt;&gt;"Resultado total",('FUENTE NO BORRAR'!H1198),""))</f>
        <v>38</v>
      </c>
      <c r="I1180" s="6">
        <f>IF('FUENTE NO BORRAR'!I1198="","",IF('FUENTE NO BORRAR'!$A1198&lt;&gt;"Resultado total",('FUENTE NO BORRAR'!I1198),""))</f>
        <v>0</v>
      </c>
    </row>
    <row r="1181" spans="1:9" x14ac:dyDescent="0.2">
      <c r="A1181" s="5" t="str">
        <f>IF('FUENTE NO BORRAR'!A1199="","",(IF('FUENTE NO BORRAR'!A1199&lt;&gt;"Resultado total",'FUENTE NO BORRAR'!A1199,"")))</f>
        <v/>
      </c>
      <c r="B1181" s="5" t="str">
        <f>IF('FUENTE NO BORRAR'!B1199="","",'FUENTE NO BORRAR'!B1199)</f>
        <v/>
      </c>
      <c r="C1181" s="5" t="str">
        <f>IF('FUENTE NO BORRAR'!C1199="","",'FUENTE NO BORRAR'!C1199)</f>
        <v/>
      </c>
      <c r="D1181" s="5" t="str">
        <f>IF('FUENTE NO BORRAR'!D1199="","",'FUENTE NO BORRAR'!D1199)</f>
        <v/>
      </c>
      <c r="E1181" s="5" t="str">
        <f>IF('FUENTE NO BORRAR'!E1199="","",'FUENTE NO BORRAR'!E1199)</f>
        <v/>
      </c>
      <c r="F1181" s="6">
        <f>IF('FUENTE NO BORRAR'!F1199="","",IF('FUENTE NO BORRAR'!$A1199&lt;&gt;"Resultado total",('FUENTE NO BORRAR'!F1199),""))</f>
        <v>0</v>
      </c>
      <c r="G1181" s="6">
        <f>IF('FUENTE NO BORRAR'!G1199="","",IF('FUENTE NO BORRAR'!$A1199&lt;&gt;"Resultado total",('FUENTE NO BORRAR'!G1199),""))</f>
        <v>0</v>
      </c>
      <c r="H1181" s="6">
        <f>IF('FUENTE NO BORRAR'!H1199="","",IF('FUENTE NO BORRAR'!$A1199&lt;&gt;"Resultado total",('FUENTE NO BORRAR'!H1199),""))</f>
        <v>0</v>
      </c>
      <c r="I1181" s="6">
        <f>IF('FUENTE NO BORRAR'!I1199="","",IF('FUENTE NO BORRAR'!$A1199&lt;&gt;"Resultado total",('FUENTE NO BORRAR'!I1199),""))</f>
        <v>0</v>
      </c>
    </row>
    <row r="1182" spans="1:9" x14ac:dyDescent="0.2">
      <c r="A1182" s="5" t="str">
        <f>IF('FUENTE NO BORRAR'!A1200="","",(IF('FUENTE NO BORRAR'!A1200&lt;&gt;"Resultado total",'FUENTE NO BORRAR'!A1200,"")))</f>
        <v/>
      </c>
      <c r="B1182" s="5" t="str">
        <f>IF('FUENTE NO BORRAR'!B1200="","",'FUENTE NO BORRAR'!B1200)</f>
        <v/>
      </c>
      <c r="C1182" s="5" t="str">
        <f>IF('FUENTE NO BORRAR'!C1200="","",'FUENTE NO BORRAR'!C1200)</f>
        <v/>
      </c>
      <c r="D1182" s="5" t="str">
        <f>IF('FUENTE NO BORRAR'!D1200="","",'FUENTE NO BORRAR'!D1200)</f>
        <v/>
      </c>
      <c r="E1182" s="5" t="str">
        <f>IF('FUENTE NO BORRAR'!E1200="","",'FUENTE NO BORRAR'!E1200)</f>
        <v/>
      </c>
      <c r="F1182" s="6">
        <f>IF('FUENTE NO BORRAR'!F1200="","",IF('FUENTE NO BORRAR'!$A1200&lt;&gt;"Resultado total",('FUENTE NO BORRAR'!F1200),""))</f>
        <v>0</v>
      </c>
      <c r="G1182" s="6">
        <f>IF('FUENTE NO BORRAR'!G1200="","",IF('FUENTE NO BORRAR'!$A1200&lt;&gt;"Resultado total",('FUENTE NO BORRAR'!G1200),""))</f>
        <v>0</v>
      </c>
      <c r="H1182" s="6">
        <f>IF('FUENTE NO BORRAR'!H1200="","",IF('FUENTE NO BORRAR'!$A1200&lt;&gt;"Resultado total",('FUENTE NO BORRAR'!H1200),""))</f>
        <v>0</v>
      </c>
      <c r="I1182" s="6">
        <f>IF('FUENTE NO BORRAR'!I1200="","",IF('FUENTE NO BORRAR'!$A1200&lt;&gt;"Resultado total",('FUENTE NO BORRAR'!I1200),""))</f>
        <v>0</v>
      </c>
    </row>
    <row r="1183" spans="1:9" x14ac:dyDescent="0.2">
      <c r="A1183" s="5" t="str">
        <f>IF('FUENTE NO BORRAR'!A1201="","",(IF('FUENTE NO BORRAR'!A1201&lt;&gt;"Resultado total",'FUENTE NO BORRAR'!A1201,"")))</f>
        <v/>
      </c>
      <c r="B1183" s="5" t="str">
        <f>IF('FUENTE NO BORRAR'!B1201="","",'FUENTE NO BORRAR'!B1201)</f>
        <v/>
      </c>
      <c r="C1183" s="5" t="str">
        <f>IF('FUENTE NO BORRAR'!C1201="","",'FUENTE NO BORRAR'!C1201)</f>
        <v/>
      </c>
      <c r="D1183" s="5" t="str">
        <f>IF('FUENTE NO BORRAR'!D1201="","",'FUENTE NO BORRAR'!D1201)</f>
        <v/>
      </c>
      <c r="E1183" s="5" t="str">
        <f>IF('FUENTE NO BORRAR'!E1201="","",'FUENTE NO BORRAR'!E1201)</f>
        <v/>
      </c>
      <c r="F1183" s="6">
        <f>IF('FUENTE NO BORRAR'!F1201="","",IF('FUENTE NO BORRAR'!$A1201&lt;&gt;"Resultado total",('FUENTE NO BORRAR'!F1201),""))</f>
        <v>887.6</v>
      </c>
      <c r="G1183" s="6">
        <f>IF('FUENTE NO BORRAR'!G1201="","",IF('FUENTE NO BORRAR'!$A1201&lt;&gt;"Resultado total",('FUENTE NO BORRAR'!G1201),""))</f>
        <v>887.6</v>
      </c>
      <c r="H1183" s="6">
        <f>IF('FUENTE NO BORRAR'!H1201="","",IF('FUENTE NO BORRAR'!$A1201&lt;&gt;"Resultado total",('FUENTE NO BORRAR'!H1201),""))</f>
        <v>782.9</v>
      </c>
      <c r="I1183" s="6">
        <f>IF('FUENTE NO BORRAR'!I1201="","",IF('FUENTE NO BORRAR'!$A1201&lt;&gt;"Resultado total",('FUENTE NO BORRAR'!I1201),""))</f>
        <v>0</v>
      </c>
    </row>
    <row r="1184" spans="1:9" x14ac:dyDescent="0.2">
      <c r="A1184" s="5" t="str">
        <f>IF('FUENTE NO BORRAR'!A1202="","",(IF('FUENTE NO BORRAR'!A1202&lt;&gt;"Resultado total",'FUENTE NO BORRAR'!A1202,"")))</f>
        <v/>
      </c>
      <c r="B1184" s="5" t="str">
        <f>IF('FUENTE NO BORRAR'!B1202="","",'FUENTE NO BORRAR'!B1202)</f>
        <v/>
      </c>
      <c r="C1184" s="5" t="str">
        <f>IF('FUENTE NO BORRAR'!C1202="","",'FUENTE NO BORRAR'!C1202)</f>
        <v/>
      </c>
      <c r="D1184" s="5" t="str">
        <f>IF('FUENTE NO BORRAR'!D1202="","",'FUENTE NO BORRAR'!D1202)</f>
        <v/>
      </c>
      <c r="E1184" s="5" t="str">
        <f>IF('FUENTE NO BORRAR'!E1202="","",'FUENTE NO BORRAR'!E1202)</f>
        <v/>
      </c>
      <c r="F1184" s="6">
        <f>IF('FUENTE NO BORRAR'!F1202="","",IF('FUENTE NO BORRAR'!$A1202&lt;&gt;"Resultado total",('FUENTE NO BORRAR'!F1202),""))</f>
        <v>2837.6</v>
      </c>
      <c r="G1184" s="6">
        <f>IF('FUENTE NO BORRAR'!G1202="","",IF('FUENTE NO BORRAR'!$A1202&lt;&gt;"Resultado total",('FUENTE NO BORRAR'!G1202),""))</f>
        <v>2837.6</v>
      </c>
      <c r="H1184" s="6">
        <f>IF('FUENTE NO BORRAR'!H1202="","",IF('FUENTE NO BORRAR'!$A1202&lt;&gt;"Resultado total",('FUENTE NO BORRAR'!H1202),""))</f>
        <v>2482.9</v>
      </c>
      <c r="I1184" s="6">
        <f>IF('FUENTE NO BORRAR'!I1202="","",IF('FUENTE NO BORRAR'!$A1202&lt;&gt;"Resultado total",('FUENTE NO BORRAR'!I1202),""))</f>
        <v>0</v>
      </c>
    </row>
    <row r="1185" spans="1:9" x14ac:dyDescent="0.2">
      <c r="A1185" s="5" t="str">
        <f>IF('FUENTE NO BORRAR'!A1203="","",(IF('FUENTE NO BORRAR'!A1203&lt;&gt;"Resultado total",'FUENTE NO BORRAR'!A1203,"")))</f>
        <v/>
      </c>
      <c r="B1185" s="5" t="str">
        <f>IF('FUENTE NO BORRAR'!B1203="","",'FUENTE NO BORRAR'!B1203)</f>
        <v/>
      </c>
      <c r="C1185" s="5" t="str">
        <f>IF('FUENTE NO BORRAR'!C1203="","",'FUENTE NO BORRAR'!C1203)</f>
        <v/>
      </c>
      <c r="D1185" s="5" t="str">
        <f>IF('FUENTE NO BORRAR'!D1203="","",'FUENTE NO BORRAR'!D1203)</f>
        <v/>
      </c>
      <c r="E1185" s="5" t="str">
        <f>IF('FUENTE NO BORRAR'!E1203="","",'FUENTE NO BORRAR'!E1203)</f>
        <v/>
      </c>
      <c r="F1185" s="6">
        <f>IF('FUENTE NO BORRAR'!F1203="","",IF('FUENTE NO BORRAR'!$A1203&lt;&gt;"Resultado total",('FUENTE NO BORRAR'!F1203),""))</f>
        <v>324.8</v>
      </c>
      <c r="G1185" s="6">
        <f>IF('FUENTE NO BORRAR'!G1203="","",IF('FUENTE NO BORRAR'!$A1203&lt;&gt;"Resultado total",('FUENTE NO BORRAR'!G1203),""))</f>
        <v>324.8</v>
      </c>
      <c r="H1185" s="6">
        <f>IF('FUENTE NO BORRAR'!H1203="","",IF('FUENTE NO BORRAR'!$A1203&lt;&gt;"Resultado total",('FUENTE NO BORRAR'!H1203),""))</f>
        <v>284.2</v>
      </c>
      <c r="I1185" s="6">
        <f>IF('FUENTE NO BORRAR'!I1203="","",IF('FUENTE NO BORRAR'!$A1203&lt;&gt;"Resultado total",('FUENTE NO BORRAR'!I1203),""))</f>
        <v>0</v>
      </c>
    </row>
    <row r="1186" spans="1:9" x14ac:dyDescent="0.2">
      <c r="A1186" s="5" t="str">
        <f>IF('FUENTE NO BORRAR'!A1204="","",(IF('FUENTE NO BORRAR'!A1204&lt;&gt;"Resultado total",'FUENTE NO BORRAR'!A1204,"")))</f>
        <v/>
      </c>
      <c r="B1186" s="5" t="str">
        <f>IF('FUENTE NO BORRAR'!B1204="","",'FUENTE NO BORRAR'!B1204)</f>
        <v/>
      </c>
      <c r="C1186" s="5" t="str">
        <f>IF('FUENTE NO BORRAR'!C1204="","",'FUENTE NO BORRAR'!C1204)</f>
        <v/>
      </c>
      <c r="D1186" s="5" t="str">
        <f>IF('FUENTE NO BORRAR'!D1204="","",'FUENTE NO BORRAR'!D1204)</f>
        <v/>
      </c>
      <c r="E1186" s="5" t="str">
        <f>IF('FUENTE NO BORRAR'!E1204="","",'FUENTE NO BORRAR'!E1204)</f>
        <v/>
      </c>
      <c r="F1186" s="6">
        <f>IF('FUENTE NO BORRAR'!F1204="","",IF('FUENTE NO BORRAR'!$A1204&lt;&gt;"Resultado total",('FUENTE NO BORRAR'!F1204),""))</f>
        <v>72743.539999999994</v>
      </c>
      <c r="G1186" s="6">
        <f>IF('FUENTE NO BORRAR'!G1204="","",IF('FUENTE NO BORRAR'!$A1204&lt;&gt;"Resultado total",('FUENTE NO BORRAR'!G1204),""))</f>
        <v>72743.539999999994</v>
      </c>
      <c r="H1186" s="6">
        <f>IF('FUENTE NO BORRAR'!H1204="","",IF('FUENTE NO BORRAR'!$A1204&lt;&gt;"Resultado total",('FUENTE NO BORRAR'!H1204),""))</f>
        <v>15728.55</v>
      </c>
      <c r="I1186" s="6">
        <f>IF('FUENTE NO BORRAR'!I1204="","",IF('FUENTE NO BORRAR'!$A1204&lt;&gt;"Resultado total",('FUENTE NO BORRAR'!I1204),""))</f>
        <v>0</v>
      </c>
    </row>
    <row r="1187" spans="1:9" x14ac:dyDescent="0.2">
      <c r="A1187" s="5" t="str">
        <f>IF('FUENTE NO BORRAR'!A1205="","",(IF('FUENTE NO BORRAR'!A1205&lt;&gt;"Resultado total",'FUENTE NO BORRAR'!A1205,"")))</f>
        <v/>
      </c>
      <c r="B1187" s="5" t="str">
        <f>IF('FUENTE NO BORRAR'!B1205="","",'FUENTE NO BORRAR'!B1205)</f>
        <v/>
      </c>
      <c r="C1187" s="5" t="str">
        <f>IF('FUENTE NO BORRAR'!C1205="","",'FUENTE NO BORRAR'!C1205)</f>
        <v/>
      </c>
      <c r="D1187" s="5" t="str">
        <f>IF('FUENTE NO BORRAR'!D1205="","",'FUENTE NO BORRAR'!D1205)</f>
        <v/>
      </c>
      <c r="E1187" s="5" t="str">
        <f>IF('FUENTE NO BORRAR'!E1205="","",'FUENTE NO BORRAR'!E1205)</f>
        <v/>
      </c>
      <c r="F1187" s="6">
        <f>IF('FUENTE NO BORRAR'!F1205="","",IF('FUENTE NO BORRAR'!$A1205&lt;&gt;"Resultado total",('FUENTE NO BORRAR'!F1205),""))</f>
        <v>58969.67</v>
      </c>
      <c r="G1187" s="6">
        <f>IF('FUENTE NO BORRAR'!G1205="","",IF('FUENTE NO BORRAR'!$A1205&lt;&gt;"Resultado total",('FUENTE NO BORRAR'!G1205),""))</f>
        <v>58969.67</v>
      </c>
      <c r="H1187" s="6">
        <f>IF('FUENTE NO BORRAR'!H1205="","",IF('FUENTE NO BORRAR'!$A1205&lt;&gt;"Resultado total",('FUENTE NO BORRAR'!H1205),""))</f>
        <v>30134.39</v>
      </c>
      <c r="I1187" s="6">
        <f>IF('FUENTE NO BORRAR'!I1205="","",IF('FUENTE NO BORRAR'!$A1205&lt;&gt;"Resultado total",('FUENTE NO BORRAR'!I1205),""))</f>
        <v>0</v>
      </c>
    </row>
    <row r="1188" spans="1:9" x14ac:dyDescent="0.2">
      <c r="A1188" s="5" t="str">
        <f>IF('FUENTE NO BORRAR'!A1206="","",(IF('FUENTE NO BORRAR'!A1206&lt;&gt;"Resultado total",'FUENTE NO BORRAR'!A1206,"")))</f>
        <v/>
      </c>
      <c r="B1188" s="5" t="str">
        <f>IF('FUENTE NO BORRAR'!B1206="","",'FUENTE NO BORRAR'!B1206)</f>
        <v/>
      </c>
      <c r="C1188" s="5" t="str">
        <f>IF('FUENTE NO BORRAR'!C1206="","",'FUENTE NO BORRAR'!C1206)</f>
        <v/>
      </c>
      <c r="D1188" s="5" t="str">
        <f>IF('FUENTE NO BORRAR'!D1206="","",'FUENTE NO BORRAR'!D1206)</f>
        <v/>
      </c>
      <c r="E1188" s="5" t="str">
        <f>IF('FUENTE NO BORRAR'!E1206="","",'FUENTE NO BORRAR'!E1206)</f>
        <v/>
      </c>
      <c r="F1188" s="6">
        <f>IF('FUENTE NO BORRAR'!F1206="","",IF('FUENTE NO BORRAR'!$A1206&lt;&gt;"Resultado total",('FUENTE NO BORRAR'!F1206),""))</f>
        <v>0</v>
      </c>
      <c r="G1188" s="6">
        <f>IF('FUENTE NO BORRAR'!G1206="","",IF('FUENTE NO BORRAR'!$A1206&lt;&gt;"Resultado total",('FUENTE NO BORRAR'!G1206),""))</f>
        <v>0</v>
      </c>
      <c r="H1188" s="6">
        <f>IF('FUENTE NO BORRAR'!H1206="","",IF('FUENTE NO BORRAR'!$A1206&lt;&gt;"Resultado total",('FUENTE NO BORRAR'!H1206),""))</f>
        <v>0</v>
      </c>
      <c r="I1188" s="6">
        <f>IF('FUENTE NO BORRAR'!I1206="","",IF('FUENTE NO BORRAR'!$A1206&lt;&gt;"Resultado total",('FUENTE NO BORRAR'!I1206),""))</f>
        <v>0</v>
      </c>
    </row>
    <row r="1189" spans="1:9" x14ac:dyDescent="0.2">
      <c r="A1189" s="5" t="str">
        <f>IF('FUENTE NO BORRAR'!A1207="","",(IF('FUENTE NO BORRAR'!A1207&lt;&gt;"Resultado total",'FUENTE NO BORRAR'!A1207,"")))</f>
        <v/>
      </c>
      <c r="B1189" s="5" t="str">
        <f>IF('FUENTE NO BORRAR'!B1207="","",'FUENTE NO BORRAR'!B1207)</f>
        <v/>
      </c>
      <c r="C1189" s="5" t="str">
        <f>IF('FUENTE NO BORRAR'!C1207="","",'FUENTE NO BORRAR'!C1207)</f>
        <v>22013081E208</v>
      </c>
      <c r="D1189" s="5" t="str">
        <f>IF('FUENTE NO BORRAR'!D1207="","",'FUENTE NO BORRAR'!D1207)</f>
        <v>22013082E207</v>
      </c>
      <c r="E1189" s="5" t="str">
        <f>IF('FUENTE NO BORRAR'!E1207="","",'FUENTE NO BORRAR'!E1207)</f>
        <v/>
      </c>
      <c r="F1189" s="6">
        <f>IF('FUENTE NO BORRAR'!F1207="","",IF('FUENTE NO BORRAR'!$A1207&lt;&gt;"Resultado total",('FUENTE NO BORRAR'!F1207),""))</f>
        <v>2353543.7799999998</v>
      </c>
      <c r="G1189" s="6">
        <f>IF('FUENTE NO BORRAR'!G1207="","",IF('FUENTE NO BORRAR'!$A1207&lt;&gt;"Resultado total",('FUENTE NO BORRAR'!G1207),""))</f>
        <v>2353543.7799999998</v>
      </c>
      <c r="H1189" s="6">
        <f>IF('FUENTE NO BORRAR'!H1207="","",IF('FUENTE NO BORRAR'!$A1207&lt;&gt;"Resultado total",('FUENTE NO BORRAR'!H1207),""))</f>
        <v>2353543.7799999998</v>
      </c>
      <c r="I1189" s="6">
        <f>IF('FUENTE NO BORRAR'!I1207="","",IF('FUENTE NO BORRAR'!$A1207&lt;&gt;"Resultado total",('FUENTE NO BORRAR'!I1207),""))</f>
        <v>-1.0000000000000001E-9</v>
      </c>
    </row>
    <row r="1190" spans="1:9" x14ac:dyDescent="0.2">
      <c r="A1190" s="5" t="str">
        <f>IF('FUENTE NO BORRAR'!A1208="","",(IF('FUENTE NO BORRAR'!A1208&lt;&gt;"Resultado total",'FUENTE NO BORRAR'!A1208,"")))</f>
        <v/>
      </c>
      <c r="B1190" s="5" t="str">
        <f>IF('FUENTE NO BORRAR'!B1208="","",'FUENTE NO BORRAR'!B1208)</f>
        <v/>
      </c>
      <c r="C1190" s="5" t="str">
        <f>IF('FUENTE NO BORRAR'!C1208="","",'FUENTE NO BORRAR'!C1208)</f>
        <v/>
      </c>
      <c r="D1190" s="5" t="str">
        <f>IF('FUENTE NO BORRAR'!D1208="","",'FUENTE NO BORRAR'!D1208)</f>
        <v/>
      </c>
      <c r="E1190" s="5" t="str">
        <f>IF('FUENTE NO BORRAR'!E1208="","",'FUENTE NO BORRAR'!E1208)</f>
        <v/>
      </c>
      <c r="F1190" s="6">
        <f>IF('FUENTE NO BORRAR'!F1208="","",IF('FUENTE NO BORRAR'!$A1208&lt;&gt;"Resultado total",('FUENTE NO BORRAR'!F1208),""))</f>
        <v>1014676.91</v>
      </c>
      <c r="G1190" s="6">
        <f>IF('FUENTE NO BORRAR'!G1208="","",IF('FUENTE NO BORRAR'!$A1208&lt;&gt;"Resultado total",('FUENTE NO BORRAR'!G1208),""))</f>
        <v>1014676.91</v>
      </c>
      <c r="H1190" s="6">
        <f>IF('FUENTE NO BORRAR'!H1208="","",IF('FUENTE NO BORRAR'!$A1208&lt;&gt;"Resultado total",('FUENTE NO BORRAR'!H1208),""))</f>
        <v>1014676.91</v>
      </c>
      <c r="I1190" s="6">
        <f>IF('FUENTE NO BORRAR'!I1208="","",IF('FUENTE NO BORRAR'!$A1208&lt;&gt;"Resultado total",('FUENTE NO BORRAR'!I1208),""))</f>
        <v>0</v>
      </c>
    </row>
    <row r="1191" spans="1:9" x14ac:dyDescent="0.2">
      <c r="A1191" s="5" t="str">
        <f>IF('FUENTE NO BORRAR'!A1209="","",(IF('FUENTE NO BORRAR'!A1209&lt;&gt;"Resultado total",'FUENTE NO BORRAR'!A1209,"")))</f>
        <v/>
      </c>
      <c r="B1191" s="5" t="str">
        <f>IF('FUENTE NO BORRAR'!B1209="","",'FUENTE NO BORRAR'!B1209)</f>
        <v/>
      </c>
      <c r="C1191" s="5" t="str">
        <f>IF('FUENTE NO BORRAR'!C1209="","",'FUENTE NO BORRAR'!C1209)</f>
        <v/>
      </c>
      <c r="D1191" s="5" t="str">
        <f>IF('FUENTE NO BORRAR'!D1209="","",'FUENTE NO BORRAR'!D1209)</f>
        <v/>
      </c>
      <c r="E1191" s="5" t="str">
        <f>IF('FUENTE NO BORRAR'!E1209="","",'FUENTE NO BORRAR'!E1209)</f>
        <v/>
      </c>
      <c r="F1191" s="6">
        <f>IF('FUENTE NO BORRAR'!F1209="","",IF('FUENTE NO BORRAR'!$A1209&lt;&gt;"Resultado total",('FUENTE NO BORRAR'!F1209),""))</f>
        <v>240660.05</v>
      </c>
      <c r="G1191" s="6">
        <f>IF('FUENTE NO BORRAR'!G1209="","",IF('FUENTE NO BORRAR'!$A1209&lt;&gt;"Resultado total",('FUENTE NO BORRAR'!G1209),""))</f>
        <v>240660.05</v>
      </c>
      <c r="H1191" s="6">
        <f>IF('FUENTE NO BORRAR'!H1209="","",IF('FUENTE NO BORRAR'!$A1209&lt;&gt;"Resultado total",('FUENTE NO BORRAR'!H1209),""))</f>
        <v>240660.05</v>
      </c>
      <c r="I1191" s="6">
        <f>IF('FUENTE NO BORRAR'!I1209="","",IF('FUENTE NO BORRAR'!$A1209&lt;&gt;"Resultado total",('FUENTE NO BORRAR'!I1209),""))</f>
        <v>0</v>
      </c>
    </row>
    <row r="1192" spans="1:9" x14ac:dyDescent="0.2">
      <c r="A1192" s="5" t="str">
        <f>IF('FUENTE NO BORRAR'!A1210="","",(IF('FUENTE NO BORRAR'!A1210&lt;&gt;"Resultado total",'FUENTE NO BORRAR'!A1210,"")))</f>
        <v/>
      </c>
      <c r="B1192" s="5" t="str">
        <f>IF('FUENTE NO BORRAR'!B1210="","",'FUENTE NO BORRAR'!B1210)</f>
        <v/>
      </c>
      <c r="C1192" s="5" t="str">
        <f>IF('FUENTE NO BORRAR'!C1210="","",'FUENTE NO BORRAR'!C1210)</f>
        <v/>
      </c>
      <c r="D1192" s="5" t="str">
        <f>IF('FUENTE NO BORRAR'!D1210="","",'FUENTE NO BORRAR'!D1210)</f>
        <v/>
      </c>
      <c r="E1192" s="5" t="str">
        <f>IF('FUENTE NO BORRAR'!E1210="","",'FUENTE NO BORRAR'!E1210)</f>
        <v/>
      </c>
      <c r="F1192" s="6">
        <f>IF('FUENTE NO BORRAR'!F1210="","",IF('FUENTE NO BORRAR'!$A1210&lt;&gt;"Resultado total",('FUENTE NO BORRAR'!F1210),""))</f>
        <v>0</v>
      </c>
      <c r="G1192" s="6">
        <f>IF('FUENTE NO BORRAR'!G1210="","",IF('FUENTE NO BORRAR'!$A1210&lt;&gt;"Resultado total",('FUENTE NO BORRAR'!G1210),""))</f>
        <v>0</v>
      </c>
      <c r="H1192" s="6">
        <f>IF('FUENTE NO BORRAR'!H1210="","",IF('FUENTE NO BORRAR'!$A1210&lt;&gt;"Resultado total",('FUENTE NO BORRAR'!H1210),""))</f>
        <v>0</v>
      </c>
      <c r="I1192" s="6">
        <f>IF('FUENTE NO BORRAR'!I1210="","",IF('FUENTE NO BORRAR'!$A1210&lt;&gt;"Resultado total",('FUENTE NO BORRAR'!I1210),""))</f>
        <v>0</v>
      </c>
    </row>
    <row r="1193" spans="1:9" x14ac:dyDescent="0.2">
      <c r="A1193" s="5" t="str">
        <f>IF('FUENTE NO BORRAR'!A1211="","",(IF('FUENTE NO BORRAR'!A1211&lt;&gt;"Resultado total",'FUENTE NO BORRAR'!A1211,"")))</f>
        <v/>
      </c>
      <c r="B1193" s="5" t="str">
        <f>IF('FUENTE NO BORRAR'!B1211="","",'FUENTE NO BORRAR'!B1211)</f>
        <v/>
      </c>
      <c r="C1193" s="5" t="str">
        <f>IF('FUENTE NO BORRAR'!C1211="","",'FUENTE NO BORRAR'!C1211)</f>
        <v/>
      </c>
      <c r="D1193" s="5" t="str">
        <f>IF('FUENTE NO BORRAR'!D1211="","",'FUENTE NO BORRAR'!D1211)</f>
        <v/>
      </c>
      <c r="E1193" s="5" t="str">
        <f>IF('FUENTE NO BORRAR'!E1211="","",'FUENTE NO BORRAR'!E1211)</f>
        <v/>
      </c>
      <c r="F1193" s="6">
        <f>IF('FUENTE NO BORRAR'!F1211="","",IF('FUENTE NO BORRAR'!$A1211&lt;&gt;"Resultado total",('FUENTE NO BORRAR'!F1211),""))</f>
        <v>484291.43</v>
      </c>
      <c r="G1193" s="6">
        <f>IF('FUENTE NO BORRAR'!G1211="","",IF('FUENTE NO BORRAR'!$A1211&lt;&gt;"Resultado total",('FUENTE NO BORRAR'!G1211),""))</f>
        <v>484291.43</v>
      </c>
      <c r="H1193" s="6">
        <f>IF('FUENTE NO BORRAR'!H1211="","",IF('FUENTE NO BORRAR'!$A1211&lt;&gt;"Resultado total",('FUENTE NO BORRAR'!H1211),""))</f>
        <v>484291.43</v>
      </c>
      <c r="I1193" s="6">
        <f>IF('FUENTE NO BORRAR'!I1211="","",IF('FUENTE NO BORRAR'!$A1211&lt;&gt;"Resultado total",('FUENTE NO BORRAR'!I1211),""))</f>
        <v>0</v>
      </c>
    </row>
    <row r="1194" spans="1:9" x14ac:dyDescent="0.2">
      <c r="A1194" s="5" t="str">
        <f>IF('FUENTE NO BORRAR'!A1212="","",(IF('FUENTE NO BORRAR'!A1212&lt;&gt;"Resultado total",'FUENTE NO BORRAR'!A1212,"")))</f>
        <v/>
      </c>
      <c r="B1194" s="5" t="str">
        <f>IF('FUENTE NO BORRAR'!B1212="","",'FUENTE NO BORRAR'!B1212)</f>
        <v/>
      </c>
      <c r="C1194" s="5" t="str">
        <f>IF('FUENTE NO BORRAR'!C1212="","",'FUENTE NO BORRAR'!C1212)</f>
        <v/>
      </c>
      <c r="D1194" s="5" t="str">
        <f>IF('FUENTE NO BORRAR'!D1212="","",'FUENTE NO BORRAR'!D1212)</f>
        <v/>
      </c>
      <c r="E1194" s="5" t="str">
        <f>IF('FUENTE NO BORRAR'!E1212="","",'FUENTE NO BORRAR'!E1212)</f>
        <v/>
      </c>
      <c r="F1194" s="6">
        <f>IF('FUENTE NO BORRAR'!F1212="","",IF('FUENTE NO BORRAR'!$A1212&lt;&gt;"Resultado total",('FUENTE NO BORRAR'!F1212),""))</f>
        <v>84430.5</v>
      </c>
      <c r="G1194" s="6">
        <f>IF('FUENTE NO BORRAR'!G1212="","",IF('FUENTE NO BORRAR'!$A1212&lt;&gt;"Resultado total",('FUENTE NO BORRAR'!G1212),""))</f>
        <v>84430.5</v>
      </c>
      <c r="H1194" s="6">
        <f>IF('FUENTE NO BORRAR'!H1212="","",IF('FUENTE NO BORRAR'!$A1212&lt;&gt;"Resultado total",('FUENTE NO BORRAR'!H1212),""))</f>
        <v>84430.5</v>
      </c>
      <c r="I1194" s="6">
        <f>IF('FUENTE NO BORRAR'!I1212="","",IF('FUENTE NO BORRAR'!$A1212&lt;&gt;"Resultado total",('FUENTE NO BORRAR'!I1212),""))</f>
        <v>0</v>
      </c>
    </row>
    <row r="1195" spans="1:9" x14ac:dyDescent="0.2">
      <c r="A1195" s="5" t="str">
        <f>IF('FUENTE NO BORRAR'!A1213="","",(IF('FUENTE NO BORRAR'!A1213&lt;&gt;"Resultado total",'FUENTE NO BORRAR'!A1213,"")))</f>
        <v/>
      </c>
      <c r="B1195" s="5" t="str">
        <f>IF('FUENTE NO BORRAR'!B1213="","",'FUENTE NO BORRAR'!B1213)</f>
        <v/>
      </c>
      <c r="C1195" s="5" t="str">
        <f>IF('FUENTE NO BORRAR'!C1213="","",'FUENTE NO BORRAR'!C1213)</f>
        <v/>
      </c>
      <c r="D1195" s="5" t="str">
        <f>IF('FUENTE NO BORRAR'!D1213="","",'FUENTE NO BORRAR'!D1213)</f>
        <v/>
      </c>
      <c r="E1195" s="5" t="str">
        <f>IF('FUENTE NO BORRAR'!E1213="","",'FUENTE NO BORRAR'!E1213)</f>
        <v/>
      </c>
      <c r="F1195" s="6">
        <f>IF('FUENTE NO BORRAR'!F1213="","",IF('FUENTE NO BORRAR'!$A1213&lt;&gt;"Resultado total",('FUENTE NO BORRAR'!F1213),""))</f>
        <v>197973.16</v>
      </c>
      <c r="G1195" s="6">
        <f>IF('FUENTE NO BORRAR'!G1213="","",IF('FUENTE NO BORRAR'!$A1213&lt;&gt;"Resultado total",('FUENTE NO BORRAR'!G1213),""))</f>
        <v>197973.16</v>
      </c>
      <c r="H1195" s="6">
        <f>IF('FUENTE NO BORRAR'!H1213="","",IF('FUENTE NO BORRAR'!$A1213&lt;&gt;"Resultado total",('FUENTE NO BORRAR'!H1213),""))</f>
        <v>197973.16</v>
      </c>
      <c r="I1195" s="6">
        <f>IF('FUENTE NO BORRAR'!I1213="","",IF('FUENTE NO BORRAR'!$A1213&lt;&gt;"Resultado total",('FUENTE NO BORRAR'!I1213),""))</f>
        <v>0</v>
      </c>
    </row>
    <row r="1196" spans="1:9" x14ac:dyDescent="0.2">
      <c r="A1196" s="5" t="str">
        <f>IF('FUENTE NO BORRAR'!A1214="","",(IF('FUENTE NO BORRAR'!A1214&lt;&gt;"Resultado total",'FUENTE NO BORRAR'!A1214,"")))</f>
        <v/>
      </c>
      <c r="B1196" s="5" t="str">
        <f>IF('FUENTE NO BORRAR'!B1214="","",'FUENTE NO BORRAR'!B1214)</f>
        <v/>
      </c>
      <c r="C1196" s="5" t="str">
        <f>IF('FUENTE NO BORRAR'!C1214="","",'FUENTE NO BORRAR'!C1214)</f>
        <v/>
      </c>
      <c r="D1196" s="5" t="str">
        <f>IF('FUENTE NO BORRAR'!D1214="","",'FUENTE NO BORRAR'!D1214)</f>
        <v/>
      </c>
      <c r="E1196" s="5" t="str">
        <f>IF('FUENTE NO BORRAR'!E1214="","",'FUENTE NO BORRAR'!E1214)</f>
        <v/>
      </c>
      <c r="F1196" s="6">
        <f>IF('FUENTE NO BORRAR'!F1214="","",IF('FUENTE NO BORRAR'!$A1214&lt;&gt;"Resultado total",('FUENTE NO BORRAR'!F1214),""))</f>
        <v>754955.02</v>
      </c>
      <c r="G1196" s="6">
        <f>IF('FUENTE NO BORRAR'!G1214="","",IF('FUENTE NO BORRAR'!$A1214&lt;&gt;"Resultado total",('FUENTE NO BORRAR'!G1214),""))</f>
        <v>754955.02</v>
      </c>
      <c r="H1196" s="6">
        <f>IF('FUENTE NO BORRAR'!H1214="","",IF('FUENTE NO BORRAR'!$A1214&lt;&gt;"Resultado total",('FUENTE NO BORRAR'!H1214),""))</f>
        <v>754955.02</v>
      </c>
      <c r="I1196" s="6">
        <f>IF('FUENTE NO BORRAR'!I1214="","",IF('FUENTE NO BORRAR'!$A1214&lt;&gt;"Resultado total",('FUENTE NO BORRAR'!I1214),""))</f>
        <v>0</v>
      </c>
    </row>
    <row r="1197" spans="1:9" x14ac:dyDescent="0.2">
      <c r="A1197" s="5" t="str">
        <f>IF('FUENTE NO BORRAR'!A1215="","",(IF('FUENTE NO BORRAR'!A1215&lt;&gt;"Resultado total",'FUENTE NO BORRAR'!A1215,"")))</f>
        <v/>
      </c>
      <c r="B1197" s="5" t="str">
        <f>IF('FUENTE NO BORRAR'!B1215="","",'FUENTE NO BORRAR'!B1215)</f>
        <v/>
      </c>
      <c r="C1197" s="5" t="str">
        <f>IF('FUENTE NO BORRAR'!C1215="","",'FUENTE NO BORRAR'!C1215)</f>
        <v/>
      </c>
      <c r="D1197" s="5" t="str">
        <f>IF('FUENTE NO BORRAR'!D1215="","",'FUENTE NO BORRAR'!D1215)</f>
        <v/>
      </c>
      <c r="E1197" s="5" t="str">
        <f>IF('FUENTE NO BORRAR'!E1215="","",'FUENTE NO BORRAR'!E1215)</f>
        <v/>
      </c>
      <c r="F1197" s="6">
        <f>IF('FUENTE NO BORRAR'!F1215="","",IF('FUENTE NO BORRAR'!$A1215&lt;&gt;"Resultado total",('FUENTE NO BORRAR'!F1215),""))</f>
        <v>5319.47</v>
      </c>
      <c r="G1197" s="6">
        <f>IF('FUENTE NO BORRAR'!G1215="","",IF('FUENTE NO BORRAR'!$A1215&lt;&gt;"Resultado total",('FUENTE NO BORRAR'!G1215),""))</f>
        <v>5319.47</v>
      </c>
      <c r="H1197" s="6">
        <f>IF('FUENTE NO BORRAR'!H1215="","",IF('FUENTE NO BORRAR'!$A1215&lt;&gt;"Resultado total",('FUENTE NO BORRAR'!H1215),""))</f>
        <v>5319.47</v>
      </c>
      <c r="I1197" s="6">
        <f>IF('FUENTE NO BORRAR'!I1215="","",IF('FUENTE NO BORRAR'!$A1215&lt;&gt;"Resultado total",('FUENTE NO BORRAR'!I1215),""))</f>
        <v>0</v>
      </c>
    </row>
    <row r="1198" spans="1:9" x14ac:dyDescent="0.2">
      <c r="A1198" s="5" t="str">
        <f>IF('FUENTE NO BORRAR'!A1216="","",(IF('FUENTE NO BORRAR'!A1216&lt;&gt;"Resultado total",'FUENTE NO BORRAR'!A1216,"")))</f>
        <v/>
      </c>
      <c r="B1198" s="5" t="str">
        <f>IF('FUENTE NO BORRAR'!B1216="","",'FUENTE NO BORRAR'!B1216)</f>
        <v/>
      </c>
      <c r="C1198" s="5" t="str">
        <f>IF('FUENTE NO BORRAR'!C1216="","",'FUENTE NO BORRAR'!C1216)</f>
        <v/>
      </c>
      <c r="D1198" s="5" t="str">
        <f>IF('FUENTE NO BORRAR'!D1216="","",'FUENTE NO BORRAR'!D1216)</f>
        <v/>
      </c>
      <c r="E1198" s="5" t="str">
        <f>IF('FUENTE NO BORRAR'!E1216="","",'FUENTE NO BORRAR'!E1216)</f>
        <v/>
      </c>
      <c r="F1198" s="6">
        <f>IF('FUENTE NO BORRAR'!F1216="","",IF('FUENTE NO BORRAR'!$A1216&lt;&gt;"Resultado total",('FUENTE NO BORRAR'!F1216),""))</f>
        <v>341909.54</v>
      </c>
      <c r="G1198" s="6">
        <f>IF('FUENTE NO BORRAR'!G1216="","",IF('FUENTE NO BORRAR'!$A1216&lt;&gt;"Resultado total",('FUENTE NO BORRAR'!G1216),""))</f>
        <v>341909.54</v>
      </c>
      <c r="H1198" s="6">
        <f>IF('FUENTE NO BORRAR'!H1216="","",IF('FUENTE NO BORRAR'!$A1216&lt;&gt;"Resultado total",('FUENTE NO BORRAR'!H1216),""))</f>
        <v>347640.8</v>
      </c>
      <c r="I1198" s="6">
        <f>IF('FUENTE NO BORRAR'!I1216="","",IF('FUENTE NO BORRAR'!$A1216&lt;&gt;"Resultado total",('FUENTE NO BORRAR'!I1216),""))</f>
        <v>0</v>
      </c>
    </row>
    <row r="1199" spans="1:9" x14ac:dyDescent="0.2">
      <c r="A1199" s="5" t="str">
        <f>IF('FUENTE NO BORRAR'!A1217="","",(IF('FUENTE NO BORRAR'!A1217&lt;&gt;"Resultado total",'FUENTE NO BORRAR'!A1217,"")))</f>
        <v/>
      </c>
      <c r="B1199" s="5" t="str">
        <f>IF('FUENTE NO BORRAR'!B1217="","",'FUENTE NO BORRAR'!B1217)</f>
        <v/>
      </c>
      <c r="C1199" s="5" t="str">
        <f>IF('FUENTE NO BORRAR'!C1217="","",'FUENTE NO BORRAR'!C1217)</f>
        <v/>
      </c>
      <c r="D1199" s="5" t="str">
        <f>IF('FUENTE NO BORRAR'!D1217="","",'FUENTE NO BORRAR'!D1217)</f>
        <v/>
      </c>
      <c r="E1199" s="5" t="str">
        <f>IF('FUENTE NO BORRAR'!E1217="","",'FUENTE NO BORRAR'!E1217)</f>
        <v/>
      </c>
      <c r="F1199" s="6">
        <f>IF('FUENTE NO BORRAR'!F1217="","",IF('FUENTE NO BORRAR'!$A1217&lt;&gt;"Resultado total",('FUENTE NO BORRAR'!F1217),""))</f>
        <v>979774.48</v>
      </c>
      <c r="G1199" s="6">
        <f>IF('FUENTE NO BORRAR'!G1217="","",IF('FUENTE NO BORRAR'!$A1217&lt;&gt;"Resultado total",('FUENTE NO BORRAR'!G1217),""))</f>
        <v>979774.48</v>
      </c>
      <c r="H1199" s="6">
        <f>IF('FUENTE NO BORRAR'!H1217="","",IF('FUENTE NO BORRAR'!$A1217&lt;&gt;"Resultado total",('FUENTE NO BORRAR'!H1217),""))</f>
        <v>979774.48</v>
      </c>
      <c r="I1199" s="6">
        <f>IF('FUENTE NO BORRAR'!I1217="","",IF('FUENTE NO BORRAR'!$A1217&lt;&gt;"Resultado total",('FUENTE NO BORRAR'!I1217),""))</f>
        <v>0</v>
      </c>
    </row>
    <row r="1200" spans="1:9" x14ac:dyDescent="0.2">
      <c r="A1200" s="5" t="str">
        <f>IF('FUENTE NO BORRAR'!A1218="","",(IF('FUENTE NO BORRAR'!A1218&lt;&gt;"Resultado total",'FUENTE NO BORRAR'!A1218,"")))</f>
        <v/>
      </c>
      <c r="B1200" s="5" t="str">
        <f>IF('FUENTE NO BORRAR'!B1218="","",'FUENTE NO BORRAR'!B1218)</f>
        <v/>
      </c>
      <c r="C1200" s="5" t="str">
        <f>IF('FUENTE NO BORRAR'!C1218="","",'FUENTE NO BORRAR'!C1218)</f>
        <v/>
      </c>
      <c r="D1200" s="5" t="str">
        <f>IF('FUENTE NO BORRAR'!D1218="","",'FUENTE NO BORRAR'!D1218)</f>
        <v/>
      </c>
      <c r="E1200" s="5" t="str">
        <f>IF('FUENTE NO BORRAR'!E1218="","",'FUENTE NO BORRAR'!E1218)</f>
        <v/>
      </c>
      <c r="F1200" s="6">
        <f>IF('FUENTE NO BORRAR'!F1218="","",IF('FUENTE NO BORRAR'!$A1218&lt;&gt;"Resultado total",('FUENTE NO BORRAR'!F1218),""))</f>
        <v>658403.25</v>
      </c>
      <c r="G1200" s="6">
        <f>IF('FUENTE NO BORRAR'!G1218="","",IF('FUENTE NO BORRAR'!$A1218&lt;&gt;"Resultado total",('FUENTE NO BORRAR'!G1218),""))</f>
        <v>658403.25</v>
      </c>
      <c r="H1200" s="6">
        <f>IF('FUENTE NO BORRAR'!H1218="","",IF('FUENTE NO BORRAR'!$A1218&lt;&gt;"Resultado total",('FUENTE NO BORRAR'!H1218),""))</f>
        <v>658403.25</v>
      </c>
      <c r="I1200" s="6">
        <f>IF('FUENTE NO BORRAR'!I1218="","",IF('FUENTE NO BORRAR'!$A1218&lt;&gt;"Resultado total",('FUENTE NO BORRAR'!I1218),""))</f>
        <v>0</v>
      </c>
    </row>
    <row r="1201" spans="1:9" x14ac:dyDescent="0.2">
      <c r="A1201" s="5" t="str">
        <f>IF('FUENTE NO BORRAR'!A1219="","",(IF('FUENTE NO BORRAR'!A1219&lt;&gt;"Resultado total",'FUENTE NO BORRAR'!A1219,"")))</f>
        <v/>
      </c>
      <c r="B1201" s="5" t="str">
        <f>IF('FUENTE NO BORRAR'!B1219="","",'FUENTE NO BORRAR'!B1219)</f>
        <v/>
      </c>
      <c r="C1201" s="5" t="str">
        <f>IF('FUENTE NO BORRAR'!C1219="","",'FUENTE NO BORRAR'!C1219)</f>
        <v/>
      </c>
      <c r="D1201" s="5" t="str">
        <f>IF('FUENTE NO BORRAR'!D1219="","",'FUENTE NO BORRAR'!D1219)</f>
        <v/>
      </c>
      <c r="E1201" s="5" t="str">
        <f>IF('FUENTE NO BORRAR'!E1219="","",'FUENTE NO BORRAR'!E1219)</f>
        <v/>
      </c>
      <c r="F1201" s="6">
        <f>IF('FUENTE NO BORRAR'!F1219="","",IF('FUENTE NO BORRAR'!$A1219&lt;&gt;"Resultado total",('FUENTE NO BORRAR'!F1219),""))</f>
        <v>210936.29</v>
      </c>
      <c r="G1201" s="6">
        <f>IF('FUENTE NO BORRAR'!G1219="","",IF('FUENTE NO BORRAR'!$A1219&lt;&gt;"Resultado total",('FUENTE NO BORRAR'!G1219),""))</f>
        <v>210936.29</v>
      </c>
      <c r="H1201" s="6">
        <f>IF('FUENTE NO BORRAR'!H1219="","",IF('FUENTE NO BORRAR'!$A1219&lt;&gt;"Resultado total",('FUENTE NO BORRAR'!H1219),""))</f>
        <v>210936.29</v>
      </c>
      <c r="I1201" s="6">
        <f>IF('FUENTE NO BORRAR'!I1219="","",IF('FUENTE NO BORRAR'!$A1219&lt;&gt;"Resultado total",('FUENTE NO BORRAR'!I1219),""))</f>
        <v>0</v>
      </c>
    </row>
    <row r="1202" spans="1:9" x14ac:dyDescent="0.2">
      <c r="A1202" s="5" t="str">
        <f>IF('FUENTE NO BORRAR'!A1220="","",(IF('FUENTE NO BORRAR'!A1220&lt;&gt;"Resultado total",'FUENTE NO BORRAR'!A1220,"")))</f>
        <v/>
      </c>
      <c r="B1202" s="5" t="str">
        <f>IF('FUENTE NO BORRAR'!B1220="","",'FUENTE NO BORRAR'!B1220)</f>
        <v/>
      </c>
      <c r="C1202" s="5" t="str">
        <f>IF('FUENTE NO BORRAR'!C1220="","",'FUENTE NO BORRAR'!C1220)</f>
        <v/>
      </c>
      <c r="D1202" s="5" t="str">
        <f>IF('FUENTE NO BORRAR'!D1220="","",'FUENTE NO BORRAR'!D1220)</f>
        <v/>
      </c>
      <c r="E1202" s="5" t="str">
        <f>IF('FUENTE NO BORRAR'!E1220="","",'FUENTE NO BORRAR'!E1220)</f>
        <v/>
      </c>
      <c r="F1202" s="6">
        <f>IF('FUENTE NO BORRAR'!F1220="","",IF('FUENTE NO BORRAR'!$A1220&lt;&gt;"Resultado total",('FUENTE NO BORRAR'!F1220),""))</f>
        <v>99786.63</v>
      </c>
      <c r="G1202" s="6">
        <f>IF('FUENTE NO BORRAR'!G1220="","",IF('FUENTE NO BORRAR'!$A1220&lt;&gt;"Resultado total",('FUENTE NO BORRAR'!G1220),""))</f>
        <v>99786.63</v>
      </c>
      <c r="H1202" s="6">
        <f>IF('FUENTE NO BORRAR'!H1220="","",IF('FUENTE NO BORRAR'!$A1220&lt;&gt;"Resultado total",('FUENTE NO BORRAR'!H1220),""))</f>
        <v>99786.63</v>
      </c>
      <c r="I1202" s="6">
        <f>IF('FUENTE NO BORRAR'!I1220="","",IF('FUENTE NO BORRAR'!$A1220&lt;&gt;"Resultado total",('FUENTE NO BORRAR'!I1220),""))</f>
        <v>0</v>
      </c>
    </row>
    <row r="1203" spans="1:9" x14ac:dyDescent="0.2">
      <c r="A1203" s="5" t="str">
        <f>IF('FUENTE NO BORRAR'!A1221="","",(IF('FUENTE NO BORRAR'!A1221&lt;&gt;"Resultado total",'FUENTE NO BORRAR'!A1221,"")))</f>
        <v/>
      </c>
      <c r="B1203" s="5" t="str">
        <f>IF('FUENTE NO BORRAR'!B1221="","",'FUENTE NO BORRAR'!B1221)</f>
        <v/>
      </c>
      <c r="C1203" s="5" t="str">
        <f>IF('FUENTE NO BORRAR'!C1221="","",'FUENTE NO BORRAR'!C1221)</f>
        <v/>
      </c>
      <c r="D1203" s="5" t="str">
        <f>IF('FUENTE NO BORRAR'!D1221="","",'FUENTE NO BORRAR'!D1221)</f>
        <v/>
      </c>
      <c r="E1203" s="5" t="str">
        <f>IF('FUENTE NO BORRAR'!E1221="","",'FUENTE NO BORRAR'!E1221)</f>
        <v/>
      </c>
      <c r="F1203" s="6">
        <f>IF('FUENTE NO BORRAR'!F1221="","",IF('FUENTE NO BORRAR'!$A1221&lt;&gt;"Resultado total",('FUENTE NO BORRAR'!F1221),""))</f>
        <v>405301.92</v>
      </c>
      <c r="G1203" s="6">
        <f>IF('FUENTE NO BORRAR'!G1221="","",IF('FUENTE NO BORRAR'!$A1221&lt;&gt;"Resultado total",('FUENTE NO BORRAR'!G1221),""))</f>
        <v>405301.92</v>
      </c>
      <c r="H1203" s="6">
        <f>IF('FUENTE NO BORRAR'!H1221="","",IF('FUENTE NO BORRAR'!$A1221&lt;&gt;"Resultado total",('FUENTE NO BORRAR'!H1221),""))</f>
        <v>405301.92</v>
      </c>
      <c r="I1203" s="6">
        <f>IF('FUENTE NO BORRAR'!I1221="","",IF('FUENTE NO BORRAR'!$A1221&lt;&gt;"Resultado total",('FUENTE NO BORRAR'!I1221),""))</f>
        <v>0</v>
      </c>
    </row>
    <row r="1204" spans="1:9" x14ac:dyDescent="0.2">
      <c r="A1204" s="5" t="str">
        <f>IF('FUENTE NO BORRAR'!A1222="","",(IF('FUENTE NO BORRAR'!A1222&lt;&gt;"Resultado total",'FUENTE NO BORRAR'!A1222,"")))</f>
        <v/>
      </c>
      <c r="B1204" s="5" t="str">
        <f>IF('FUENTE NO BORRAR'!B1222="","",'FUENTE NO BORRAR'!B1222)</f>
        <v/>
      </c>
      <c r="C1204" s="5" t="str">
        <f>IF('FUENTE NO BORRAR'!C1222="","",'FUENTE NO BORRAR'!C1222)</f>
        <v/>
      </c>
      <c r="D1204" s="5" t="str">
        <f>IF('FUENTE NO BORRAR'!D1222="","",'FUENTE NO BORRAR'!D1222)</f>
        <v/>
      </c>
      <c r="E1204" s="5" t="str">
        <f>IF('FUENTE NO BORRAR'!E1222="","",'FUENTE NO BORRAR'!E1222)</f>
        <v/>
      </c>
      <c r="F1204" s="6">
        <f>IF('FUENTE NO BORRAR'!F1222="","",IF('FUENTE NO BORRAR'!$A1222&lt;&gt;"Resultado total",('FUENTE NO BORRAR'!F1222),""))</f>
        <v>1819539.57</v>
      </c>
      <c r="G1204" s="6">
        <f>IF('FUENTE NO BORRAR'!G1222="","",IF('FUENTE NO BORRAR'!$A1222&lt;&gt;"Resultado total",('FUENTE NO BORRAR'!G1222),""))</f>
        <v>1819539.57</v>
      </c>
      <c r="H1204" s="6">
        <f>IF('FUENTE NO BORRAR'!H1222="","",IF('FUENTE NO BORRAR'!$A1222&lt;&gt;"Resultado total",('FUENTE NO BORRAR'!H1222),""))</f>
        <v>1819539.57</v>
      </c>
      <c r="I1204" s="6">
        <f>IF('FUENTE NO BORRAR'!I1222="","",IF('FUENTE NO BORRAR'!$A1222&lt;&gt;"Resultado total",('FUENTE NO BORRAR'!I1222),""))</f>
        <v>0</v>
      </c>
    </row>
    <row r="1205" spans="1:9" x14ac:dyDescent="0.2">
      <c r="A1205" s="5" t="str">
        <f>IF('FUENTE NO BORRAR'!A1223="","",(IF('FUENTE NO BORRAR'!A1223&lt;&gt;"Resultado total",'FUENTE NO BORRAR'!A1223,"")))</f>
        <v/>
      </c>
      <c r="B1205" s="5" t="str">
        <f>IF('FUENTE NO BORRAR'!B1223="","",'FUENTE NO BORRAR'!B1223)</f>
        <v/>
      </c>
      <c r="C1205" s="5" t="str">
        <f>IF('FUENTE NO BORRAR'!C1223="","",'FUENTE NO BORRAR'!C1223)</f>
        <v/>
      </c>
      <c r="D1205" s="5" t="str">
        <f>IF('FUENTE NO BORRAR'!D1223="","",'FUENTE NO BORRAR'!D1223)</f>
        <v/>
      </c>
      <c r="E1205" s="5" t="str">
        <f>IF('FUENTE NO BORRAR'!E1223="","",'FUENTE NO BORRAR'!E1223)</f>
        <v/>
      </c>
      <c r="F1205" s="6">
        <f>IF('FUENTE NO BORRAR'!F1223="","",IF('FUENTE NO BORRAR'!$A1223&lt;&gt;"Resultado total",('FUENTE NO BORRAR'!F1223),""))</f>
        <v>788.8</v>
      </c>
      <c r="G1205" s="6">
        <f>IF('FUENTE NO BORRAR'!G1223="","",IF('FUENTE NO BORRAR'!$A1223&lt;&gt;"Resultado total",('FUENTE NO BORRAR'!G1223),""))</f>
        <v>788.8</v>
      </c>
      <c r="H1205" s="6">
        <f>IF('FUENTE NO BORRAR'!H1223="","",IF('FUENTE NO BORRAR'!$A1223&lt;&gt;"Resultado total",('FUENTE NO BORRAR'!H1223),""))</f>
        <v>788.8</v>
      </c>
      <c r="I1205" s="6">
        <f>IF('FUENTE NO BORRAR'!I1223="","",IF('FUENTE NO BORRAR'!$A1223&lt;&gt;"Resultado total",('FUENTE NO BORRAR'!I1223),""))</f>
        <v>0</v>
      </c>
    </row>
    <row r="1206" spans="1:9" x14ac:dyDescent="0.2">
      <c r="A1206" s="5" t="str">
        <f>IF('FUENTE NO BORRAR'!A1224="","",(IF('FUENTE NO BORRAR'!A1224&lt;&gt;"Resultado total",'FUENTE NO BORRAR'!A1224,"")))</f>
        <v/>
      </c>
      <c r="B1206" s="5" t="str">
        <f>IF('FUENTE NO BORRAR'!B1224="","",'FUENTE NO BORRAR'!B1224)</f>
        <v/>
      </c>
      <c r="C1206" s="5" t="str">
        <f>IF('FUENTE NO BORRAR'!C1224="","",'FUENTE NO BORRAR'!C1224)</f>
        <v/>
      </c>
      <c r="D1206" s="5" t="str">
        <f>IF('FUENTE NO BORRAR'!D1224="","",'FUENTE NO BORRAR'!D1224)</f>
        <v/>
      </c>
      <c r="E1206" s="5" t="str">
        <f>IF('FUENTE NO BORRAR'!E1224="","",'FUENTE NO BORRAR'!E1224)</f>
        <v/>
      </c>
      <c r="F1206" s="6">
        <f>IF('FUENTE NO BORRAR'!F1224="","",IF('FUENTE NO BORRAR'!$A1224&lt;&gt;"Resultado total",('FUENTE NO BORRAR'!F1224),""))</f>
        <v>0</v>
      </c>
      <c r="G1206" s="6">
        <f>IF('FUENTE NO BORRAR'!G1224="","",IF('FUENTE NO BORRAR'!$A1224&lt;&gt;"Resultado total",('FUENTE NO BORRAR'!G1224),""))</f>
        <v>0</v>
      </c>
      <c r="H1206" s="6">
        <f>IF('FUENTE NO BORRAR'!H1224="","",IF('FUENTE NO BORRAR'!$A1224&lt;&gt;"Resultado total",('FUENTE NO BORRAR'!H1224),""))</f>
        <v>0</v>
      </c>
      <c r="I1206" s="6">
        <f>IF('FUENTE NO BORRAR'!I1224="","",IF('FUENTE NO BORRAR'!$A1224&lt;&gt;"Resultado total",('FUENTE NO BORRAR'!I1224),""))</f>
        <v>0</v>
      </c>
    </row>
    <row r="1207" spans="1:9" x14ac:dyDescent="0.2">
      <c r="A1207" s="5" t="str">
        <f>IF('FUENTE NO BORRAR'!A1225="","",(IF('FUENTE NO BORRAR'!A1225&lt;&gt;"Resultado total",'FUENTE NO BORRAR'!A1225,"")))</f>
        <v/>
      </c>
      <c r="B1207" s="5" t="str">
        <f>IF('FUENTE NO BORRAR'!B1225="","",'FUENTE NO BORRAR'!B1225)</f>
        <v/>
      </c>
      <c r="C1207" s="5" t="str">
        <f>IF('FUENTE NO BORRAR'!C1225="","",'FUENTE NO BORRAR'!C1225)</f>
        <v/>
      </c>
      <c r="D1207" s="5" t="str">
        <f>IF('FUENTE NO BORRAR'!D1225="","",'FUENTE NO BORRAR'!D1225)</f>
        <v/>
      </c>
      <c r="E1207" s="5" t="str">
        <f>IF('FUENTE NO BORRAR'!E1225="","",'FUENTE NO BORRAR'!E1225)</f>
        <v/>
      </c>
      <c r="F1207" s="6">
        <f>IF('FUENTE NO BORRAR'!F1225="","",IF('FUENTE NO BORRAR'!$A1225&lt;&gt;"Resultado total",('FUENTE NO BORRAR'!F1225),""))</f>
        <v>7110</v>
      </c>
      <c r="G1207" s="6">
        <f>IF('FUENTE NO BORRAR'!G1225="","",IF('FUENTE NO BORRAR'!$A1225&lt;&gt;"Resultado total",('FUENTE NO BORRAR'!G1225),""))</f>
        <v>7110</v>
      </c>
      <c r="H1207" s="6">
        <f>IF('FUENTE NO BORRAR'!H1225="","",IF('FUENTE NO BORRAR'!$A1225&lt;&gt;"Resultado total",('FUENTE NO BORRAR'!H1225),""))</f>
        <v>5119</v>
      </c>
      <c r="I1207" s="6">
        <f>IF('FUENTE NO BORRAR'!I1225="","",IF('FUENTE NO BORRAR'!$A1225&lt;&gt;"Resultado total",('FUENTE NO BORRAR'!I1225),""))</f>
        <v>0</v>
      </c>
    </row>
    <row r="1208" spans="1:9" x14ac:dyDescent="0.2">
      <c r="A1208" s="5" t="str">
        <f>IF('FUENTE NO BORRAR'!A1226="","",(IF('FUENTE NO BORRAR'!A1226&lt;&gt;"Resultado total",'FUENTE NO BORRAR'!A1226,"")))</f>
        <v/>
      </c>
      <c r="B1208" s="5" t="str">
        <f>IF('FUENTE NO BORRAR'!B1226="","",'FUENTE NO BORRAR'!B1226)</f>
        <v/>
      </c>
      <c r="C1208" s="5" t="str">
        <f>IF('FUENTE NO BORRAR'!C1226="","",'FUENTE NO BORRAR'!C1226)</f>
        <v/>
      </c>
      <c r="D1208" s="5" t="str">
        <f>IF('FUENTE NO BORRAR'!D1226="","",'FUENTE NO BORRAR'!D1226)</f>
        <v/>
      </c>
      <c r="E1208" s="5" t="str">
        <f>IF('FUENTE NO BORRAR'!E1226="","",'FUENTE NO BORRAR'!E1226)</f>
        <v/>
      </c>
      <c r="F1208" s="6">
        <f>IF('FUENTE NO BORRAR'!F1226="","",IF('FUENTE NO BORRAR'!$A1226&lt;&gt;"Resultado total",('FUENTE NO BORRAR'!F1226),""))</f>
        <v>604.53</v>
      </c>
      <c r="G1208" s="6">
        <f>IF('FUENTE NO BORRAR'!G1226="","",IF('FUENTE NO BORRAR'!$A1226&lt;&gt;"Resultado total",('FUENTE NO BORRAR'!G1226),""))</f>
        <v>604.53</v>
      </c>
      <c r="H1208" s="6">
        <f>IF('FUENTE NO BORRAR'!H1226="","",IF('FUENTE NO BORRAR'!$A1226&lt;&gt;"Resultado total",('FUENTE NO BORRAR'!H1226),""))</f>
        <v>604.53</v>
      </c>
      <c r="I1208" s="6">
        <f>IF('FUENTE NO BORRAR'!I1226="","",IF('FUENTE NO BORRAR'!$A1226&lt;&gt;"Resultado total",('FUENTE NO BORRAR'!I1226),""))</f>
        <v>0</v>
      </c>
    </row>
    <row r="1209" spans="1:9" x14ac:dyDescent="0.2">
      <c r="A1209" s="5" t="str">
        <f>IF('FUENTE NO BORRAR'!A1227="","",(IF('FUENTE NO BORRAR'!A1227&lt;&gt;"Resultado total",'FUENTE NO BORRAR'!A1227,"")))</f>
        <v/>
      </c>
      <c r="B1209" s="5" t="str">
        <f>IF('FUENTE NO BORRAR'!B1227="","",'FUENTE NO BORRAR'!B1227)</f>
        <v/>
      </c>
      <c r="C1209" s="5" t="str">
        <f>IF('FUENTE NO BORRAR'!C1227="","",'FUENTE NO BORRAR'!C1227)</f>
        <v/>
      </c>
      <c r="D1209" s="5" t="str">
        <f>IF('FUENTE NO BORRAR'!D1227="","",'FUENTE NO BORRAR'!D1227)</f>
        <v/>
      </c>
      <c r="E1209" s="5" t="str">
        <f>IF('FUENTE NO BORRAR'!E1227="","",'FUENTE NO BORRAR'!E1227)</f>
        <v/>
      </c>
      <c r="F1209" s="6">
        <f>IF('FUENTE NO BORRAR'!F1227="","",IF('FUENTE NO BORRAR'!$A1227&lt;&gt;"Resultado total",('FUENTE NO BORRAR'!F1227),""))</f>
        <v>30865.42</v>
      </c>
      <c r="G1209" s="6">
        <f>IF('FUENTE NO BORRAR'!G1227="","",IF('FUENTE NO BORRAR'!$A1227&lt;&gt;"Resultado total",('FUENTE NO BORRAR'!G1227),""))</f>
        <v>30865.42</v>
      </c>
      <c r="H1209" s="6">
        <f>IF('FUENTE NO BORRAR'!H1227="","",IF('FUENTE NO BORRAR'!$A1227&lt;&gt;"Resultado total",('FUENTE NO BORRAR'!H1227),""))</f>
        <v>1429.12</v>
      </c>
      <c r="I1209" s="6">
        <f>IF('FUENTE NO BORRAR'!I1227="","",IF('FUENTE NO BORRAR'!$A1227&lt;&gt;"Resultado total",('FUENTE NO BORRAR'!I1227),""))</f>
        <v>0</v>
      </c>
    </row>
    <row r="1210" spans="1:9" x14ac:dyDescent="0.2">
      <c r="A1210" s="5" t="str">
        <f>IF('FUENTE NO BORRAR'!A1228="","",(IF('FUENTE NO BORRAR'!A1228&lt;&gt;"Resultado total",'FUENTE NO BORRAR'!A1228,"")))</f>
        <v/>
      </c>
      <c r="B1210" s="5" t="str">
        <f>IF('FUENTE NO BORRAR'!B1228="","",'FUENTE NO BORRAR'!B1228)</f>
        <v/>
      </c>
      <c r="C1210" s="5" t="str">
        <f>IF('FUENTE NO BORRAR'!C1228="","",'FUENTE NO BORRAR'!C1228)</f>
        <v/>
      </c>
      <c r="D1210" s="5" t="str">
        <f>IF('FUENTE NO BORRAR'!D1228="","",'FUENTE NO BORRAR'!D1228)</f>
        <v/>
      </c>
      <c r="E1210" s="5" t="str">
        <f>IF('FUENTE NO BORRAR'!E1228="","",'FUENTE NO BORRAR'!E1228)</f>
        <v/>
      </c>
      <c r="F1210" s="6">
        <f>IF('FUENTE NO BORRAR'!F1228="","",IF('FUENTE NO BORRAR'!$A1228&lt;&gt;"Resultado total",('FUENTE NO BORRAR'!F1228),""))</f>
        <v>1123.7</v>
      </c>
      <c r="G1210" s="6">
        <f>IF('FUENTE NO BORRAR'!G1228="","",IF('FUENTE NO BORRAR'!$A1228&lt;&gt;"Resultado total",('FUENTE NO BORRAR'!G1228),""))</f>
        <v>1123.7</v>
      </c>
      <c r="H1210" s="6">
        <f>IF('FUENTE NO BORRAR'!H1228="","",IF('FUENTE NO BORRAR'!$A1228&lt;&gt;"Resultado total",('FUENTE NO BORRAR'!H1228),""))</f>
        <v>1123.7</v>
      </c>
      <c r="I1210" s="6">
        <f>IF('FUENTE NO BORRAR'!I1228="","",IF('FUENTE NO BORRAR'!$A1228&lt;&gt;"Resultado total",('FUENTE NO BORRAR'!I1228),""))</f>
        <v>0</v>
      </c>
    </row>
    <row r="1211" spans="1:9" x14ac:dyDescent="0.2">
      <c r="A1211" s="5" t="str">
        <f>IF('FUENTE NO BORRAR'!A1229="","",(IF('FUENTE NO BORRAR'!A1229&lt;&gt;"Resultado total",'FUENTE NO BORRAR'!A1229,"")))</f>
        <v/>
      </c>
      <c r="B1211" s="5" t="str">
        <f>IF('FUENTE NO BORRAR'!B1229="","",'FUENTE NO BORRAR'!B1229)</f>
        <v/>
      </c>
      <c r="C1211" s="5" t="str">
        <f>IF('FUENTE NO BORRAR'!C1229="","",'FUENTE NO BORRAR'!C1229)</f>
        <v/>
      </c>
      <c r="D1211" s="5" t="str">
        <f>IF('FUENTE NO BORRAR'!D1229="","",'FUENTE NO BORRAR'!D1229)</f>
        <v/>
      </c>
      <c r="E1211" s="5" t="str">
        <f>IF('FUENTE NO BORRAR'!E1229="","",'FUENTE NO BORRAR'!E1229)</f>
        <v/>
      </c>
      <c r="F1211" s="6">
        <f>IF('FUENTE NO BORRAR'!F1229="","",IF('FUENTE NO BORRAR'!$A1229&lt;&gt;"Resultado total",('FUENTE NO BORRAR'!F1229),""))</f>
        <v>51083.38</v>
      </c>
      <c r="G1211" s="6">
        <f>IF('FUENTE NO BORRAR'!G1229="","",IF('FUENTE NO BORRAR'!$A1229&lt;&gt;"Resultado total",('FUENTE NO BORRAR'!G1229),""))</f>
        <v>51083.38</v>
      </c>
      <c r="H1211" s="6">
        <f>IF('FUENTE NO BORRAR'!H1229="","",IF('FUENTE NO BORRAR'!$A1229&lt;&gt;"Resultado total",('FUENTE NO BORRAR'!H1229),""))</f>
        <v>51083.38</v>
      </c>
      <c r="I1211" s="6">
        <f>IF('FUENTE NO BORRAR'!I1229="","",IF('FUENTE NO BORRAR'!$A1229&lt;&gt;"Resultado total",('FUENTE NO BORRAR'!I1229),""))</f>
        <v>0</v>
      </c>
    </row>
    <row r="1212" spans="1:9" x14ac:dyDescent="0.2">
      <c r="A1212" s="5" t="str">
        <f>IF('FUENTE NO BORRAR'!A1230="","",(IF('FUENTE NO BORRAR'!A1230&lt;&gt;"Resultado total",'FUENTE NO BORRAR'!A1230,"")))</f>
        <v/>
      </c>
      <c r="B1212" s="5" t="str">
        <f>IF('FUENTE NO BORRAR'!B1230="","",'FUENTE NO BORRAR'!B1230)</f>
        <v/>
      </c>
      <c r="C1212" s="5" t="str">
        <f>IF('FUENTE NO BORRAR'!C1230="","",'FUENTE NO BORRAR'!C1230)</f>
        <v/>
      </c>
      <c r="D1212" s="5" t="str">
        <f>IF('FUENTE NO BORRAR'!D1230="","",'FUENTE NO BORRAR'!D1230)</f>
        <v/>
      </c>
      <c r="E1212" s="5" t="str">
        <f>IF('FUENTE NO BORRAR'!E1230="","",'FUENTE NO BORRAR'!E1230)</f>
        <v/>
      </c>
      <c r="F1212" s="6">
        <f>IF('FUENTE NO BORRAR'!F1230="","",IF('FUENTE NO BORRAR'!$A1230&lt;&gt;"Resultado total",('FUENTE NO BORRAR'!F1230),""))</f>
        <v>759</v>
      </c>
      <c r="G1212" s="6">
        <f>IF('FUENTE NO BORRAR'!G1230="","",IF('FUENTE NO BORRAR'!$A1230&lt;&gt;"Resultado total",('FUENTE NO BORRAR'!G1230),""))</f>
        <v>759</v>
      </c>
      <c r="H1212" s="6">
        <f>IF('FUENTE NO BORRAR'!H1230="","",IF('FUENTE NO BORRAR'!$A1230&lt;&gt;"Resultado total",('FUENTE NO BORRAR'!H1230),""))</f>
        <v>0</v>
      </c>
      <c r="I1212" s="6">
        <f>IF('FUENTE NO BORRAR'!I1230="","",IF('FUENTE NO BORRAR'!$A1230&lt;&gt;"Resultado total",('FUENTE NO BORRAR'!I1230),""))</f>
        <v>0</v>
      </c>
    </row>
    <row r="1213" spans="1:9" x14ac:dyDescent="0.2">
      <c r="A1213" s="5" t="str">
        <f>IF('FUENTE NO BORRAR'!A1231="","",(IF('FUENTE NO BORRAR'!A1231&lt;&gt;"Resultado total",'FUENTE NO BORRAR'!A1231,"")))</f>
        <v/>
      </c>
      <c r="B1213" s="5" t="str">
        <f>IF('FUENTE NO BORRAR'!B1231="","",'FUENTE NO BORRAR'!B1231)</f>
        <v/>
      </c>
      <c r="C1213" s="5" t="str">
        <f>IF('FUENTE NO BORRAR'!C1231="","",'FUENTE NO BORRAR'!C1231)</f>
        <v>22013082E207</v>
      </c>
      <c r="D1213" s="5" t="str">
        <f>IF('FUENTE NO BORRAR'!D1231="","",'FUENTE NO BORRAR'!D1231)</f>
        <v>22013082E207</v>
      </c>
      <c r="E1213" s="5" t="str">
        <f>IF('FUENTE NO BORRAR'!E1231="","",'FUENTE NO BORRAR'!E1231)</f>
        <v/>
      </c>
      <c r="F1213" s="6">
        <f>IF('FUENTE NO BORRAR'!F1231="","",IF('FUENTE NO BORRAR'!$A1231&lt;&gt;"Resultado total",('FUENTE NO BORRAR'!F1231),""))</f>
        <v>139247.78</v>
      </c>
      <c r="G1213" s="6">
        <f>IF('FUENTE NO BORRAR'!G1231="","",IF('FUENTE NO BORRAR'!$A1231&lt;&gt;"Resultado total",('FUENTE NO BORRAR'!G1231),""))</f>
        <v>139247.78</v>
      </c>
      <c r="H1213" s="6">
        <f>IF('FUENTE NO BORRAR'!H1231="","",IF('FUENTE NO BORRAR'!$A1231&lt;&gt;"Resultado total",('FUENTE NO BORRAR'!H1231),""))</f>
        <v>139247.78</v>
      </c>
      <c r="I1213" s="6">
        <f>IF('FUENTE NO BORRAR'!I1231="","",IF('FUENTE NO BORRAR'!$A1231&lt;&gt;"Resultado total",('FUENTE NO BORRAR'!I1231),""))</f>
        <v>0</v>
      </c>
    </row>
    <row r="1214" spans="1:9" x14ac:dyDescent="0.2">
      <c r="A1214" s="5" t="str">
        <f>IF('FUENTE NO BORRAR'!A1232="","",(IF('FUENTE NO BORRAR'!A1232&lt;&gt;"Resultado total",'FUENTE NO BORRAR'!A1232,"")))</f>
        <v/>
      </c>
      <c r="B1214" s="5" t="str">
        <f>IF('FUENTE NO BORRAR'!B1232="","",'FUENTE NO BORRAR'!B1232)</f>
        <v/>
      </c>
      <c r="C1214" s="5" t="str">
        <f>IF('FUENTE NO BORRAR'!C1232="","",'FUENTE NO BORRAR'!C1232)</f>
        <v/>
      </c>
      <c r="D1214" s="5" t="str">
        <f>IF('FUENTE NO BORRAR'!D1232="","",'FUENTE NO BORRAR'!D1232)</f>
        <v/>
      </c>
      <c r="E1214" s="5" t="str">
        <f>IF('FUENTE NO BORRAR'!E1232="","",'FUENTE NO BORRAR'!E1232)</f>
        <v/>
      </c>
      <c r="F1214" s="6">
        <f>IF('FUENTE NO BORRAR'!F1232="","",IF('FUENTE NO BORRAR'!$A1232&lt;&gt;"Resultado total",('FUENTE NO BORRAR'!F1232),""))</f>
        <v>4404.7</v>
      </c>
      <c r="G1214" s="6">
        <f>IF('FUENTE NO BORRAR'!G1232="","",IF('FUENTE NO BORRAR'!$A1232&lt;&gt;"Resultado total",('FUENTE NO BORRAR'!G1232),""))</f>
        <v>4404.7</v>
      </c>
      <c r="H1214" s="6">
        <f>IF('FUENTE NO BORRAR'!H1232="","",IF('FUENTE NO BORRAR'!$A1232&lt;&gt;"Resultado total",('FUENTE NO BORRAR'!H1232),""))</f>
        <v>4404.7</v>
      </c>
      <c r="I1214" s="6">
        <f>IF('FUENTE NO BORRAR'!I1232="","",IF('FUENTE NO BORRAR'!$A1232&lt;&gt;"Resultado total",('FUENTE NO BORRAR'!I1232),""))</f>
        <v>0</v>
      </c>
    </row>
    <row r="1215" spans="1:9" x14ac:dyDescent="0.2">
      <c r="A1215" s="5" t="str">
        <f>IF('FUENTE NO BORRAR'!A1233="","",(IF('FUENTE NO BORRAR'!A1233&lt;&gt;"Resultado total",'FUENTE NO BORRAR'!A1233,"")))</f>
        <v/>
      </c>
      <c r="B1215" s="5" t="str">
        <f>IF('FUENTE NO BORRAR'!B1233="","",'FUENTE NO BORRAR'!B1233)</f>
        <v/>
      </c>
      <c r="C1215" s="5" t="str">
        <f>IF('FUENTE NO BORRAR'!C1233="","",'FUENTE NO BORRAR'!C1233)</f>
        <v/>
      </c>
      <c r="D1215" s="5" t="str">
        <f>IF('FUENTE NO BORRAR'!D1233="","",'FUENTE NO BORRAR'!D1233)</f>
        <v/>
      </c>
      <c r="E1215" s="5" t="str">
        <f>IF('FUENTE NO BORRAR'!E1233="","",'FUENTE NO BORRAR'!E1233)</f>
        <v/>
      </c>
      <c r="F1215" s="6">
        <f>IF('FUENTE NO BORRAR'!F1233="","",IF('FUENTE NO BORRAR'!$A1233&lt;&gt;"Resultado total",('FUENTE NO BORRAR'!F1233),""))</f>
        <v>27894.1</v>
      </c>
      <c r="G1215" s="6">
        <f>IF('FUENTE NO BORRAR'!G1233="","",IF('FUENTE NO BORRAR'!$A1233&lt;&gt;"Resultado total",('FUENTE NO BORRAR'!G1233),""))</f>
        <v>27894.1</v>
      </c>
      <c r="H1215" s="6">
        <f>IF('FUENTE NO BORRAR'!H1233="","",IF('FUENTE NO BORRAR'!$A1233&lt;&gt;"Resultado total",('FUENTE NO BORRAR'!H1233),""))</f>
        <v>27894.1</v>
      </c>
      <c r="I1215" s="6">
        <f>IF('FUENTE NO BORRAR'!I1233="","",IF('FUENTE NO BORRAR'!$A1233&lt;&gt;"Resultado total",('FUENTE NO BORRAR'!I1233),""))</f>
        <v>0</v>
      </c>
    </row>
    <row r="1216" spans="1:9" x14ac:dyDescent="0.2">
      <c r="A1216" s="5" t="str">
        <f>IF('FUENTE NO BORRAR'!A1234="","",(IF('FUENTE NO BORRAR'!A1234&lt;&gt;"Resultado total",'FUENTE NO BORRAR'!A1234,"")))</f>
        <v/>
      </c>
      <c r="B1216" s="5" t="str">
        <f>IF('FUENTE NO BORRAR'!B1234="","",'FUENTE NO BORRAR'!B1234)</f>
        <v/>
      </c>
      <c r="C1216" s="5" t="str">
        <f>IF('FUENTE NO BORRAR'!C1234="","",'FUENTE NO BORRAR'!C1234)</f>
        <v/>
      </c>
      <c r="D1216" s="5" t="str">
        <f>IF('FUENTE NO BORRAR'!D1234="","",'FUENTE NO BORRAR'!D1234)</f>
        <v/>
      </c>
      <c r="E1216" s="5" t="str">
        <f>IF('FUENTE NO BORRAR'!E1234="","",'FUENTE NO BORRAR'!E1234)</f>
        <v/>
      </c>
      <c r="F1216" s="6">
        <f>IF('FUENTE NO BORRAR'!F1234="","",IF('FUENTE NO BORRAR'!$A1234&lt;&gt;"Resultado total",('FUENTE NO BORRAR'!F1234),""))</f>
        <v>36248.58</v>
      </c>
      <c r="G1216" s="6">
        <f>IF('FUENTE NO BORRAR'!G1234="","",IF('FUENTE NO BORRAR'!$A1234&lt;&gt;"Resultado total",('FUENTE NO BORRAR'!G1234),""))</f>
        <v>36248.58</v>
      </c>
      <c r="H1216" s="6">
        <f>IF('FUENTE NO BORRAR'!H1234="","",IF('FUENTE NO BORRAR'!$A1234&lt;&gt;"Resultado total",('FUENTE NO BORRAR'!H1234),""))</f>
        <v>36715.22</v>
      </c>
      <c r="I1216" s="6">
        <f>IF('FUENTE NO BORRAR'!I1234="","",IF('FUENTE NO BORRAR'!$A1234&lt;&gt;"Resultado total",('FUENTE NO BORRAR'!I1234),""))</f>
        <v>0</v>
      </c>
    </row>
    <row r="1217" spans="1:9" x14ac:dyDescent="0.2">
      <c r="A1217" s="5" t="str">
        <f>IF('FUENTE NO BORRAR'!A1235="","",(IF('FUENTE NO BORRAR'!A1235&lt;&gt;"Resultado total",'FUENTE NO BORRAR'!A1235,"")))</f>
        <v/>
      </c>
      <c r="B1217" s="5" t="str">
        <f>IF('FUENTE NO BORRAR'!B1235="","",'FUENTE NO BORRAR'!B1235)</f>
        <v/>
      </c>
      <c r="C1217" s="5" t="str">
        <f>IF('FUENTE NO BORRAR'!C1235="","",'FUENTE NO BORRAR'!C1235)</f>
        <v/>
      </c>
      <c r="D1217" s="5" t="str">
        <f>IF('FUENTE NO BORRAR'!D1235="","",'FUENTE NO BORRAR'!D1235)</f>
        <v/>
      </c>
      <c r="E1217" s="5" t="str">
        <f>IF('FUENTE NO BORRAR'!E1235="","",'FUENTE NO BORRAR'!E1235)</f>
        <v/>
      </c>
      <c r="F1217" s="6">
        <f>IF('FUENTE NO BORRAR'!F1235="","",IF('FUENTE NO BORRAR'!$A1235&lt;&gt;"Resultado total",('FUENTE NO BORRAR'!F1235),""))</f>
        <v>109228.72</v>
      </c>
      <c r="G1217" s="6">
        <f>IF('FUENTE NO BORRAR'!G1235="","",IF('FUENTE NO BORRAR'!$A1235&lt;&gt;"Resultado total",('FUENTE NO BORRAR'!G1235),""))</f>
        <v>109228.72</v>
      </c>
      <c r="H1217" s="6">
        <f>IF('FUENTE NO BORRAR'!H1235="","",IF('FUENTE NO BORRAR'!$A1235&lt;&gt;"Resultado total",('FUENTE NO BORRAR'!H1235),""))</f>
        <v>109228.72</v>
      </c>
      <c r="I1217" s="6">
        <f>IF('FUENTE NO BORRAR'!I1235="","",IF('FUENTE NO BORRAR'!$A1235&lt;&gt;"Resultado total",('FUENTE NO BORRAR'!I1235),""))</f>
        <v>0</v>
      </c>
    </row>
    <row r="1218" spans="1:9" x14ac:dyDescent="0.2">
      <c r="A1218" s="5" t="str">
        <f>IF('FUENTE NO BORRAR'!A1236="","",(IF('FUENTE NO BORRAR'!A1236&lt;&gt;"Resultado total",'FUENTE NO BORRAR'!A1236,"")))</f>
        <v/>
      </c>
      <c r="B1218" s="5" t="str">
        <f>IF('FUENTE NO BORRAR'!B1236="","",'FUENTE NO BORRAR'!B1236)</f>
        <v/>
      </c>
      <c r="C1218" s="5" t="str">
        <f>IF('FUENTE NO BORRAR'!C1236="","",'FUENTE NO BORRAR'!C1236)</f>
        <v/>
      </c>
      <c r="D1218" s="5" t="str">
        <f>IF('FUENTE NO BORRAR'!D1236="","",'FUENTE NO BORRAR'!D1236)</f>
        <v/>
      </c>
      <c r="E1218" s="5" t="str">
        <f>IF('FUENTE NO BORRAR'!E1236="","",'FUENTE NO BORRAR'!E1236)</f>
        <v/>
      </c>
      <c r="F1218" s="6">
        <f>IF('FUENTE NO BORRAR'!F1236="","",IF('FUENTE NO BORRAR'!$A1236&lt;&gt;"Resultado total",('FUENTE NO BORRAR'!F1236),""))</f>
        <v>28855.599999999999</v>
      </c>
      <c r="G1218" s="6">
        <f>IF('FUENTE NO BORRAR'!G1236="","",IF('FUENTE NO BORRAR'!$A1236&lt;&gt;"Resultado total",('FUENTE NO BORRAR'!G1236),""))</f>
        <v>28855.599999999999</v>
      </c>
      <c r="H1218" s="6">
        <f>IF('FUENTE NO BORRAR'!H1236="","",IF('FUENTE NO BORRAR'!$A1236&lt;&gt;"Resultado total",('FUENTE NO BORRAR'!H1236),""))</f>
        <v>28855.599999999999</v>
      </c>
      <c r="I1218" s="6">
        <f>IF('FUENTE NO BORRAR'!I1236="","",IF('FUENTE NO BORRAR'!$A1236&lt;&gt;"Resultado total",('FUENTE NO BORRAR'!I1236),""))</f>
        <v>0</v>
      </c>
    </row>
    <row r="1219" spans="1:9" x14ac:dyDescent="0.2">
      <c r="A1219" s="5" t="str">
        <f>IF('FUENTE NO BORRAR'!A1237="","",(IF('FUENTE NO BORRAR'!A1237&lt;&gt;"Resultado total",'FUENTE NO BORRAR'!A1237,"")))</f>
        <v/>
      </c>
      <c r="B1219" s="5" t="str">
        <f>IF('FUENTE NO BORRAR'!B1237="","",'FUENTE NO BORRAR'!B1237)</f>
        <v/>
      </c>
      <c r="C1219" s="5" t="str">
        <f>IF('FUENTE NO BORRAR'!C1237="","",'FUENTE NO BORRAR'!C1237)</f>
        <v/>
      </c>
      <c r="D1219" s="5" t="str">
        <f>IF('FUENTE NO BORRAR'!D1237="","",'FUENTE NO BORRAR'!D1237)</f>
        <v/>
      </c>
      <c r="E1219" s="5" t="str">
        <f>IF('FUENTE NO BORRAR'!E1237="","",'FUENTE NO BORRAR'!E1237)</f>
        <v/>
      </c>
      <c r="F1219" s="6">
        <f>IF('FUENTE NO BORRAR'!F1237="","",IF('FUENTE NO BORRAR'!$A1237&lt;&gt;"Resultado total",('FUENTE NO BORRAR'!F1237),""))</f>
        <v>9709.23</v>
      </c>
      <c r="G1219" s="6">
        <f>IF('FUENTE NO BORRAR'!G1237="","",IF('FUENTE NO BORRAR'!$A1237&lt;&gt;"Resultado total",('FUENTE NO BORRAR'!G1237),""))</f>
        <v>9709.23</v>
      </c>
      <c r="H1219" s="6">
        <f>IF('FUENTE NO BORRAR'!H1237="","",IF('FUENTE NO BORRAR'!$A1237&lt;&gt;"Resultado total",('FUENTE NO BORRAR'!H1237),""))</f>
        <v>9709.23</v>
      </c>
      <c r="I1219" s="6">
        <f>IF('FUENTE NO BORRAR'!I1237="","",IF('FUENTE NO BORRAR'!$A1237&lt;&gt;"Resultado total",('FUENTE NO BORRAR'!I1237),""))</f>
        <v>0</v>
      </c>
    </row>
    <row r="1220" spans="1:9" x14ac:dyDescent="0.2">
      <c r="A1220" s="5" t="str">
        <f>IF('FUENTE NO BORRAR'!A1238="","",(IF('FUENTE NO BORRAR'!A1238&lt;&gt;"Resultado total",'FUENTE NO BORRAR'!A1238,"")))</f>
        <v/>
      </c>
      <c r="B1220" s="5" t="str">
        <f>IF('FUENTE NO BORRAR'!B1238="","",'FUENTE NO BORRAR'!B1238)</f>
        <v/>
      </c>
      <c r="C1220" s="5" t="str">
        <f>IF('FUENTE NO BORRAR'!C1238="","",'FUENTE NO BORRAR'!C1238)</f>
        <v/>
      </c>
      <c r="D1220" s="5" t="str">
        <f>IF('FUENTE NO BORRAR'!D1238="","",'FUENTE NO BORRAR'!D1238)</f>
        <v/>
      </c>
      <c r="E1220" s="5" t="str">
        <f>IF('FUENTE NO BORRAR'!E1238="","",'FUENTE NO BORRAR'!E1238)</f>
        <v/>
      </c>
      <c r="F1220" s="6">
        <f>IF('FUENTE NO BORRAR'!F1238="","",IF('FUENTE NO BORRAR'!$A1238&lt;&gt;"Resultado total",('FUENTE NO BORRAR'!F1238),""))</f>
        <v>4542.3100000000004</v>
      </c>
      <c r="G1220" s="6">
        <f>IF('FUENTE NO BORRAR'!G1238="","",IF('FUENTE NO BORRAR'!$A1238&lt;&gt;"Resultado total",('FUENTE NO BORRAR'!G1238),""))</f>
        <v>4542.3100000000004</v>
      </c>
      <c r="H1220" s="6">
        <f>IF('FUENTE NO BORRAR'!H1238="","",IF('FUENTE NO BORRAR'!$A1238&lt;&gt;"Resultado total",('FUENTE NO BORRAR'!H1238),""))</f>
        <v>4542.3100000000004</v>
      </c>
      <c r="I1220" s="6">
        <f>IF('FUENTE NO BORRAR'!I1238="","",IF('FUENTE NO BORRAR'!$A1238&lt;&gt;"Resultado total",('FUENTE NO BORRAR'!I1238),""))</f>
        <v>0</v>
      </c>
    </row>
    <row r="1221" spans="1:9" x14ac:dyDescent="0.2">
      <c r="A1221" s="5" t="str">
        <f>IF('FUENTE NO BORRAR'!A1239="","",(IF('FUENTE NO BORRAR'!A1239&lt;&gt;"Resultado total",'FUENTE NO BORRAR'!A1239,"")))</f>
        <v/>
      </c>
      <c r="B1221" s="5" t="str">
        <f>IF('FUENTE NO BORRAR'!B1239="","",'FUENTE NO BORRAR'!B1239)</f>
        <v/>
      </c>
      <c r="C1221" s="5" t="str">
        <f>IF('FUENTE NO BORRAR'!C1239="","",'FUENTE NO BORRAR'!C1239)</f>
        <v/>
      </c>
      <c r="D1221" s="5" t="str">
        <f>IF('FUENTE NO BORRAR'!D1239="","",'FUENTE NO BORRAR'!D1239)</f>
        <v/>
      </c>
      <c r="E1221" s="5" t="str">
        <f>IF('FUENTE NO BORRAR'!E1239="","",'FUENTE NO BORRAR'!E1239)</f>
        <v/>
      </c>
      <c r="F1221" s="6">
        <f>IF('FUENTE NO BORRAR'!F1239="","",IF('FUENTE NO BORRAR'!$A1239&lt;&gt;"Resultado total",('FUENTE NO BORRAR'!F1239),""))</f>
        <v>16710</v>
      </c>
      <c r="G1221" s="6">
        <f>IF('FUENTE NO BORRAR'!G1239="","",IF('FUENTE NO BORRAR'!$A1239&lt;&gt;"Resultado total",('FUENTE NO BORRAR'!G1239),""))</f>
        <v>16710</v>
      </c>
      <c r="H1221" s="6">
        <f>IF('FUENTE NO BORRAR'!H1239="","",IF('FUENTE NO BORRAR'!$A1239&lt;&gt;"Resultado total",('FUENTE NO BORRAR'!H1239),""))</f>
        <v>16710</v>
      </c>
      <c r="I1221" s="6">
        <f>IF('FUENTE NO BORRAR'!I1239="","",IF('FUENTE NO BORRAR'!$A1239&lt;&gt;"Resultado total",('FUENTE NO BORRAR'!I1239),""))</f>
        <v>0</v>
      </c>
    </row>
    <row r="1222" spans="1:9" x14ac:dyDescent="0.2">
      <c r="A1222" s="5" t="str">
        <f>IF('FUENTE NO BORRAR'!A1240="","",(IF('FUENTE NO BORRAR'!A1240&lt;&gt;"Resultado total",'FUENTE NO BORRAR'!A1240,"")))</f>
        <v/>
      </c>
      <c r="B1222" s="5" t="str">
        <f>IF('FUENTE NO BORRAR'!B1240="","",'FUENTE NO BORRAR'!B1240)</f>
        <v/>
      </c>
      <c r="C1222" s="5" t="str">
        <f>IF('FUENTE NO BORRAR'!C1240="","",'FUENTE NO BORRAR'!C1240)</f>
        <v/>
      </c>
      <c r="D1222" s="5" t="str">
        <f>IF('FUENTE NO BORRAR'!D1240="","",'FUENTE NO BORRAR'!D1240)</f>
        <v/>
      </c>
      <c r="E1222" s="5" t="str">
        <f>IF('FUENTE NO BORRAR'!E1240="","",'FUENTE NO BORRAR'!E1240)</f>
        <v/>
      </c>
      <c r="F1222" s="6">
        <f>IF('FUENTE NO BORRAR'!F1240="","",IF('FUENTE NO BORRAR'!$A1240&lt;&gt;"Resultado total",('FUENTE NO BORRAR'!F1240),""))</f>
        <v>40766.18</v>
      </c>
      <c r="G1222" s="6">
        <f>IF('FUENTE NO BORRAR'!G1240="","",IF('FUENTE NO BORRAR'!$A1240&lt;&gt;"Resultado total",('FUENTE NO BORRAR'!G1240),""))</f>
        <v>40766.18</v>
      </c>
      <c r="H1222" s="6">
        <f>IF('FUENTE NO BORRAR'!H1240="","",IF('FUENTE NO BORRAR'!$A1240&lt;&gt;"Resultado total",('FUENTE NO BORRAR'!H1240),""))</f>
        <v>40766.18</v>
      </c>
      <c r="I1222" s="6">
        <f>IF('FUENTE NO BORRAR'!I1240="","",IF('FUENTE NO BORRAR'!$A1240&lt;&gt;"Resultado total",('FUENTE NO BORRAR'!I1240),""))</f>
        <v>0</v>
      </c>
    </row>
    <row r="1223" spans="1:9" x14ac:dyDescent="0.2">
      <c r="A1223" s="5" t="str">
        <f>IF('FUENTE NO BORRAR'!A1241="","",(IF('FUENTE NO BORRAR'!A1241&lt;&gt;"Resultado total",'FUENTE NO BORRAR'!A1241,"")))</f>
        <v/>
      </c>
      <c r="B1223" s="5" t="str">
        <f>IF('FUENTE NO BORRAR'!B1241="","",'FUENTE NO BORRAR'!B1241)</f>
        <v/>
      </c>
      <c r="C1223" s="5" t="str">
        <f>IF('FUENTE NO BORRAR'!C1241="","",'FUENTE NO BORRAR'!C1241)</f>
        <v/>
      </c>
      <c r="D1223" s="5" t="str">
        <f>IF('FUENTE NO BORRAR'!D1241="","",'FUENTE NO BORRAR'!D1241)</f>
        <v/>
      </c>
      <c r="E1223" s="5" t="str">
        <f>IF('FUENTE NO BORRAR'!E1241="","",'FUENTE NO BORRAR'!E1241)</f>
        <v/>
      </c>
      <c r="F1223" s="6">
        <f>IF('FUENTE NO BORRAR'!F1241="","",IF('FUENTE NO BORRAR'!$A1241&lt;&gt;"Resultado total",('FUENTE NO BORRAR'!F1241),""))</f>
        <v>3536.84</v>
      </c>
      <c r="G1223" s="6">
        <f>IF('FUENTE NO BORRAR'!G1241="","",IF('FUENTE NO BORRAR'!$A1241&lt;&gt;"Resultado total",('FUENTE NO BORRAR'!G1241),""))</f>
        <v>3536.84</v>
      </c>
      <c r="H1223" s="6">
        <f>IF('FUENTE NO BORRAR'!H1241="","",IF('FUENTE NO BORRAR'!$A1241&lt;&gt;"Resultado total",('FUENTE NO BORRAR'!H1241),""))</f>
        <v>2456.88</v>
      </c>
      <c r="I1223" s="6">
        <f>IF('FUENTE NO BORRAR'!I1241="","",IF('FUENTE NO BORRAR'!$A1241&lt;&gt;"Resultado total",('FUENTE NO BORRAR'!I1241),""))</f>
        <v>0</v>
      </c>
    </row>
    <row r="1224" spans="1:9" x14ac:dyDescent="0.2">
      <c r="A1224" s="5" t="str">
        <f>IF('FUENTE NO BORRAR'!A1242="","",(IF('FUENTE NO BORRAR'!A1242&lt;&gt;"Resultado total",'FUENTE NO BORRAR'!A1242,"")))</f>
        <v/>
      </c>
      <c r="B1224" s="5" t="str">
        <f>IF('FUENTE NO BORRAR'!B1242="","",'FUENTE NO BORRAR'!B1242)</f>
        <v/>
      </c>
      <c r="C1224" s="5" t="str">
        <f>IF('FUENTE NO BORRAR'!C1242="","",'FUENTE NO BORRAR'!C1242)</f>
        <v/>
      </c>
      <c r="D1224" s="5" t="str">
        <f>IF('FUENTE NO BORRAR'!D1242="","",'FUENTE NO BORRAR'!D1242)</f>
        <v/>
      </c>
      <c r="E1224" s="5" t="str">
        <f>IF('FUENTE NO BORRAR'!E1242="","",'FUENTE NO BORRAR'!E1242)</f>
        <v/>
      </c>
      <c r="F1224" s="6">
        <f>IF('FUENTE NO BORRAR'!F1242="","",IF('FUENTE NO BORRAR'!$A1242&lt;&gt;"Resultado total",('FUENTE NO BORRAR'!F1242),""))</f>
        <v>3974</v>
      </c>
      <c r="G1224" s="6">
        <f>IF('FUENTE NO BORRAR'!G1242="","",IF('FUENTE NO BORRAR'!$A1242&lt;&gt;"Resultado total",('FUENTE NO BORRAR'!G1242),""))</f>
        <v>3974</v>
      </c>
      <c r="H1224" s="6">
        <f>IF('FUENTE NO BORRAR'!H1242="","",IF('FUENTE NO BORRAR'!$A1242&lt;&gt;"Resultado total",('FUENTE NO BORRAR'!H1242),""))</f>
        <v>1480</v>
      </c>
      <c r="I1224" s="6">
        <f>IF('FUENTE NO BORRAR'!I1242="","",IF('FUENTE NO BORRAR'!$A1242&lt;&gt;"Resultado total",('FUENTE NO BORRAR'!I1242),""))</f>
        <v>0</v>
      </c>
    </row>
    <row r="1225" spans="1:9" x14ac:dyDescent="0.2">
      <c r="A1225" s="5" t="str">
        <f>IF('FUENTE NO BORRAR'!A1243="","",(IF('FUENTE NO BORRAR'!A1243&lt;&gt;"Resultado total",'FUENTE NO BORRAR'!A1243,"")))</f>
        <v/>
      </c>
      <c r="B1225" s="5" t="str">
        <f>IF('FUENTE NO BORRAR'!B1243="","",'FUENTE NO BORRAR'!B1243)</f>
        <v/>
      </c>
      <c r="C1225" s="5" t="str">
        <f>IF('FUENTE NO BORRAR'!C1243="","",'FUENTE NO BORRAR'!C1243)</f>
        <v/>
      </c>
      <c r="D1225" s="5" t="str">
        <f>IF('FUENTE NO BORRAR'!D1243="","",'FUENTE NO BORRAR'!D1243)</f>
        <v/>
      </c>
      <c r="E1225" s="5" t="str">
        <f>IF('FUENTE NO BORRAR'!E1243="","",'FUENTE NO BORRAR'!E1243)</f>
        <v/>
      </c>
      <c r="F1225" s="6">
        <f>IF('FUENTE NO BORRAR'!F1243="","",IF('FUENTE NO BORRAR'!$A1243&lt;&gt;"Resultado total",('FUENTE NO BORRAR'!F1243),""))</f>
        <v>30758.639999999999</v>
      </c>
      <c r="G1225" s="6">
        <f>IF('FUENTE NO BORRAR'!G1243="","",IF('FUENTE NO BORRAR'!$A1243&lt;&gt;"Resultado total",('FUENTE NO BORRAR'!G1243),""))</f>
        <v>30758.639999999999</v>
      </c>
      <c r="H1225" s="6">
        <f>IF('FUENTE NO BORRAR'!H1243="","",IF('FUENTE NO BORRAR'!$A1243&lt;&gt;"Resultado total",('FUENTE NO BORRAR'!H1243),""))</f>
        <v>12326.24</v>
      </c>
      <c r="I1225" s="6">
        <f>IF('FUENTE NO BORRAR'!I1243="","",IF('FUENTE NO BORRAR'!$A1243&lt;&gt;"Resultado total",('FUENTE NO BORRAR'!I1243),""))</f>
        <v>0</v>
      </c>
    </row>
    <row r="1226" spans="1:9" x14ac:dyDescent="0.2">
      <c r="A1226" s="5" t="str">
        <f>IF('FUENTE NO BORRAR'!A1244="","",(IF('FUENTE NO BORRAR'!A1244&lt;&gt;"Resultado total",'FUENTE NO BORRAR'!A1244,"")))</f>
        <v/>
      </c>
      <c r="B1226" s="5" t="str">
        <f>IF('FUENTE NO BORRAR'!B1244="","",'FUENTE NO BORRAR'!B1244)</f>
        <v/>
      </c>
      <c r="C1226" s="5" t="str">
        <f>IF('FUENTE NO BORRAR'!C1244="","",'FUENTE NO BORRAR'!C1244)</f>
        <v/>
      </c>
      <c r="D1226" s="5" t="str">
        <f>IF('FUENTE NO BORRAR'!D1244="","",'FUENTE NO BORRAR'!D1244)</f>
        <v/>
      </c>
      <c r="E1226" s="5" t="str">
        <f>IF('FUENTE NO BORRAR'!E1244="","",'FUENTE NO BORRAR'!E1244)</f>
        <v/>
      </c>
      <c r="F1226" s="6">
        <f>IF('FUENTE NO BORRAR'!F1244="","",IF('FUENTE NO BORRAR'!$A1244&lt;&gt;"Resultado total",('FUENTE NO BORRAR'!F1244),""))</f>
        <v>235</v>
      </c>
      <c r="G1226" s="6">
        <f>IF('FUENTE NO BORRAR'!G1244="","",IF('FUENTE NO BORRAR'!$A1244&lt;&gt;"Resultado total",('FUENTE NO BORRAR'!G1244),""))</f>
        <v>235</v>
      </c>
      <c r="H1226" s="6">
        <f>IF('FUENTE NO BORRAR'!H1244="","",IF('FUENTE NO BORRAR'!$A1244&lt;&gt;"Resultado total",('FUENTE NO BORRAR'!H1244),""))</f>
        <v>235</v>
      </c>
      <c r="I1226" s="6">
        <f>IF('FUENTE NO BORRAR'!I1244="","",IF('FUENTE NO BORRAR'!$A1244&lt;&gt;"Resultado total",('FUENTE NO BORRAR'!I1244),""))</f>
        <v>0</v>
      </c>
    </row>
    <row r="1227" spans="1:9" x14ac:dyDescent="0.2">
      <c r="A1227" s="5" t="str">
        <f>IF('FUENTE NO BORRAR'!A1245="","",(IF('FUENTE NO BORRAR'!A1245&lt;&gt;"Resultado total",'FUENTE NO BORRAR'!A1245,"")))</f>
        <v/>
      </c>
      <c r="B1227" s="5" t="str">
        <f>IF('FUENTE NO BORRAR'!B1245="","",'FUENTE NO BORRAR'!B1245)</f>
        <v/>
      </c>
      <c r="C1227" s="5" t="str">
        <f>IF('FUENTE NO BORRAR'!C1245="","",'FUENTE NO BORRAR'!C1245)</f>
        <v/>
      </c>
      <c r="D1227" s="5" t="str">
        <f>IF('FUENTE NO BORRAR'!D1245="","",'FUENTE NO BORRAR'!D1245)</f>
        <v/>
      </c>
      <c r="E1227" s="5" t="str">
        <f>IF('FUENTE NO BORRAR'!E1245="","",'FUENTE NO BORRAR'!E1245)</f>
        <v/>
      </c>
      <c r="F1227" s="6">
        <f>IF('FUENTE NO BORRAR'!F1245="","",IF('FUENTE NO BORRAR'!$A1245&lt;&gt;"Resultado total",('FUENTE NO BORRAR'!F1245),""))</f>
        <v>487.2</v>
      </c>
      <c r="G1227" s="6">
        <f>IF('FUENTE NO BORRAR'!G1245="","",IF('FUENTE NO BORRAR'!$A1245&lt;&gt;"Resultado total",('FUENTE NO BORRAR'!G1245),""))</f>
        <v>487.2</v>
      </c>
      <c r="H1227" s="6">
        <f>IF('FUENTE NO BORRAR'!H1245="","",IF('FUENTE NO BORRAR'!$A1245&lt;&gt;"Resultado total",('FUENTE NO BORRAR'!H1245),""))</f>
        <v>0</v>
      </c>
      <c r="I1227" s="6">
        <f>IF('FUENTE NO BORRAR'!I1245="","",IF('FUENTE NO BORRAR'!$A1245&lt;&gt;"Resultado total",('FUENTE NO BORRAR'!I1245),""))</f>
        <v>0</v>
      </c>
    </row>
    <row r="1228" spans="1:9" x14ac:dyDescent="0.2">
      <c r="A1228" s="5" t="str">
        <f>IF('FUENTE NO BORRAR'!A1246="","",(IF('FUENTE NO BORRAR'!A1246&lt;&gt;"Resultado total",'FUENTE NO BORRAR'!A1246,"")))</f>
        <v/>
      </c>
      <c r="B1228" s="5" t="str">
        <f>IF('FUENTE NO BORRAR'!B1246="","",'FUENTE NO BORRAR'!B1246)</f>
        <v/>
      </c>
      <c r="C1228" s="5" t="str">
        <f>IF('FUENTE NO BORRAR'!C1246="","",'FUENTE NO BORRAR'!C1246)</f>
        <v/>
      </c>
      <c r="D1228" s="5" t="str">
        <f>IF('FUENTE NO BORRAR'!D1246="","",'FUENTE NO BORRAR'!D1246)</f>
        <v/>
      </c>
      <c r="E1228" s="5" t="str">
        <f>IF('FUENTE NO BORRAR'!E1246="","",'FUENTE NO BORRAR'!E1246)</f>
        <v/>
      </c>
      <c r="F1228" s="6">
        <f>IF('FUENTE NO BORRAR'!F1246="","",IF('FUENTE NO BORRAR'!$A1246&lt;&gt;"Resultado total",('FUENTE NO BORRAR'!F1246),""))</f>
        <v>0</v>
      </c>
      <c r="G1228" s="6">
        <f>IF('FUENTE NO BORRAR'!G1246="","",IF('FUENTE NO BORRAR'!$A1246&lt;&gt;"Resultado total",('FUENTE NO BORRAR'!G1246),""))</f>
        <v>0</v>
      </c>
      <c r="H1228" s="6">
        <f>IF('FUENTE NO BORRAR'!H1246="","",IF('FUENTE NO BORRAR'!$A1246&lt;&gt;"Resultado total",('FUENTE NO BORRAR'!H1246),""))</f>
        <v>0</v>
      </c>
      <c r="I1228" s="6">
        <f>IF('FUENTE NO BORRAR'!I1246="","",IF('FUENTE NO BORRAR'!$A1246&lt;&gt;"Resultado total",('FUENTE NO BORRAR'!I1246),""))</f>
        <v>0</v>
      </c>
    </row>
    <row r="1229" spans="1:9" x14ac:dyDescent="0.2">
      <c r="A1229" s="5" t="str">
        <f>IF('FUENTE NO BORRAR'!A1247="","",(IF('FUENTE NO BORRAR'!A1247&lt;&gt;"Resultado total",'FUENTE NO BORRAR'!A1247,"")))</f>
        <v/>
      </c>
      <c r="B1229" s="5" t="str">
        <f>IF('FUENTE NO BORRAR'!B1247="","",'FUENTE NO BORRAR'!B1247)</f>
        <v/>
      </c>
      <c r="C1229" s="5" t="str">
        <f>IF('FUENTE NO BORRAR'!C1247="","",'FUENTE NO BORRAR'!C1247)</f>
        <v/>
      </c>
      <c r="D1229" s="5" t="str">
        <f>IF('FUENTE NO BORRAR'!D1247="","",'FUENTE NO BORRAR'!D1247)</f>
        <v/>
      </c>
      <c r="E1229" s="5" t="str">
        <f>IF('FUENTE NO BORRAR'!E1247="","",'FUENTE NO BORRAR'!E1247)</f>
        <v/>
      </c>
      <c r="F1229" s="6">
        <f>IF('FUENTE NO BORRAR'!F1247="","",IF('FUENTE NO BORRAR'!$A1247&lt;&gt;"Resultado total",('FUENTE NO BORRAR'!F1247),""))</f>
        <v>19937.54</v>
      </c>
      <c r="G1229" s="6">
        <f>IF('FUENTE NO BORRAR'!G1247="","",IF('FUENTE NO BORRAR'!$A1247&lt;&gt;"Resultado total",('FUENTE NO BORRAR'!G1247),""))</f>
        <v>19937.54</v>
      </c>
      <c r="H1229" s="6">
        <f>IF('FUENTE NO BORRAR'!H1247="","",IF('FUENTE NO BORRAR'!$A1247&lt;&gt;"Resultado total",('FUENTE NO BORRAR'!H1247),""))</f>
        <v>10616.36</v>
      </c>
      <c r="I1229" s="6">
        <f>IF('FUENTE NO BORRAR'!I1247="","",IF('FUENTE NO BORRAR'!$A1247&lt;&gt;"Resultado total",('FUENTE NO BORRAR'!I1247),""))</f>
        <v>0</v>
      </c>
    </row>
    <row r="1230" spans="1:9" x14ac:dyDescent="0.2">
      <c r="A1230" s="5" t="str">
        <f>IF('FUENTE NO BORRAR'!A1248="","",(IF('FUENTE NO BORRAR'!A1248&lt;&gt;"Resultado total",'FUENTE NO BORRAR'!A1248,"")))</f>
        <v/>
      </c>
      <c r="B1230" s="5" t="str">
        <f>IF('FUENTE NO BORRAR'!B1248="","",'FUENTE NO BORRAR'!B1248)</f>
        <v/>
      </c>
      <c r="C1230" s="5" t="str">
        <f>IF('FUENTE NO BORRAR'!C1248="","",'FUENTE NO BORRAR'!C1248)</f>
        <v>22013082E208</v>
      </c>
      <c r="D1230" s="5" t="str">
        <f>IF('FUENTE NO BORRAR'!D1248="","",'FUENTE NO BORRAR'!D1248)</f>
        <v>22013082E208</v>
      </c>
      <c r="E1230" s="5" t="str">
        <f>IF('FUENTE NO BORRAR'!E1248="","",'FUENTE NO BORRAR'!E1248)</f>
        <v/>
      </c>
      <c r="F1230" s="6">
        <f>IF('FUENTE NO BORRAR'!F1248="","",IF('FUENTE NO BORRAR'!$A1248&lt;&gt;"Resultado total",('FUENTE NO BORRAR'!F1248),""))</f>
        <v>4762456.32</v>
      </c>
      <c r="G1230" s="6">
        <f>IF('FUENTE NO BORRAR'!G1248="","",IF('FUENTE NO BORRAR'!$A1248&lt;&gt;"Resultado total",('FUENTE NO BORRAR'!G1248),""))</f>
        <v>4762456.32</v>
      </c>
      <c r="H1230" s="6">
        <f>IF('FUENTE NO BORRAR'!H1248="","",IF('FUENTE NO BORRAR'!$A1248&lt;&gt;"Resultado total",('FUENTE NO BORRAR'!H1248),""))</f>
        <v>4762456.32</v>
      </c>
      <c r="I1230" s="6">
        <f>IF('FUENTE NO BORRAR'!I1248="","",IF('FUENTE NO BORRAR'!$A1248&lt;&gt;"Resultado total",('FUENTE NO BORRAR'!I1248),""))</f>
        <v>1.0000000000000001E-9</v>
      </c>
    </row>
    <row r="1231" spans="1:9" x14ac:dyDescent="0.2">
      <c r="A1231" s="5" t="str">
        <f>IF('FUENTE NO BORRAR'!A1249="","",(IF('FUENTE NO BORRAR'!A1249&lt;&gt;"Resultado total",'FUENTE NO BORRAR'!A1249,"")))</f>
        <v/>
      </c>
      <c r="B1231" s="5" t="str">
        <f>IF('FUENTE NO BORRAR'!B1249="","",'FUENTE NO BORRAR'!B1249)</f>
        <v/>
      </c>
      <c r="C1231" s="5" t="str">
        <f>IF('FUENTE NO BORRAR'!C1249="","",'FUENTE NO BORRAR'!C1249)</f>
        <v/>
      </c>
      <c r="D1231" s="5" t="str">
        <f>IF('FUENTE NO BORRAR'!D1249="","",'FUENTE NO BORRAR'!D1249)</f>
        <v/>
      </c>
      <c r="E1231" s="5" t="str">
        <f>IF('FUENTE NO BORRAR'!E1249="","",'FUENTE NO BORRAR'!E1249)</f>
        <v/>
      </c>
      <c r="F1231" s="6">
        <f>IF('FUENTE NO BORRAR'!F1249="","",IF('FUENTE NO BORRAR'!$A1249&lt;&gt;"Resultado total",('FUENTE NO BORRAR'!F1249),""))</f>
        <v>2404492.46</v>
      </c>
      <c r="G1231" s="6">
        <f>IF('FUENTE NO BORRAR'!G1249="","",IF('FUENTE NO BORRAR'!$A1249&lt;&gt;"Resultado total",('FUENTE NO BORRAR'!G1249),""))</f>
        <v>2404492.46</v>
      </c>
      <c r="H1231" s="6">
        <f>IF('FUENTE NO BORRAR'!H1249="","",IF('FUENTE NO BORRAR'!$A1249&lt;&gt;"Resultado total",('FUENTE NO BORRAR'!H1249),""))</f>
        <v>2404492.46</v>
      </c>
      <c r="I1231" s="6">
        <f>IF('FUENTE NO BORRAR'!I1249="","",IF('FUENTE NO BORRAR'!$A1249&lt;&gt;"Resultado total",('FUENTE NO BORRAR'!I1249),""))</f>
        <v>0</v>
      </c>
    </row>
    <row r="1232" spans="1:9" x14ac:dyDescent="0.2">
      <c r="A1232" s="5" t="str">
        <f>IF('FUENTE NO BORRAR'!A1250="","",(IF('FUENTE NO BORRAR'!A1250&lt;&gt;"Resultado total",'FUENTE NO BORRAR'!A1250,"")))</f>
        <v/>
      </c>
      <c r="B1232" s="5" t="str">
        <f>IF('FUENTE NO BORRAR'!B1250="","",'FUENTE NO BORRAR'!B1250)</f>
        <v/>
      </c>
      <c r="C1232" s="5" t="str">
        <f>IF('FUENTE NO BORRAR'!C1250="","",'FUENTE NO BORRAR'!C1250)</f>
        <v/>
      </c>
      <c r="D1232" s="5" t="str">
        <f>IF('FUENTE NO BORRAR'!D1250="","",'FUENTE NO BORRAR'!D1250)</f>
        <v/>
      </c>
      <c r="E1232" s="5" t="str">
        <f>IF('FUENTE NO BORRAR'!E1250="","",'FUENTE NO BORRAR'!E1250)</f>
        <v/>
      </c>
      <c r="F1232" s="6">
        <f>IF('FUENTE NO BORRAR'!F1250="","",IF('FUENTE NO BORRAR'!$A1250&lt;&gt;"Resultado total",('FUENTE NO BORRAR'!F1250),""))</f>
        <v>35235.18</v>
      </c>
      <c r="G1232" s="6">
        <f>IF('FUENTE NO BORRAR'!G1250="","",IF('FUENTE NO BORRAR'!$A1250&lt;&gt;"Resultado total",('FUENTE NO BORRAR'!G1250),""))</f>
        <v>35235.18</v>
      </c>
      <c r="H1232" s="6">
        <f>IF('FUENTE NO BORRAR'!H1250="","",IF('FUENTE NO BORRAR'!$A1250&lt;&gt;"Resultado total",('FUENTE NO BORRAR'!H1250),""))</f>
        <v>0</v>
      </c>
      <c r="I1232" s="6">
        <f>IF('FUENTE NO BORRAR'!I1250="","",IF('FUENTE NO BORRAR'!$A1250&lt;&gt;"Resultado total",('FUENTE NO BORRAR'!I1250),""))</f>
        <v>0</v>
      </c>
    </row>
    <row r="1233" spans="1:9" x14ac:dyDescent="0.2">
      <c r="A1233" s="5" t="str">
        <f>IF('FUENTE NO BORRAR'!A1251="","",(IF('FUENTE NO BORRAR'!A1251&lt;&gt;"Resultado total",'FUENTE NO BORRAR'!A1251,"")))</f>
        <v/>
      </c>
      <c r="B1233" s="5" t="str">
        <f>IF('FUENTE NO BORRAR'!B1251="","",'FUENTE NO BORRAR'!B1251)</f>
        <v/>
      </c>
      <c r="C1233" s="5" t="str">
        <f>IF('FUENTE NO BORRAR'!C1251="","",'FUENTE NO BORRAR'!C1251)</f>
        <v/>
      </c>
      <c r="D1233" s="5" t="str">
        <f>IF('FUENTE NO BORRAR'!D1251="","",'FUENTE NO BORRAR'!D1251)</f>
        <v/>
      </c>
      <c r="E1233" s="5" t="str">
        <f>IF('FUENTE NO BORRAR'!E1251="","",'FUENTE NO BORRAR'!E1251)</f>
        <v/>
      </c>
      <c r="F1233" s="6">
        <f>IF('FUENTE NO BORRAR'!F1251="","",IF('FUENTE NO BORRAR'!$A1251&lt;&gt;"Resultado total",('FUENTE NO BORRAR'!F1251),""))</f>
        <v>229200.05</v>
      </c>
      <c r="G1233" s="6">
        <f>IF('FUENTE NO BORRAR'!G1251="","",IF('FUENTE NO BORRAR'!$A1251&lt;&gt;"Resultado total",('FUENTE NO BORRAR'!G1251),""))</f>
        <v>229200.05</v>
      </c>
      <c r="H1233" s="6">
        <f>IF('FUENTE NO BORRAR'!H1251="","",IF('FUENTE NO BORRAR'!$A1251&lt;&gt;"Resultado total",('FUENTE NO BORRAR'!H1251),""))</f>
        <v>229200.05</v>
      </c>
      <c r="I1233" s="6">
        <f>IF('FUENTE NO BORRAR'!I1251="","",IF('FUENTE NO BORRAR'!$A1251&lt;&gt;"Resultado total",('FUENTE NO BORRAR'!I1251),""))</f>
        <v>0</v>
      </c>
    </row>
    <row r="1234" spans="1:9" x14ac:dyDescent="0.2">
      <c r="A1234" s="5" t="str">
        <f>IF('FUENTE NO BORRAR'!A1252="","",(IF('FUENTE NO BORRAR'!A1252&lt;&gt;"Resultado total",'FUENTE NO BORRAR'!A1252,"")))</f>
        <v/>
      </c>
      <c r="B1234" s="5" t="str">
        <f>IF('FUENTE NO BORRAR'!B1252="","",'FUENTE NO BORRAR'!B1252)</f>
        <v/>
      </c>
      <c r="C1234" s="5" t="str">
        <f>IF('FUENTE NO BORRAR'!C1252="","",'FUENTE NO BORRAR'!C1252)</f>
        <v/>
      </c>
      <c r="D1234" s="5" t="str">
        <f>IF('FUENTE NO BORRAR'!D1252="","",'FUENTE NO BORRAR'!D1252)</f>
        <v/>
      </c>
      <c r="E1234" s="5" t="str">
        <f>IF('FUENTE NO BORRAR'!E1252="","",'FUENTE NO BORRAR'!E1252)</f>
        <v/>
      </c>
      <c r="F1234" s="6">
        <f>IF('FUENTE NO BORRAR'!F1252="","",IF('FUENTE NO BORRAR'!$A1252&lt;&gt;"Resultado total",('FUENTE NO BORRAR'!F1252),""))</f>
        <v>915308.36</v>
      </c>
      <c r="G1234" s="6">
        <f>IF('FUENTE NO BORRAR'!G1252="","",IF('FUENTE NO BORRAR'!$A1252&lt;&gt;"Resultado total",('FUENTE NO BORRAR'!G1252),""))</f>
        <v>915308.36</v>
      </c>
      <c r="H1234" s="6">
        <f>IF('FUENTE NO BORRAR'!H1252="","",IF('FUENTE NO BORRAR'!$A1252&lt;&gt;"Resultado total",('FUENTE NO BORRAR'!H1252),""))</f>
        <v>868609.38</v>
      </c>
      <c r="I1234" s="6">
        <f>IF('FUENTE NO BORRAR'!I1252="","",IF('FUENTE NO BORRAR'!$A1252&lt;&gt;"Resultado total",('FUENTE NO BORRAR'!I1252),""))</f>
        <v>0</v>
      </c>
    </row>
    <row r="1235" spans="1:9" x14ac:dyDescent="0.2">
      <c r="A1235" s="5" t="str">
        <f>IF('FUENTE NO BORRAR'!A1253="","",(IF('FUENTE NO BORRAR'!A1253&lt;&gt;"Resultado total",'FUENTE NO BORRAR'!A1253,"")))</f>
        <v/>
      </c>
      <c r="B1235" s="5" t="str">
        <f>IF('FUENTE NO BORRAR'!B1253="","",'FUENTE NO BORRAR'!B1253)</f>
        <v/>
      </c>
      <c r="C1235" s="5" t="str">
        <f>IF('FUENTE NO BORRAR'!C1253="","",'FUENTE NO BORRAR'!C1253)</f>
        <v/>
      </c>
      <c r="D1235" s="5" t="str">
        <f>IF('FUENTE NO BORRAR'!D1253="","",'FUENTE NO BORRAR'!D1253)</f>
        <v/>
      </c>
      <c r="E1235" s="5" t="str">
        <f>IF('FUENTE NO BORRAR'!E1253="","",'FUENTE NO BORRAR'!E1253)</f>
        <v/>
      </c>
      <c r="F1235" s="6">
        <f>IF('FUENTE NO BORRAR'!F1253="","",IF('FUENTE NO BORRAR'!$A1253&lt;&gt;"Resultado total",('FUENTE NO BORRAR'!F1253),""))</f>
        <v>519191.6</v>
      </c>
      <c r="G1235" s="6">
        <f>IF('FUENTE NO BORRAR'!G1253="","",IF('FUENTE NO BORRAR'!$A1253&lt;&gt;"Resultado total",('FUENTE NO BORRAR'!G1253),""))</f>
        <v>519191.6</v>
      </c>
      <c r="H1235" s="6">
        <f>IF('FUENTE NO BORRAR'!H1253="","",IF('FUENTE NO BORRAR'!$A1253&lt;&gt;"Resultado total",('FUENTE NO BORRAR'!H1253),""))</f>
        <v>519191.6</v>
      </c>
      <c r="I1235" s="6">
        <f>IF('FUENTE NO BORRAR'!I1253="","",IF('FUENTE NO BORRAR'!$A1253&lt;&gt;"Resultado total",('FUENTE NO BORRAR'!I1253),""))</f>
        <v>0</v>
      </c>
    </row>
    <row r="1236" spans="1:9" x14ac:dyDescent="0.2">
      <c r="A1236" s="5" t="str">
        <f>IF('FUENTE NO BORRAR'!A1254="","",(IF('FUENTE NO BORRAR'!A1254&lt;&gt;"Resultado total",'FUENTE NO BORRAR'!A1254,"")))</f>
        <v/>
      </c>
      <c r="B1236" s="5" t="str">
        <f>IF('FUENTE NO BORRAR'!B1254="","",'FUENTE NO BORRAR'!B1254)</f>
        <v/>
      </c>
      <c r="C1236" s="5" t="str">
        <f>IF('FUENTE NO BORRAR'!C1254="","",'FUENTE NO BORRAR'!C1254)</f>
        <v/>
      </c>
      <c r="D1236" s="5" t="str">
        <f>IF('FUENTE NO BORRAR'!D1254="","",'FUENTE NO BORRAR'!D1254)</f>
        <v/>
      </c>
      <c r="E1236" s="5" t="str">
        <f>IF('FUENTE NO BORRAR'!E1254="","",'FUENTE NO BORRAR'!E1254)</f>
        <v/>
      </c>
      <c r="F1236" s="6">
        <f>IF('FUENTE NO BORRAR'!F1254="","",IF('FUENTE NO BORRAR'!$A1254&lt;&gt;"Resultado total",('FUENTE NO BORRAR'!F1254),""))</f>
        <v>154880.26</v>
      </c>
      <c r="G1236" s="6">
        <f>IF('FUENTE NO BORRAR'!G1254="","",IF('FUENTE NO BORRAR'!$A1254&lt;&gt;"Resultado total",('FUENTE NO BORRAR'!G1254),""))</f>
        <v>154880.26</v>
      </c>
      <c r="H1236" s="6">
        <f>IF('FUENTE NO BORRAR'!H1254="","",IF('FUENTE NO BORRAR'!$A1254&lt;&gt;"Resultado total",('FUENTE NO BORRAR'!H1254),""))</f>
        <v>154880.26</v>
      </c>
      <c r="I1236" s="6">
        <f>IF('FUENTE NO BORRAR'!I1254="","",IF('FUENTE NO BORRAR'!$A1254&lt;&gt;"Resultado total",('FUENTE NO BORRAR'!I1254),""))</f>
        <v>0</v>
      </c>
    </row>
    <row r="1237" spans="1:9" x14ac:dyDescent="0.2">
      <c r="A1237" s="5" t="str">
        <f>IF('FUENTE NO BORRAR'!A1255="","",(IF('FUENTE NO BORRAR'!A1255&lt;&gt;"Resultado total",'FUENTE NO BORRAR'!A1255,"")))</f>
        <v/>
      </c>
      <c r="B1237" s="5" t="str">
        <f>IF('FUENTE NO BORRAR'!B1255="","",'FUENTE NO BORRAR'!B1255)</f>
        <v/>
      </c>
      <c r="C1237" s="5" t="str">
        <f>IF('FUENTE NO BORRAR'!C1255="","",'FUENTE NO BORRAR'!C1255)</f>
        <v/>
      </c>
      <c r="D1237" s="5" t="str">
        <f>IF('FUENTE NO BORRAR'!D1255="","",'FUENTE NO BORRAR'!D1255)</f>
        <v/>
      </c>
      <c r="E1237" s="5" t="str">
        <f>IF('FUENTE NO BORRAR'!E1255="","",'FUENTE NO BORRAR'!E1255)</f>
        <v/>
      </c>
      <c r="F1237" s="6">
        <f>IF('FUENTE NO BORRAR'!F1255="","",IF('FUENTE NO BORRAR'!$A1255&lt;&gt;"Resultado total",('FUENTE NO BORRAR'!F1255),""))</f>
        <v>353733.95</v>
      </c>
      <c r="G1237" s="6">
        <f>IF('FUENTE NO BORRAR'!G1255="","",IF('FUENTE NO BORRAR'!$A1255&lt;&gt;"Resultado total",('FUENTE NO BORRAR'!G1255),""))</f>
        <v>353733.95</v>
      </c>
      <c r="H1237" s="6">
        <f>IF('FUENTE NO BORRAR'!H1255="","",IF('FUENTE NO BORRAR'!$A1255&lt;&gt;"Resultado total",('FUENTE NO BORRAR'!H1255),""))</f>
        <v>353733.95</v>
      </c>
      <c r="I1237" s="6">
        <f>IF('FUENTE NO BORRAR'!I1255="","",IF('FUENTE NO BORRAR'!$A1255&lt;&gt;"Resultado total",('FUENTE NO BORRAR'!I1255),""))</f>
        <v>0</v>
      </c>
    </row>
    <row r="1238" spans="1:9" x14ac:dyDescent="0.2">
      <c r="A1238" s="5" t="str">
        <f>IF('FUENTE NO BORRAR'!A1256="","",(IF('FUENTE NO BORRAR'!A1256&lt;&gt;"Resultado total",'FUENTE NO BORRAR'!A1256,"")))</f>
        <v/>
      </c>
      <c r="B1238" s="5" t="str">
        <f>IF('FUENTE NO BORRAR'!B1256="","",'FUENTE NO BORRAR'!B1256)</f>
        <v/>
      </c>
      <c r="C1238" s="5" t="str">
        <f>IF('FUENTE NO BORRAR'!C1256="","",'FUENTE NO BORRAR'!C1256)</f>
        <v/>
      </c>
      <c r="D1238" s="5" t="str">
        <f>IF('FUENTE NO BORRAR'!D1256="","",'FUENTE NO BORRAR'!D1256)</f>
        <v/>
      </c>
      <c r="E1238" s="5" t="str">
        <f>IF('FUENTE NO BORRAR'!E1256="","",'FUENTE NO BORRAR'!E1256)</f>
        <v/>
      </c>
      <c r="F1238" s="6">
        <f>IF('FUENTE NO BORRAR'!F1256="","",IF('FUENTE NO BORRAR'!$A1256&lt;&gt;"Resultado total",('FUENTE NO BORRAR'!F1256),""))</f>
        <v>1618272.69</v>
      </c>
      <c r="G1238" s="6">
        <f>IF('FUENTE NO BORRAR'!G1256="","",IF('FUENTE NO BORRAR'!$A1256&lt;&gt;"Resultado total",('FUENTE NO BORRAR'!G1256),""))</f>
        <v>1618272.69</v>
      </c>
      <c r="H1238" s="6">
        <f>IF('FUENTE NO BORRAR'!H1256="","",IF('FUENTE NO BORRAR'!$A1256&lt;&gt;"Resultado total",('FUENTE NO BORRAR'!H1256),""))</f>
        <v>1618272.69</v>
      </c>
      <c r="I1238" s="6">
        <f>IF('FUENTE NO BORRAR'!I1256="","",IF('FUENTE NO BORRAR'!$A1256&lt;&gt;"Resultado total",('FUENTE NO BORRAR'!I1256),""))</f>
        <v>0</v>
      </c>
    </row>
    <row r="1239" spans="1:9" x14ac:dyDescent="0.2">
      <c r="A1239" s="5" t="str">
        <f>IF('FUENTE NO BORRAR'!A1257="","",(IF('FUENTE NO BORRAR'!A1257&lt;&gt;"Resultado total",'FUENTE NO BORRAR'!A1257,"")))</f>
        <v/>
      </c>
      <c r="B1239" s="5" t="str">
        <f>IF('FUENTE NO BORRAR'!B1257="","",'FUENTE NO BORRAR'!B1257)</f>
        <v/>
      </c>
      <c r="C1239" s="5" t="str">
        <f>IF('FUENTE NO BORRAR'!C1257="","",'FUENTE NO BORRAR'!C1257)</f>
        <v/>
      </c>
      <c r="D1239" s="5" t="str">
        <f>IF('FUENTE NO BORRAR'!D1257="","",'FUENTE NO BORRAR'!D1257)</f>
        <v/>
      </c>
      <c r="E1239" s="5" t="str">
        <f>IF('FUENTE NO BORRAR'!E1257="","",'FUENTE NO BORRAR'!E1257)</f>
        <v/>
      </c>
      <c r="F1239" s="6">
        <f>IF('FUENTE NO BORRAR'!F1257="","",IF('FUENTE NO BORRAR'!$A1257&lt;&gt;"Resultado total",('FUENTE NO BORRAR'!F1257),""))</f>
        <v>2124051.91</v>
      </c>
      <c r="G1239" s="6">
        <f>IF('FUENTE NO BORRAR'!G1257="","",IF('FUENTE NO BORRAR'!$A1257&lt;&gt;"Resultado total",('FUENTE NO BORRAR'!G1257),""))</f>
        <v>2124051.91</v>
      </c>
      <c r="H1239" s="6">
        <f>IF('FUENTE NO BORRAR'!H1257="","",IF('FUENTE NO BORRAR'!$A1257&lt;&gt;"Resultado total",('FUENTE NO BORRAR'!H1257),""))</f>
        <v>2124051.91</v>
      </c>
      <c r="I1239" s="6">
        <f>IF('FUENTE NO BORRAR'!I1257="","",IF('FUENTE NO BORRAR'!$A1257&lt;&gt;"Resultado total",('FUENTE NO BORRAR'!I1257),""))</f>
        <v>0</v>
      </c>
    </row>
    <row r="1240" spans="1:9" x14ac:dyDescent="0.2">
      <c r="A1240" s="5" t="str">
        <f>IF('FUENTE NO BORRAR'!A1258="","",(IF('FUENTE NO BORRAR'!A1258&lt;&gt;"Resultado total",'FUENTE NO BORRAR'!A1258,"")))</f>
        <v/>
      </c>
      <c r="B1240" s="5" t="str">
        <f>IF('FUENTE NO BORRAR'!B1258="","",'FUENTE NO BORRAR'!B1258)</f>
        <v/>
      </c>
      <c r="C1240" s="5" t="str">
        <f>IF('FUENTE NO BORRAR'!C1258="","",'FUENTE NO BORRAR'!C1258)</f>
        <v/>
      </c>
      <c r="D1240" s="5" t="str">
        <f>IF('FUENTE NO BORRAR'!D1258="","",'FUENTE NO BORRAR'!D1258)</f>
        <v/>
      </c>
      <c r="E1240" s="5" t="str">
        <f>IF('FUENTE NO BORRAR'!E1258="","",'FUENTE NO BORRAR'!E1258)</f>
        <v/>
      </c>
      <c r="F1240" s="6">
        <f>IF('FUENTE NO BORRAR'!F1258="","",IF('FUENTE NO BORRAR'!$A1258&lt;&gt;"Resultado total",('FUENTE NO BORRAR'!F1258),""))</f>
        <v>751716.7</v>
      </c>
      <c r="G1240" s="6">
        <f>IF('FUENTE NO BORRAR'!G1258="","",IF('FUENTE NO BORRAR'!$A1258&lt;&gt;"Resultado total",('FUENTE NO BORRAR'!G1258),""))</f>
        <v>751716.7</v>
      </c>
      <c r="H1240" s="6">
        <f>IF('FUENTE NO BORRAR'!H1258="","",IF('FUENTE NO BORRAR'!$A1258&lt;&gt;"Resultado total",('FUENTE NO BORRAR'!H1258),""))</f>
        <v>763503.64</v>
      </c>
      <c r="I1240" s="6">
        <f>IF('FUENTE NO BORRAR'!I1258="","",IF('FUENTE NO BORRAR'!$A1258&lt;&gt;"Resultado total",('FUENTE NO BORRAR'!I1258),""))</f>
        <v>0</v>
      </c>
    </row>
    <row r="1241" spans="1:9" x14ac:dyDescent="0.2">
      <c r="A1241" s="5" t="str">
        <f>IF('FUENTE NO BORRAR'!A1259="","",(IF('FUENTE NO BORRAR'!A1259&lt;&gt;"Resultado total",'FUENTE NO BORRAR'!A1259,"")))</f>
        <v/>
      </c>
      <c r="B1241" s="5" t="str">
        <f>IF('FUENTE NO BORRAR'!B1259="","",'FUENTE NO BORRAR'!B1259)</f>
        <v/>
      </c>
      <c r="C1241" s="5" t="str">
        <f>IF('FUENTE NO BORRAR'!C1259="","",'FUENTE NO BORRAR'!C1259)</f>
        <v/>
      </c>
      <c r="D1241" s="5" t="str">
        <f>IF('FUENTE NO BORRAR'!D1259="","",'FUENTE NO BORRAR'!D1259)</f>
        <v/>
      </c>
      <c r="E1241" s="5" t="str">
        <f>IF('FUENTE NO BORRAR'!E1259="","",'FUENTE NO BORRAR'!E1259)</f>
        <v/>
      </c>
      <c r="F1241" s="6">
        <f>IF('FUENTE NO BORRAR'!F1259="","",IF('FUENTE NO BORRAR'!$A1259&lt;&gt;"Resultado total",('FUENTE NO BORRAR'!F1259),""))</f>
        <v>1984145.93</v>
      </c>
      <c r="G1241" s="6">
        <f>IF('FUENTE NO BORRAR'!G1259="","",IF('FUENTE NO BORRAR'!$A1259&lt;&gt;"Resultado total",('FUENTE NO BORRAR'!G1259),""))</f>
        <v>1984145.93</v>
      </c>
      <c r="H1241" s="6">
        <f>IF('FUENTE NO BORRAR'!H1259="","",IF('FUENTE NO BORRAR'!$A1259&lt;&gt;"Resultado total",('FUENTE NO BORRAR'!H1259),""))</f>
        <v>1984145.93</v>
      </c>
      <c r="I1241" s="6">
        <f>IF('FUENTE NO BORRAR'!I1259="","",IF('FUENTE NO BORRAR'!$A1259&lt;&gt;"Resultado total",('FUENTE NO BORRAR'!I1259),""))</f>
        <v>0</v>
      </c>
    </row>
    <row r="1242" spans="1:9" x14ac:dyDescent="0.2">
      <c r="A1242" s="5" t="str">
        <f>IF('FUENTE NO BORRAR'!A1260="","",(IF('FUENTE NO BORRAR'!A1260&lt;&gt;"Resultado total",'FUENTE NO BORRAR'!A1260,"")))</f>
        <v/>
      </c>
      <c r="B1242" s="5" t="str">
        <f>IF('FUENTE NO BORRAR'!B1260="","",'FUENTE NO BORRAR'!B1260)</f>
        <v/>
      </c>
      <c r="C1242" s="5" t="str">
        <f>IF('FUENTE NO BORRAR'!C1260="","",'FUENTE NO BORRAR'!C1260)</f>
        <v/>
      </c>
      <c r="D1242" s="5" t="str">
        <f>IF('FUENTE NO BORRAR'!D1260="","",'FUENTE NO BORRAR'!D1260)</f>
        <v/>
      </c>
      <c r="E1242" s="5" t="str">
        <f>IF('FUENTE NO BORRAR'!E1260="","",'FUENTE NO BORRAR'!E1260)</f>
        <v/>
      </c>
      <c r="F1242" s="6">
        <f>IF('FUENTE NO BORRAR'!F1260="","",IF('FUENTE NO BORRAR'!$A1260&lt;&gt;"Resultado total",('FUENTE NO BORRAR'!F1260),""))</f>
        <v>1569357.07</v>
      </c>
      <c r="G1242" s="6">
        <f>IF('FUENTE NO BORRAR'!G1260="","",IF('FUENTE NO BORRAR'!$A1260&lt;&gt;"Resultado total",('FUENTE NO BORRAR'!G1260),""))</f>
        <v>1569357.07</v>
      </c>
      <c r="H1242" s="6">
        <f>IF('FUENTE NO BORRAR'!H1260="","",IF('FUENTE NO BORRAR'!$A1260&lt;&gt;"Resultado total",('FUENTE NO BORRAR'!H1260),""))</f>
        <v>1569357.07</v>
      </c>
      <c r="I1242" s="6">
        <f>IF('FUENTE NO BORRAR'!I1260="","",IF('FUENTE NO BORRAR'!$A1260&lt;&gt;"Resultado total",('FUENTE NO BORRAR'!I1260),""))</f>
        <v>0</v>
      </c>
    </row>
    <row r="1243" spans="1:9" x14ac:dyDescent="0.2">
      <c r="A1243" s="5" t="str">
        <f>IF('FUENTE NO BORRAR'!A1261="","",(IF('FUENTE NO BORRAR'!A1261&lt;&gt;"Resultado total",'FUENTE NO BORRAR'!A1261,"")))</f>
        <v/>
      </c>
      <c r="B1243" s="5" t="str">
        <f>IF('FUENTE NO BORRAR'!B1261="","",'FUENTE NO BORRAR'!B1261)</f>
        <v/>
      </c>
      <c r="C1243" s="5" t="str">
        <f>IF('FUENTE NO BORRAR'!C1261="","",'FUENTE NO BORRAR'!C1261)</f>
        <v/>
      </c>
      <c r="D1243" s="5" t="str">
        <f>IF('FUENTE NO BORRAR'!D1261="","",'FUENTE NO BORRAR'!D1261)</f>
        <v/>
      </c>
      <c r="E1243" s="5" t="str">
        <f>IF('FUENTE NO BORRAR'!E1261="","",'FUENTE NO BORRAR'!E1261)</f>
        <v/>
      </c>
      <c r="F1243" s="6">
        <f>IF('FUENTE NO BORRAR'!F1261="","",IF('FUENTE NO BORRAR'!$A1261&lt;&gt;"Resultado total",('FUENTE NO BORRAR'!F1261),""))</f>
        <v>431916.95</v>
      </c>
      <c r="G1243" s="6">
        <f>IF('FUENTE NO BORRAR'!G1261="","",IF('FUENTE NO BORRAR'!$A1261&lt;&gt;"Resultado total",('FUENTE NO BORRAR'!G1261),""))</f>
        <v>431916.95</v>
      </c>
      <c r="H1243" s="6">
        <f>IF('FUENTE NO BORRAR'!H1261="","",IF('FUENTE NO BORRAR'!$A1261&lt;&gt;"Resultado total",('FUENTE NO BORRAR'!H1261),""))</f>
        <v>431916.95</v>
      </c>
      <c r="I1243" s="6">
        <f>IF('FUENTE NO BORRAR'!I1261="","",IF('FUENTE NO BORRAR'!$A1261&lt;&gt;"Resultado total",('FUENTE NO BORRAR'!I1261),""))</f>
        <v>0</v>
      </c>
    </row>
    <row r="1244" spans="1:9" x14ac:dyDescent="0.2">
      <c r="A1244" s="5" t="str">
        <f>IF('FUENTE NO BORRAR'!A1262="","",(IF('FUENTE NO BORRAR'!A1262&lt;&gt;"Resultado total",'FUENTE NO BORRAR'!A1262,"")))</f>
        <v/>
      </c>
      <c r="B1244" s="5" t="str">
        <f>IF('FUENTE NO BORRAR'!B1262="","",'FUENTE NO BORRAR'!B1262)</f>
        <v/>
      </c>
      <c r="C1244" s="5" t="str">
        <f>IF('FUENTE NO BORRAR'!C1262="","",'FUENTE NO BORRAR'!C1262)</f>
        <v/>
      </c>
      <c r="D1244" s="5" t="str">
        <f>IF('FUENTE NO BORRAR'!D1262="","",'FUENTE NO BORRAR'!D1262)</f>
        <v/>
      </c>
      <c r="E1244" s="5" t="str">
        <f>IF('FUENTE NO BORRAR'!E1262="","",'FUENTE NO BORRAR'!E1262)</f>
        <v/>
      </c>
      <c r="F1244" s="6">
        <f>IF('FUENTE NO BORRAR'!F1262="","",IF('FUENTE NO BORRAR'!$A1262&lt;&gt;"Resultado total",('FUENTE NO BORRAR'!F1262),""))</f>
        <v>205300.93</v>
      </c>
      <c r="G1244" s="6">
        <f>IF('FUENTE NO BORRAR'!G1262="","",IF('FUENTE NO BORRAR'!$A1262&lt;&gt;"Resultado total",('FUENTE NO BORRAR'!G1262),""))</f>
        <v>205300.93</v>
      </c>
      <c r="H1244" s="6">
        <f>IF('FUENTE NO BORRAR'!H1262="","",IF('FUENTE NO BORRAR'!$A1262&lt;&gt;"Resultado total",('FUENTE NO BORRAR'!H1262),""))</f>
        <v>205300.93</v>
      </c>
      <c r="I1244" s="6">
        <f>IF('FUENTE NO BORRAR'!I1262="","",IF('FUENTE NO BORRAR'!$A1262&lt;&gt;"Resultado total",('FUENTE NO BORRAR'!I1262),""))</f>
        <v>0</v>
      </c>
    </row>
    <row r="1245" spans="1:9" x14ac:dyDescent="0.2">
      <c r="A1245" s="5" t="str">
        <f>IF('FUENTE NO BORRAR'!A1263="","",(IF('FUENTE NO BORRAR'!A1263&lt;&gt;"Resultado total",'FUENTE NO BORRAR'!A1263,"")))</f>
        <v/>
      </c>
      <c r="B1245" s="5" t="str">
        <f>IF('FUENTE NO BORRAR'!B1263="","",'FUENTE NO BORRAR'!B1263)</f>
        <v/>
      </c>
      <c r="C1245" s="5" t="str">
        <f>IF('FUENTE NO BORRAR'!C1263="","",'FUENTE NO BORRAR'!C1263)</f>
        <v/>
      </c>
      <c r="D1245" s="5" t="str">
        <f>IF('FUENTE NO BORRAR'!D1263="","",'FUENTE NO BORRAR'!D1263)</f>
        <v/>
      </c>
      <c r="E1245" s="5" t="str">
        <f>IF('FUENTE NO BORRAR'!E1263="","",'FUENTE NO BORRAR'!E1263)</f>
        <v/>
      </c>
      <c r="F1245" s="6">
        <f>IF('FUENTE NO BORRAR'!F1263="","",IF('FUENTE NO BORRAR'!$A1263&lt;&gt;"Resultado total",('FUENTE NO BORRAR'!F1263),""))</f>
        <v>860776.68</v>
      </c>
      <c r="G1245" s="6">
        <f>IF('FUENTE NO BORRAR'!G1263="","",IF('FUENTE NO BORRAR'!$A1263&lt;&gt;"Resultado total",('FUENTE NO BORRAR'!G1263),""))</f>
        <v>860776.68</v>
      </c>
      <c r="H1245" s="6">
        <f>IF('FUENTE NO BORRAR'!H1263="","",IF('FUENTE NO BORRAR'!$A1263&lt;&gt;"Resultado total",('FUENTE NO BORRAR'!H1263),""))</f>
        <v>860776.68</v>
      </c>
      <c r="I1245" s="6">
        <f>IF('FUENTE NO BORRAR'!I1263="","",IF('FUENTE NO BORRAR'!$A1263&lt;&gt;"Resultado total",('FUENTE NO BORRAR'!I1263),""))</f>
        <v>0</v>
      </c>
    </row>
    <row r="1246" spans="1:9" x14ac:dyDescent="0.2">
      <c r="A1246" s="5" t="str">
        <f>IF('FUENTE NO BORRAR'!A1264="","",(IF('FUENTE NO BORRAR'!A1264&lt;&gt;"Resultado total",'FUENTE NO BORRAR'!A1264,"")))</f>
        <v/>
      </c>
      <c r="B1246" s="5" t="str">
        <f>IF('FUENTE NO BORRAR'!B1264="","",'FUENTE NO BORRAR'!B1264)</f>
        <v/>
      </c>
      <c r="C1246" s="5" t="str">
        <f>IF('FUENTE NO BORRAR'!C1264="","",'FUENTE NO BORRAR'!C1264)</f>
        <v/>
      </c>
      <c r="D1246" s="5" t="str">
        <f>IF('FUENTE NO BORRAR'!D1264="","",'FUENTE NO BORRAR'!D1264)</f>
        <v/>
      </c>
      <c r="E1246" s="5" t="str">
        <f>IF('FUENTE NO BORRAR'!E1264="","",'FUENTE NO BORRAR'!E1264)</f>
        <v/>
      </c>
      <c r="F1246" s="6">
        <f>IF('FUENTE NO BORRAR'!F1264="","",IF('FUENTE NO BORRAR'!$A1264&lt;&gt;"Resultado total",('FUENTE NO BORRAR'!F1264),""))</f>
        <v>3502516.24</v>
      </c>
      <c r="G1246" s="6">
        <f>IF('FUENTE NO BORRAR'!G1264="","",IF('FUENTE NO BORRAR'!$A1264&lt;&gt;"Resultado total",('FUENTE NO BORRAR'!G1264),""))</f>
        <v>3502516.24</v>
      </c>
      <c r="H1246" s="6">
        <f>IF('FUENTE NO BORRAR'!H1264="","",IF('FUENTE NO BORRAR'!$A1264&lt;&gt;"Resultado total",('FUENTE NO BORRAR'!H1264),""))</f>
        <v>3500566.24</v>
      </c>
      <c r="I1246" s="6">
        <f>IF('FUENTE NO BORRAR'!I1264="","",IF('FUENTE NO BORRAR'!$A1264&lt;&gt;"Resultado total",('FUENTE NO BORRAR'!I1264),""))</f>
        <v>0</v>
      </c>
    </row>
    <row r="1247" spans="1:9" x14ac:dyDescent="0.2">
      <c r="A1247" s="5" t="str">
        <f>IF('FUENTE NO BORRAR'!A1265="","",(IF('FUENTE NO BORRAR'!A1265&lt;&gt;"Resultado total",'FUENTE NO BORRAR'!A1265,"")))</f>
        <v/>
      </c>
      <c r="B1247" s="5" t="str">
        <f>IF('FUENTE NO BORRAR'!B1265="","",'FUENTE NO BORRAR'!B1265)</f>
        <v/>
      </c>
      <c r="C1247" s="5" t="str">
        <f>IF('FUENTE NO BORRAR'!C1265="","",'FUENTE NO BORRAR'!C1265)</f>
        <v/>
      </c>
      <c r="D1247" s="5" t="str">
        <f>IF('FUENTE NO BORRAR'!D1265="","",'FUENTE NO BORRAR'!D1265)</f>
        <v/>
      </c>
      <c r="E1247" s="5" t="str">
        <f>IF('FUENTE NO BORRAR'!E1265="","",'FUENTE NO BORRAR'!E1265)</f>
        <v/>
      </c>
      <c r="F1247" s="6">
        <f>IF('FUENTE NO BORRAR'!F1265="","",IF('FUENTE NO BORRAR'!$A1265&lt;&gt;"Resultado total",('FUENTE NO BORRAR'!F1265),""))</f>
        <v>788.8</v>
      </c>
      <c r="G1247" s="6">
        <f>IF('FUENTE NO BORRAR'!G1265="","",IF('FUENTE NO BORRAR'!$A1265&lt;&gt;"Resultado total",('FUENTE NO BORRAR'!G1265),""))</f>
        <v>788.8</v>
      </c>
      <c r="H1247" s="6">
        <f>IF('FUENTE NO BORRAR'!H1265="","",IF('FUENTE NO BORRAR'!$A1265&lt;&gt;"Resultado total",('FUENTE NO BORRAR'!H1265),""))</f>
        <v>788.8</v>
      </c>
      <c r="I1247" s="6">
        <f>IF('FUENTE NO BORRAR'!I1265="","",IF('FUENTE NO BORRAR'!$A1265&lt;&gt;"Resultado total",('FUENTE NO BORRAR'!I1265),""))</f>
        <v>0</v>
      </c>
    </row>
    <row r="1248" spans="1:9" x14ac:dyDescent="0.2">
      <c r="A1248" s="5" t="str">
        <f>IF('FUENTE NO BORRAR'!A1266="","",(IF('FUENTE NO BORRAR'!A1266&lt;&gt;"Resultado total",'FUENTE NO BORRAR'!A1266,"")))</f>
        <v/>
      </c>
      <c r="B1248" s="5" t="str">
        <f>IF('FUENTE NO BORRAR'!B1266="","",'FUENTE NO BORRAR'!B1266)</f>
        <v/>
      </c>
      <c r="C1248" s="5" t="str">
        <f>IF('FUENTE NO BORRAR'!C1266="","",'FUENTE NO BORRAR'!C1266)</f>
        <v/>
      </c>
      <c r="D1248" s="5" t="str">
        <f>IF('FUENTE NO BORRAR'!D1266="","",'FUENTE NO BORRAR'!D1266)</f>
        <v/>
      </c>
      <c r="E1248" s="5" t="str">
        <f>IF('FUENTE NO BORRAR'!E1266="","",'FUENTE NO BORRAR'!E1266)</f>
        <v/>
      </c>
      <c r="F1248" s="6">
        <f>IF('FUENTE NO BORRAR'!F1266="","",IF('FUENTE NO BORRAR'!$A1266&lt;&gt;"Resultado total",('FUENTE NO BORRAR'!F1266),""))</f>
        <v>0</v>
      </c>
      <c r="G1248" s="6">
        <f>IF('FUENTE NO BORRAR'!G1266="","",IF('FUENTE NO BORRAR'!$A1266&lt;&gt;"Resultado total",('FUENTE NO BORRAR'!G1266),""))</f>
        <v>0</v>
      </c>
      <c r="H1248" s="6">
        <f>IF('FUENTE NO BORRAR'!H1266="","",IF('FUENTE NO BORRAR'!$A1266&lt;&gt;"Resultado total",('FUENTE NO BORRAR'!H1266),""))</f>
        <v>0</v>
      </c>
      <c r="I1248" s="6">
        <f>IF('FUENTE NO BORRAR'!I1266="","",IF('FUENTE NO BORRAR'!$A1266&lt;&gt;"Resultado total",('FUENTE NO BORRAR'!I1266),""))</f>
        <v>0</v>
      </c>
    </row>
    <row r="1249" spans="1:9" x14ac:dyDescent="0.2">
      <c r="A1249" s="5" t="str">
        <f>IF('FUENTE NO BORRAR'!A1267="","",(IF('FUENTE NO BORRAR'!A1267&lt;&gt;"Resultado total",'FUENTE NO BORRAR'!A1267,"")))</f>
        <v/>
      </c>
      <c r="B1249" s="5" t="str">
        <f>IF('FUENTE NO BORRAR'!B1267="","",'FUENTE NO BORRAR'!B1267)</f>
        <v/>
      </c>
      <c r="C1249" s="5" t="str">
        <f>IF('FUENTE NO BORRAR'!C1267="","",'FUENTE NO BORRAR'!C1267)</f>
        <v/>
      </c>
      <c r="D1249" s="5" t="str">
        <f>IF('FUENTE NO BORRAR'!D1267="","",'FUENTE NO BORRAR'!D1267)</f>
        <v/>
      </c>
      <c r="E1249" s="5" t="str">
        <f>IF('FUENTE NO BORRAR'!E1267="","",'FUENTE NO BORRAR'!E1267)</f>
        <v/>
      </c>
      <c r="F1249" s="6">
        <f>IF('FUENTE NO BORRAR'!F1267="","",IF('FUENTE NO BORRAR'!$A1267&lt;&gt;"Resultado total",('FUENTE NO BORRAR'!F1267),""))</f>
        <v>5180.26</v>
      </c>
      <c r="G1249" s="6">
        <f>IF('FUENTE NO BORRAR'!G1267="","",IF('FUENTE NO BORRAR'!$A1267&lt;&gt;"Resultado total",('FUENTE NO BORRAR'!G1267),""))</f>
        <v>5180.26</v>
      </c>
      <c r="H1249" s="6">
        <f>IF('FUENTE NO BORRAR'!H1267="","",IF('FUENTE NO BORRAR'!$A1267&lt;&gt;"Resultado total",('FUENTE NO BORRAR'!H1267),""))</f>
        <v>3340.96</v>
      </c>
      <c r="I1249" s="6">
        <f>IF('FUENTE NO BORRAR'!I1267="","",IF('FUENTE NO BORRAR'!$A1267&lt;&gt;"Resultado total",('FUENTE NO BORRAR'!I1267),""))</f>
        <v>0</v>
      </c>
    </row>
    <row r="1250" spans="1:9" x14ac:dyDescent="0.2">
      <c r="A1250" s="5" t="str">
        <f>IF('FUENTE NO BORRAR'!A1268="","",(IF('FUENTE NO BORRAR'!A1268&lt;&gt;"Resultado total",'FUENTE NO BORRAR'!A1268,"")))</f>
        <v/>
      </c>
      <c r="B1250" s="5" t="str">
        <f>IF('FUENTE NO BORRAR'!B1268="","",'FUENTE NO BORRAR'!B1268)</f>
        <v/>
      </c>
      <c r="C1250" s="5" t="str">
        <f>IF('FUENTE NO BORRAR'!C1268="","",'FUENTE NO BORRAR'!C1268)</f>
        <v/>
      </c>
      <c r="D1250" s="5" t="str">
        <f>IF('FUENTE NO BORRAR'!D1268="","",'FUENTE NO BORRAR'!D1268)</f>
        <v/>
      </c>
      <c r="E1250" s="5" t="str">
        <f>IF('FUENTE NO BORRAR'!E1268="","",'FUENTE NO BORRAR'!E1268)</f>
        <v/>
      </c>
      <c r="F1250" s="6">
        <f>IF('FUENTE NO BORRAR'!F1268="","",IF('FUENTE NO BORRAR'!$A1268&lt;&gt;"Resultado total",('FUENTE NO BORRAR'!F1268),""))</f>
        <v>1115004.49</v>
      </c>
      <c r="G1250" s="6">
        <f>IF('FUENTE NO BORRAR'!G1268="","",IF('FUENTE NO BORRAR'!$A1268&lt;&gt;"Resultado total",('FUENTE NO BORRAR'!G1268),""))</f>
        <v>1115004.49</v>
      </c>
      <c r="H1250" s="6">
        <f>IF('FUENTE NO BORRAR'!H1268="","",IF('FUENTE NO BORRAR'!$A1268&lt;&gt;"Resultado total",('FUENTE NO BORRAR'!H1268),""))</f>
        <v>752268</v>
      </c>
      <c r="I1250" s="6">
        <f>IF('FUENTE NO BORRAR'!I1268="","",IF('FUENTE NO BORRAR'!$A1268&lt;&gt;"Resultado total",('FUENTE NO BORRAR'!I1268),""))</f>
        <v>0</v>
      </c>
    </row>
    <row r="1251" spans="1:9" x14ac:dyDescent="0.2">
      <c r="A1251" s="5" t="str">
        <f>IF('FUENTE NO BORRAR'!A1269="","",(IF('FUENTE NO BORRAR'!A1269&lt;&gt;"Resultado total",'FUENTE NO BORRAR'!A1269,"")))</f>
        <v/>
      </c>
      <c r="B1251" s="5" t="str">
        <f>IF('FUENTE NO BORRAR'!B1269="","",'FUENTE NO BORRAR'!B1269)</f>
        <v/>
      </c>
      <c r="C1251" s="5" t="str">
        <f>IF('FUENTE NO BORRAR'!C1269="","",'FUENTE NO BORRAR'!C1269)</f>
        <v/>
      </c>
      <c r="D1251" s="5" t="str">
        <f>IF('FUENTE NO BORRAR'!D1269="","",'FUENTE NO BORRAR'!D1269)</f>
        <v/>
      </c>
      <c r="E1251" s="5" t="str">
        <f>IF('FUENTE NO BORRAR'!E1269="","",'FUENTE NO BORRAR'!E1269)</f>
        <v/>
      </c>
      <c r="F1251" s="6">
        <f>IF('FUENTE NO BORRAR'!F1269="","",IF('FUENTE NO BORRAR'!$A1269&lt;&gt;"Resultado total",('FUENTE NO BORRAR'!F1269),""))</f>
        <v>1572306.34</v>
      </c>
      <c r="G1251" s="6">
        <f>IF('FUENTE NO BORRAR'!G1269="","",IF('FUENTE NO BORRAR'!$A1269&lt;&gt;"Resultado total",('FUENTE NO BORRAR'!G1269),""))</f>
        <v>1572306.34</v>
      </c>
      <c r="H1251" s="6">
        <f>IF('FUENTE NO BORRAR'!H1269="","",IF('FUENTE NO BORRAR'!$A1269&lt;&gt;"Resultado total",('FUENTE NO BORRAR'!H1269),""))</f>
        <v>1067306.1399999999</v>
      </c>
      <c r="I1251" s="6">
        <f>IF('FUENTE NO BORRAR'!I1269="","",IF('FUENTE NO BORRAR'!$A1269&lt;&gt;"Resultado total",('FUENTE NO BORRAR'!I1269),""))</f>
        <v>0</v>
      </c>
    </row>
    <row r="1252" spans="1:9" x14ac:dyDescent="0.2">
      <c r="A1252" s="5" t="str">
        <f>IF('FUENTE NO BORRAR'!A1270="","",(IF('FUENTE NO BORRAR'!A1270&lt;&gt;"Resultado total",'FUENTE NO BORRAR'!A1270,"")))</f>
        <v/>
      </c>
      <c r="B1252" s="5" t="str">
        <f>IF('FUENTE NO BORRAR'!B1270="","",'FUENTE NO BORRAR'!B1270)</f>
        <v/>
      </c>
      <c r="C1252" s="5" t="str">
        <f>IF('FUENTE NO BORRAR'!C1270="","",'FUENTE NO BORRAR'!C1270)</f>
        <v/>
      </c>
      <c r="D1252" s="5" t="str">
        <f>IF('FUENTE NO BORRAR'!D1270="","",'FUENTE NO BORRAR'!D1270)</f>
        <v/>
      </c>
      <c r="E1252" s="5" t="str">
        <f>IF('FUENTE NO BORRAR'!E1270="","",'FUENTE NO BORRAR'!E1270)</f>
        <v/>
      </c>
      <c r="F1252" s="6">
        <f>IF('FUENTE NO BORRAR'!F1270="","",IF('FUENTE NO BORRAR'!$A1270&lt;&gt;"Resultado total",('FUENTE NO BORRAR'!F1270),""))</f>
        <v>5206089.8600000003</v>
      </c>
      <c r="G1252" s="6">
        <f>IF('FUENTE NO BORRAR'!G1270="","",IF('FUENTE NO BORRAR'!$A1270&lt;&gt;"Resultado total",('FUENTE NO BORRAR'!G1270),""))</f>
        <v>5206089.8600000003</v>
      </c>
      <c r="H1252" s="6">
        <f>IF('FUENTE NO BORRAR'!H1270="","",IF('FUENTE NO BORRAR'!$A1270&lt;&gt;"Resultado total",('FUENTE NO BORRAR'!H1270),""))</f>
        <v>3458502.53</v>
      </c>
      <c r="I1252" s="6">
        <f>IF('FUENTE NO BORRAR'!I1270="","",IF('FUENTE NO BORRAR'!$A1270&lt;&gt;"Resultado total",('FUENTE NO BORRAR'!I1270),""))</f>
        <v>-1.0000000000000001E-9</v>
      </c>
    </row>
    <row r="1253" spans="1:9" x14ac:dyDescent="0.2">
      <c r="A1253" s="5" t="str">
        <f>IF('FUENTE NO BORRAR'!A1271="","",(IF('FUENTE NO BORRAR'!A1271&lt;&gt;"Resultado total",'FUENTE NO BORRAR'!A1271,"")))</f>
        <v/>
      </c>
      <c r="B1253" s="5" t="str">
        <f>IF('FUENTE NO BORRAR'!B1271="","",'FUENTE NO BORRAR'!B1271)</f>
        <v/>
      </c>
      <c r="C1253" s="5" t="str">
        <f>IF('FUENTE NO BORRAR'!C1271="","",'FUENTE NO BORRAR'!C1271)</f>
        <v/>
      </c>
      <c r="D1253" s="5" t="str">
        <f>IF('FUENTE NO BORRAR'!D1271="","",'FUENTE NO BORRAR'!D1271)</f>
        <v/>
      </c>
      <c r="E1253" s="5" t="str">
        <f>IF('FUENTE NO BORRAR'!E1271="","",'FUENTE NO BORRAR'!E1271)</f>
        <v/>
      </c>
      <c r="F1253" s="6">
        <f>IF('FUENTE NO BORRAR'!F1271="","",IF('FUENTE NO BORRAR'!$A1271&lt;&gt;"Resultado total",('FUENTE NO BORRAR'!F1271),""))</f>
        <v>0</v>
      </c>
      <c r="G1253" s="6">
        <f>IF('FUENTE NO BORRAR'!G1271="","",IF('FUENTE NO BORRAR'!$A1271&lt;&gt;"Resultado total",('FUENTE NO BORRAR'!G1271),""))</f>
        <v>0</v>
      </c>
      <c r="H1253" s="6">
        <f>IF('FUENTE NO BORRAR'!H1271="","",IF('FUENTE NO BORRAR'!$A1271&lt;&gt;"Resultado total",('FUENTE NO BORRAR'!H1271),""))</f>
        <v>0</v>
      </c>
      <c r="I1253" s="6">
        <f>IF('FUENTE NO BORRAR'!I1271="","",IF('FUENTE NO BORRAR'!$A1271&lt;&gt;"Resultado total",('FUENTE NO BORRAR'!I1271),""))</f>
        <v>0</v>
      </c>
    </row>
    <row r="1254" spans="1:9" x14ac:dyDescent="0.2">
      <c r="A1254" s="5" t="str">
        <f>IF('FUENTE NO BORRAR'!A1272="","",(IF('FUENTE NO BORRAR'!A1272&lt;&gt;"Resultado total",'FUENTE NO BORRAR'!A1272,"")))</f>
        <v/>
      </c>
      <c r="B1254" s="5" t="str">
        <f>IF('FUENTE NO BORRAR'!B1272="","",'FUENTE NO BORRAR'!B1272)</f>
        <v/>
      </c>
      <c r="C1254" s="5" t="str">
        <f>IF('FUENTE NO BORRAR'!C1272="","",'FUENTE NO BORRAR'!C1272)</f>
        <v/>
      </c>
      <c r="D1254" s="5" t="str">
        <f>IF('FUENTE NO BORRAR'!D1272="","",'FUENTE NO BORRAR'!D1272)</f>
        <v/>
      </c>
      <c r="E1254" s="5" t="str">
        <f>IF('FUENTE NO BORRAR'!E1272="","",'FUENTE NO BORRAR'!E1272)</f>
        <v/>
      </c>
      <c r="F1254" s="6">
        <f>IF('FUENTE NO BORRAR'!F1272="","",IF('FUENTE NO BORRAR'!$A1272&lt;&gt;"Resultado total",('FUENTE NO BORRAR'!F1272),""))</f>
        <v>3124.86</v>
      </c>
      <c r="G1254" s="6">
        <f>IF('FUENTE NO BORRAR'!G1272="","",IF('FUENTE NO BORRAR'!$A1272&lt;&gt;"Resultado total",('FUENTE NO BORRAR'!G1272),""))</f>
        <v>3124.86</v>
      </c>
      <c r="H1254" s="6">
        <f>IF('FUENTE NO BORRAR'!H1272="","",IF('FUENTE NO BORRAR'!$A1272&lt;&gt;"Resultado total",('FUENTE NO BORRAR'!H1272),""))</f>
        <v>3124.86</v>
      </c>
      <c r="I1254" s="6">
        <f>IF('FUENTE NO BORRAR'!I1272="","",IF('FUENTE NO BORRAR'!$A1272&lt;&gt;"Resultado total",('FUENTE NO BORRAR'!I1272),""))</f>
        <v>0</v>
      </c>
    </row>
    <row r="1255" spans="1:9" x14ac:dyDescent="0.2">
      <c r="A1255" s="5" t="str">
        <f>IF('FUENTE NO BORRAR'!A1273="","",(IF('FUENTE NO BORRAR'!A1273&lt;&gt;"Resultado total",'FUENTE NO BORRAR'!A1273,"")))</f>
        <v/>
      </c>
      <c r="B1255" s="5" t="str">
        <f>IF('FUENTE NO BORRAR'!B1273="","",'FUENTE NO BORRAR'!B1273)</f>
        <v/>
      </c>
      <c r="C1255" s="5" t="str">
        <f>IF('FUENTE NO BORRAR'!C1273="","",'FUENTE NO BORRAR'!C1273)</f>
        <v/>
      </c>
      <c r="D1255" s="5" t="str">
        <f>IF('FUENTE NO BORRAR'!D1273="","",'FUENTE NO BORRAR'!D1273)</f>
        <v/>
      </c>
      <c r="E1255" s="5" t="str">
        <f>IF('FUENTE NO BORRAR'!E1273="","",'FUENTE NO BORRAR'!E1273)</f>
        <v/>
      </c>
      <c r="F1255" s="6">
        <f>IF('FUENTE NO BORRAR'!F1273="","",IF('FUENTE NO BORRAR'!$A1273&lt;&gt;"Resultado total",('FUENTE NO BORRAR'!F1273),""))</f>
        <v>10008.18</v>
      </c>
      <c r="G1255" s="6">
        <f>IF('FUENTE NO BORRAR'!G1273="","",IF('FUENTE NO BORRAR'!$A1273&lt;&gt;"Resultado total",('FUENTE NO BORRAR'!G1273),""))</f>
        <v>10008.18</v>
      </c>
      <c r="H1255" s="6">
        <f>IF('FUENTE NO BORRAR'!H1273="","",IF('FUENTE NO BORRAR'!$A1273&lt;&gt;"Resultado total",('FUENTE NO BORRAR'!H1273),""))</f>
        <v>10008.18</v>
      </c>
      <c r="I1255" s="6">
        <f>IF('FUENTE NO BORRAR'!I1273="","",IF('FUENTE NO BORRAR'!$A1273&lt;&gt;"Resultado total",('FUENTE NO BORRAR'!I1273),""))</f>
        <v>0</v>
      </c>
    </row>
    <row r="1256" spans="1:9" x14ac:dyDescent="0.2">
      <c r="A1256" s="5" t="str">
        <f>IF('FUENTE NO BORRAR'!A1274="","",(IF('FUENTE NO BORRAR'!A1274&lt;&gt;"Resultado total",'FUENTE NO BORRAR'!A1274,"")))</f>
        <v/>
      </c>
      <c r="B1256" s="5" t="str">
        <f>IF('FUENTE NO BORRAR'!B1274="","",'FUENTE NO BORRAR'!B1274)</f>
        <v/>
      </c>
      <c r="C1256" s="5" t="str">
        <f>IF('FUENTE NO BORRAR'!C1274="","",'FUENTE NO BORRAR'!C1274)</f>
        <v/>
      </c>
      <c r="D1256" s="5" t="str">
        <f>IF('FUENTE NO BORRAR'!D1274="","",'FUENTE NO BORRAR'!D1274)</f>
        <v/>
      </c>
      <c r="E1256" s="5" t="str">
        <f>IF('FUENTE NO BORRAR'!E1274="","",'FUENTE NO BORRAR'!E1274)</f>
        <v/>
      </c>
      <c r="F1256" s="6">
        <f>IF('FUENTE NO BORRAR'!F1274="","",IF('FUENTE NO BORRAR'!$A1274&lt;&gt;"Resultado total",('FUENTE NO BORRAR'!F1274),""))</f>
        <v>453.37</v>
      </c>
      <c r="G1256" s="6">
        <f>IF('FUENTE NO BORRAR'!G1274="","",IF('FUENTE NO BORRAR'!$A1274&lt;&gt;"Resultado total",('FUENTE NO BORRAR'!G1274),""))</f>
        <v>453.37</v>
      </c>
      <c r="H1256" s="6">
        <f>IF('FUENTE NO BORRAR'!H1274="","",IF('FUENTE NO BORRAR'!$A1274&lt;&gt;"Resultado total",('FUENTE NO BORRAR'!H1274),""))</f>
        <v>453.37</v>
      </c>
      <c r="I1256" s="6">
        <f>IF('FUENTE NO BORRAR'!I1274="","",IF('FUENTE NO BORRAR'!$A1274&lt;&gt;"Resultado total",('FUENTE NO BORRAR'!I1274),""))</f>
        <v>0</v>
      </c>
    </row>
    <row r="1257" spans="1:9" x14ac:dyDescent="0.2">
      <c r="A1257" s="5" t="str">
        <f>IF('FUENTE NO BORRAR'!A1275="","",(IF('FUENTE NO BORRAR'!A1275&lt;&gt;"Resultado total",'FUENTE NO BORRAR'!A1275,"")))</f>
        <v/>
      </c>
      <c r="B1257" s="5" t="str">
        <f>IF('FUENTE NO BORRAR'!B1275="","",'FUENTE NO BORRAR'!B1275)</f>
        <v/>
      </c>
      <c r="C1257" s="5" t="str">
        <f>IF('FUENTE NO BORRAR'!C1275="","",'FUENTE NO BORRAR'!C1275)</f>
        <v/>
      </c>
      <c r="D1257" s="5" t="str">
        <f>IF('FUENTE NO BORRAR'!D1275="","",'FUENTE NO BORRAR'!D1275)</f>
        <v/>
      </c>
      <c r="E1257" s="5" t="str">
        <f>IF('FUENTE NO BORRAR'!E1275="","",'FUENTE NO BORRAR'!E1275)</f>
        <v/>
      </c>
      <c r="F1257" s="6">
        <f>IF('FUENTE NO BORRAR'!F1275="","",IF('FUENTE NO BORRAR'!$A1275&lt;&gt;"Resultado total",('FUENTE NO BORRAR'!F1275),""))</f>
        <v>330.71</v>
      </c>
      <c r="G1257" s="6">
        <f>IF('FUENTE NO BORRAR'!G1275="","",IF('FUENTE NO BORRAR'!$A1275&lt;&gt;"Resultado total",('FUENTE NO BORRAR'!G1275),""))</f>
        <v>330.71</v>
      </c>
      <c r="H1257" s="6">
        <f>IF('FUENTE NO BORRAR'!H1275="","",IF('FUENTE NO BORRAR'!$A1275&lt;&gt;"Resultado total",('FUENTE NO BORRAR'!H1275),""))</f>
        <v>330.71</v>
      </c>
      <c r="I1257" s="6">
        <f>IF('FUENTE NO BORRAR'!I1275="","",IF('FUENTE NO BORRAR'!$A1275&lt;&gt;"Resultado total",('FUENTE NO BORRAR'!I1275),""))</f>
        <v>0</v>
      </c>
    </row>
    <row r="1258" spans="1:9" x14ac:dyDescent="0.2">
      <c r="A1258" s="5" t="str">
        <f>IF('FUENTE NO BORRAR'!A1276="","",(IF('FUENTE NO BORRAR'!A1276&lt;&gt;"Resultado total",'FUENTE NO BORRAR'!A1276,"")))</f>
        <v/>
      </c>
      <c r="B1258" s="5" t="str">
        <f>IF('FUENTE NO BORRAR'!B1276="","",'FUENTE NO BORRAR'!B1276)</f>
        <v/>
      </c>
      <c r="C1258" s="5" t="str">
        <f>IF('FUENTE NO BORRAR'!C1276="","",'FUENTE NO BORRAR'!C1276)</f>
        <v/>
      </c>
      <c r="D1258" s="5" t="str">
        <f>IF('FUENTE NO BORRAR'!D1276="","",'FUENTE NO BORRAR'!D1276)</f>
        <v/>
      </c>
      <c r="E1258" s="5" t="str">
        <f>IF('FUENTE NO BORRAR'!E1276="","",'FUENTE NO BORRAR'!E1276)</f>
        <v/>
      </c>
      <c r="F1258" s="6">
        <f>IF('FUENTE NO BORRAR'!F1276="","",IF('FUENTE NO BORRAR'!$A1276&lt;&gt;"Resultado total",('FUENTE NO BORRAR'!F1276),""))</f>
        <v>31.42</v>
      </c>
      <c r="G1258" s="6">
        <f>IF('FUENTE NO BORRAR'!G1276="","",IF('FUENTE NO BORRAR'!$A1276&lt;&gt;"Resultado total",('FUENTE NO BORRAR'!G1276),""))</f>
        <v>31.42</v>
      </c>
      <c r="H1258" s="6">
        <f>IF('FUENTE NO BORRAR'!H1276="","",IF('FUENTE NO BORRAR'!$A1276&lt;&gt;"Resultado total",('FUENTE NO BORRAR'!H1276),""))</f>
        <v>31.42</v>
      </c>
      <c r="I1258" s="6">
        <f>IF('FUENTE NO BORRAR'!I1276="","",IF('FUENTE NO BORRAR'!$A1276&lt;&gt;"Resultado total",('FUENTE NO BORRAR'!I1276),""))</f>
        <v>0</v>
      </c>
    </row>
    <row r="1259" spans="1:9" x14ac:dyDescent="0.2">
      <c r="A1259" s="5" t="str">
        <f>IF('FUENTE NO BORRAR'!A1277="","",(IF('FUENTE NO BORRAR'!A1277&lt;&gt;"Resultado total",'FUENTE NO BORRAR'!A1277,"")))</f>
        <v/>
      </c>
      <c r="B1259" s="5" t="str">
        <f>IF('FUENTE NO BORRAR'!B1277="","",'FUENTE NO BORRAR'!B1277)</f>
        <v/>
      </c>
      <c r="C1259" s="5" t="str">
        <f>IF('FUENTE NO BORRAR'!C1277="","",'FUENTE NO BORRAR'!C1277)</f>
        <v/>
      </c>
      <c r="D1259" s="5" t="str">
        <f>IF('FUENTE NO BORRAR'!D1277="","",'FUENTE NO BORRAR'!D1277)</f>
        <v/>
      </c>
      <c r="E1259" s="5" t="str">
        <f>IF('FUENTE NO BORRAR'!E1277="","",'FUENTE NO BORRAR'!E1277)</f>
        <v/>
      </c>
      <c r="F1259" s="6">
        <f>IF('FUENTE NO BORRAR'!F1277="","",IF('FUENTE NO BORRAR'!$A1277&lt;&gt;"Resultado total",('FUENTE NO BORRAR'!F1277),""))</f>
        <v>37200</v>
      </c>
      <c r="G1259" s="6">
        <f>IF('FUENTE NO BORRAR'!G1277="","",IF('FUENTE NO BORRAR'!$A1277&lt;&gt;"Resultado total",('FUENTE NO BORRAR'!G1277),""))</f>
        <v>37200</v>
      </c>
      <c r="H1259" s="6">
        <f>IF('FUENTE NO BORRAR'!H1277="","",IF('FUENTE NO BORRAR'!$A1277&lt;&gt;"Resultado total",('FUENTE NO BORRAR'!H1277),""))</f>
        <v>37200</v>
      </c>
      <c r="I1259" s="6">
        <f>IF('FUENTE NO BORRAR'!I1277="","",IF('FUENTE NO BORRAR'!$A1277&lt;&gt;"Resultado total",('FUENTE NO BORRAR'!I1277),""))</f>
        <v>0</v>
      </c>
    </row>
    <row r="1260" spans="1:9" x14ac:dyDescent="0.2">
      <c r="A1260" s="5" t="str">
        <f>IF('FUENTE NO BORRAR'!A1278="","",(IF('FUENTE NO BORRAR'!A1278&lt;&gt;"Resultado total",'FUENTE NO BORRAR'!A1278,"")))</f>
        <v/>
      </c>
      <c r="B1260" s="5" t="str">
        <f>IF('FUENTE NO BORRAR'!B1278="","",'FUENTE NO BORRAR'!B1278)</f>
        <v/>
      </c>
      <c r="C1260" s="5" t="str">
        <f>IF('FUENTE NO BORRAR'!C1278="","",'FUENTE NO BORRAR'!C1278)</f>
        <v/>
      </c>
      <c r="D1260" s="5" t="str">
        <f>IF('FUENTE NO BORRAR'!D1278="","",'FUENTE NO BORRAR'!D1278)</f>
        <v/>
      </c>
      <c r="E1260" s="5" t="str">
        <f>IF('FUENTE NO BORRAR'!E1278="","",'FUENTE NO BORRAR'!E1278)</f>
        <v/>
      </c>
      <c r="F1260" s="6">
        <f>IF('FUENTE NO BORRAR'!F1278="","",IF('FUENTE NO BORRAR'!$A1278&lt;&gt;"Resultado total",('FUENTE NO BORRAR'!F1278),""))</f>
        <v>2007222.44</v>
      </c>
      <c r="G1260" s="6">
        <f>IF('FUENTE NO BORRAR'!G1278="","",IF('FUENTE NO BORRAR'!$A1278&lt;&gt;"Resultado total",('FUENTE NO BORRAR'!G1278),""))</f>
        <v>2007222.44</v>
      </c>
      <c r="H1260" s="6">
        <f>IF('FUENTE NO BORRAR'!H1278="","",IF('FUENTE NO BORRAR'!$A1278&lt;&gt;"Resultado total",('FUENTE NO BORRAR'!H1278),""))</f>
        <v>1858672.36</v>
      </c>
      <c r="I1260" s="6">
        <f>IF('FUENTE NO BORRAR'!I1278="","",IF('FUENTE NO BORRAR'!$A1278&lt;&gt;"Resultado total",('FUENTE NO BORRAR'!I1278),""))</f>
        <v>-1.0000000000000001E-9</v>
      </c>
    </row>
    <row r="1261" spans="1:9" x14ac:dyDescent="0.2">
      <c r="A1261" s="5" t="str">
        <f>IF('FUENTE NO BORRAR'!A1279="","",(IF('FUENTE NO BORRAR'!A1279&lt;&gt;"Resultado total",'FUENTE NO BORRAR'!A1279,"")))</f>
        <v/>
      </c>
      <c r="B1261" s="5" t="str">
        <f>IF('FUENTE NO BORRAR'!B1279="","",'FUENTE NO BORRAR'!B1279)</f>
        <v/>
      </c>
      <c r="C1261" s="5" t="str">
        <f>IF('FUENTE NO BORRAR'!C1279="","",'FUENTE NO BORRAR'!C1279)</f>
        <v/>
      </c>
      <c r="D1261" s="5" t="str">
        <f>IF('FUENTE NO BORRAR'!D1279="","",'FUENTE NO BORRAR'!D1279)</f>
        <v/>
      </c>
      <c r="E1261" s="5" t="str">
        <f>IF('FUENTE NO BORRAR'!E1279="","",'FUENTE NO BORRAR'!E1279)</f>
        <v/>
      </c>
      <c r="F1261" s="6">
        <f>IF('FUENTE NO BORRAR'!F1279="","",IF('FUENTE NO BORRAR'!$A1279&lt;&gt;"Resultado total",('FUENTE NO BORRAR'!F1279),""))</f>
        <v>10234</v>
      </c>
      <c r="G1261" s="6">
        <f>IF('FUENTE NO BORRAR'!G1279="","",IF('FUENTE NO BORRAR'!$A1279&lt;&gt;"Resultado total",('FUENTE NO BORRAR'!G1279),""))</f>
        <v>10234</v>
      </c>
      <c r="H1261" s="6">
        <f>IF('FUENTE NO BORRAR'!H1279="","",IF('FUENTE NO BORRAR'!$A1279&lt;&gt;"Resultado total",('FUENTE NO BORRAR'!H1279),""))</f>
        <v>10234</v>
      </c>
      <c r="I1261" s="6">
        <f>IF('FUENTE NO BORRAR'!I1279="","",IF('FUENTE NO BORRAR'!$A1279&lt;&gt;"Resultado total",('FUENTE NO BORRAR'!I1279),""))</f>
        <v>0</v>
      </c>
    </row>
    <row r="1262" spans="1:9" x14ac:dyDescent="0.2">
      <c r="A1262" s="5" t="str">
        <f>IF('FUENTE NO BORRAR'!A1280="","",(IF('FUENTE NO BORRAR'!A1280&lt;&gt;"Resultado total",'FUENTE NO BORRAR'!A1280,"")))</f>
        <v/>
      </c>
      <c r="B1262" s="5" t="str">
        <f>IF('FUENTE NO BORRAR'!B1280="","",'FUENTE NO BORRAR'!B1280)</f>
        <v/>
      </c>
      <c r="C1262" s="5" t="str">
        <f>IF('FUENTE NO BORRAR'!C1280="","",'FUENTE NO BORRAR'!C1280)</f>
        <v/>
      </c>
      <c r="D1262" s="5" t="str">
        <f>IF('FUENTE NO BORRAR'!D1280="","",'FUENTE NO BORRAR'!D1280)</f>
        <v/>
      </c>
      <c r="E1262" s="5" t="str">
        <f>IF('FUENTE NO BORRAR'!E1280="","",'FUENTE NO BORRAR'!E1280)</f>
        <v/>
      </c>
      <c r="F1262" s="6">
        <f>IF('FUENTE NO BORRAR'!F1280="","",IF('FUENTE NO BORRAR'!$A1280&lt;&gt;"Resultado total",('FUENTE NO BORRAR'!F1280),""))</f>
        <v>11996.99</v>
      </c>
      <c r="G1262" s="6">
        <f>IF('FUENTE NO BORRAR'!G1280="","",IF('FUENTE NO BORRAR'!$A1280&lt;&gt;"Resultado total",('FUENTE NO BORRAR'!G1280),""))</f>
        <v>11996.99</v>
      </c>
      <c r="H1262" s="6">
        <f>IF('FUENTE NO BORRAR'!H1280="","",IF('FUENTE NO BORRAR'!$A1280&lt;&gt;"Resultado total",('FUENTE NO BORRAR'!H1280),""))</f>
        <v>11996.99</v>
      </c>
      <c r="I1262" s="6">
        <f>IF('FUENTE NO BORRAR'!I1280="","",IF('FUENTE NO BORRAR'!$A1280&lt;&gt;"Resultado total",('FUENTE NO BORRAR'!I1280),""))</f>
        <v>0</v>
      </c>
    </row>
    <row r="1263" spans="1:9" x14ac:dyDescent="0.2">
      <c r="A1263" s="5" t="str">
        <f>IF('FUENTE NO BORRAR'!A1281="","",(IF('FUENTE NO BORRAR'!A1281&lt;&gt;"Resultado total",'FUENTE NO BORRAR'!A1281,"")))</f>
        <v/>
      </c>
      <c r="B1263" s="5" t="str">
        <f>IF('FUENTE NO BORRAR'!B1281="","",'FUENTE NO BORRAR'!B1281)</f>
        <v/>
      </c>
      <c r="C1263" s="5" t="str">
        <f>IF('FUENTE NO BORRAR'!C1281="","",'FUENTE NO BORRAR'!C1281)</f>
        <v/>
      </c>
      <c r="D1263" s="5" t="str">
        <f>IF('FUENTE NO BORRAR'!D1281="","",'FUENTE NO BORRAR'!D1281)</f>
        <v/>
      </c>
      <c r="E1263" s="5" t="str">
        <f>IF('FUENTE NO BORRAR'!E1281="","",'FUENTE NO BORRAR'!E1281)</f>
        <v/>
      </c>
      <c r="F1263" s="6">
        <f>IF('FUENTE NO BORRAR'!F1281="","",IF('FUENTE NO BORRAR'!$A1281&lt;&gt;"Resultado total",('FUENTE NO BORRAR'!F1281),""))</f>
        <v>88961.58</v>
      </c>
      <c r="G1263" s="6">
        <f>IF('FUENTE NO BORRAR'!G1281="","",IF('FUENTE NO BORRAR'!$A1281&lt;&gt;"Resultado total",('FUENTE NO BORRAR'!G1281),""))</f>
        <v>88961.58</v>
      </c>
      <c r="H1263" s="6">
        <f>IF('FUENTE NO BORRAR'!H1281="","",IF('FUENTE NO BORRAR'!$A1281&lt;&gt;"Resultado total",('FUENTE NO BORRAR'!H1281),""))</f>
        <v>88961.58</v>
      </c>
      <c r="I1263" s="6">
        <f>IF('FUENTE NO BORRAR'!I1281="","",IF('FUENTE NO BORRAR'!$A1281&lt;&gt;"Resultado total",('FUENTE NO BORRAR'!I1281),""))</f>
        <v>0</v>
      </c>
    </row>
    <row r="1264" spans="1:9" x14ac:dyDescent="0.2">
      <c r="A1264" s="5" t="str">
        <f>IF('FUENTE NO BORRAR'!A1282="","",(IF('FUENTE NO BORRAR'!A1282&lt;&gt;"Resultado total",'FUENTE NO BORRAR'!A1282,"")))</f>
        <v/>
      </c>
      <c r="B1264" s="5" t="str">
        <f>IF('FUENTE NO BORRAR'!B1282="","",'FUENTE NO BORRAR'!B1282)</f>
        <v/>
      </c>
      <c r="C1264" s="5" t="str">
        <f>IF('FUENTE NO BORRAR'!C1282="","",'FUENTE NO BORRAR'!C1282)</f>
        <v/>
      </c>
      <c r="D1264" s="5" t="str">
        <f>IF('FUENTE NO BORRAR'!D1282="","",'FUENTE NO BORRAR'!D1282)</f>
        <v/>
      </c>
      <c r="E1264" s="5" t="str">
        <f>IF('FUENTE NO BORRAR'!E1282="","",'FUENTE NO BORRAR'!E1282)</f>
        <v/>
      </c>
      <c r="F1264" s="6">
        <f>IF('FUENTE NO BORRAR'!F1282="","",IF('FUENTE NO BORRAR'!$A1282&lt;&gt;"Resultado total",('FUENTE NO BORRAR'!F1282),""))</f>
        <v>50</v>
      </c>
      <c r="G1264" s="6">
        <f>IF('FUENTE NO BORRAR'!G1282="","",IF('FUENTE NO BORRAR'!$A1282&lt;&gt;"Resultado total",('FUENTE NO BORRAR'!G1282),""))</f>
        <v>50</v>
      </c>
      <c r="H1264" s="6">
        <f>IF('FUENTE NO BORRAR'!H1282="","",IF('FUENTE NO BORRAR'!$A1282&lt;&gt;"Resultado total",('FUENTE NO BORRAR'!H1282),""))</f>
        <v>50</v>
      </c>
      <c r="I1264" s="6">
        <f>IF('FUENTE NO BORRAR'!I1282="","",IF('FUENTE NO BORRAR'!$A1282&lt;&gt;"Resultado total",('FUENTE NO BORRAR'!I1282),""))</f>
        <v>0</v>
      </c>
    </row>
    <row r="1265" spans="1:9" x14ac:dyDescent="0.2">
      <c r="A1265" s="5" t="str">
        <f>IF('FUENTE NO BORRAR'!A1283="","",(IF('FUENTE NO BORRAR'!A1283&lt;&gt;"Resultado total",'FUENTE NO BORRAR'!A1283,"")))</f>
        <v/>
      </c>
      <c r="B1265" s="5" t="str">
        <f>IF('FUENTE NO BORRAR'!B1283="","",'FUENTE NO BORRAR'!B1283)</f>
        <v/>
      </c>
      <c r="C1265" s="5" t="str">
        <f>IF('FUENTE NO BORRAR'!C1283="","",'FUENTE NO BORRAR'!C1283)</f>
        <v/>
      </c>
      <c r="D1265" s="5" t="str">
        <f>IF('FUENTE NO BORRAR'!D1283="","",'FUENTE NO BORRAR'!D1283)</f>
        <v/>
      </c>
      <c r="E1265" s="5" t="str">
        <f>IF('FUENTE NO BORRAR'!E1283="","",'FUENTE NO BORRAR'!E1283)</f>
        <v/>
      </c>
      <c r="F1265" s="6">
        <f>IF('FUENTE NO BORRAR'!F1283="","",IF('FUENTE NO BORRAR'!$A1283&lt;&gt;"Resultado total",('FUENTE NO BORRAR'!F1283),""))</f>
        <v>540</v>
      </c>
      <c r="G1265" s="6">
        <f>IF('FUENTE NO BORRAR'!G1283="","",IF('FUENTE NO BORRAR'!$A1283&lt;&gt;"Resultado total",('FUENTE NO BORRAR'!G1283),""))</f>
        <v>540</v>
      </c>
      <c r="H1265" s="6">
        <f>IF('FUENTE NO BORRAR'!H1283="","",IF('FUENTE NO BORRAR'!$A1283&lt;&gt;"Resultado total",('FUENTE NO BORRAR'!H1283),""))</f>
        <v>540</v>
      </c>
      <c r="I1265" s="6">
        <f>IF('FUENTE NO BORRAR'!I1283="","",IF('FUENTE NO BORRAR'!$A1283&lt;&gt;"Resultado total",('FUENTE NO BORRAR'!I1283),""))</f>
        <v>0</v>
      </c>
    </row>
    <row r="1266" spans="1:9" x14ac:dyDescent="0.2">
      <c r="A1266" s="5" t="str">
        <f>IF('FUENTE NO BORRAR'!A1284="","",(IF('FUENTE NO BORRAR'!A1284&lt;&gt;"Resultado total",'FUENTE NO BORRAR'!A1284,"")))</f>
        <v/>
      </c>
      <c r="B1266" s="5" t="str">
        <f>IF('FUENTE NO BORRAR'!B1284="","",'FUENTE NO BORRAR'!B1284)</f>
        <v/>
      </c>
      <c r="C1266" s="5" t="str">
        <f>IF('FUENTE NO BORRAR'!C1284="","",'FUENTE NO BORRAR'!C1284)</f>
        <v/>
      </c>
      <c r="D1266" s="5" t="str">
        <f>IF('FUENTE NO BORRAR'!D1284="","",'FUENTE NO BORRAR'!D1284)</f>
        <v/>
      </c>
      <c r="E1266" s="5" t="str">
        <f>IF('FUENTE NO BORRAR'!E1284="","",'FUENTE NO BORRAR'!E1284)</f>
        <v/>
      </c>
      <c r="F1266" s="6">
        <f>IF('FUENTE NO BORRAR'!F1284="","",IF('FUENTE NO BORRAR'!$A1284&lt;&gt;"Resultado total",('FUENTE NO BORRAR'!F1284),""))</f>
        <v>57943.32</v>
      </c>
      <c r="G1266" s="6">
        <f>IF('FUENTE NO BORRAR'!G1284="","",IF('FUENTE NO BORRAR'!$A1284&lt;&gt;"Resultado total",('FUENTE NO BORRAR'!G1284),""))</f>
        <v>57943.32</v>
      </c>
      <c r="H1266" s="6">
        <f>IF('FUENTE NO BORRAR'!H1284="","",IF('FUENTE NO BORRAR'!$A1284&lt;&gt;"Resultado total",('FUENTE NO BORRAR'!H1284),""))</f>
        <v>57943.32</v>
      </c>
      <c r="I1266" s="6">
        <f>IF('FUENTE NO BORRAR'!I1284="","",IF('FUENTE NO BORRAR'!$A1284&lt;&gt;"Resultado total",('FUENTE NO BORRAR'!I1284),""))</f>
        <v>0</v>
      </c>
    </row>
    <row r="1267" spans="1:9" x14ac:dyDescent="0.2">
      <c r="A1267" s="5" t="str">
        <f>IF('FUENTE NO BORRAR'!A1285="","",(IF('FUENTE NO BORRAR'!A1285&lt;&gt;"Resultado total",'FUENTE NO BORRAR'!A1285,"")))</f>
        <v/>
      </c>
      <c r="B1267" s="5" t="str">
        <f>IF('FUENTE NO BORRAR'!B1285="","",'FUENTE NO BORRAR'!B1285)</f>
        <v/>
      </c>
      <c r="C1267" s="5" t="str">
        <f>IF('FUENTE NO BORRAR'!C1285="","",'FUENTE NO BORRAR'!C1285)</f>
        <v/>
      </c>
      <c r="D1267" s="5" t="str">
        <f>IF('FUENTE NO BORRAR'!D1285="","",'FUENTE NO BORRAR'!D1285)</f>
        <v/>
      </c>
      <c r="E1267" s="5" t="str">
        <f>IF('FUENTE NO BORRAR'!E1285="","",'FUENTE NO BORRAR'!E1285)</f>
        <v/>
      </c>
      <c r="F1267" s="6">
        <f>IF('FUENTE NO BORRAR'!F1285="","",IF('FUENTE NO BORRAR'!$A1285&lt;&gt;"Resultado total",('FUENTE NO BORRAR'!F1285),""))</f>
        <v>167857.11</v>
      </c>
      <c r="G1267" s="6">
        <f>IF('FUENTE NO BORRAR'!G1285="","",IF('FUENTE NO BORRAR'!$A1285&lt;&gt;"Resultado total",('FUENTE NO BORRAR'!G1285),""))</f>
        <v>167857.11</v>
      </c>
      <c r="H1267" s="6">
        <f>IF('FUENTE NO BORRAR'!H1285="","",IF('FUENTE NO BORRAR'!$A1285&lt;&gt;"Resultado total",('FUENTE NO BORRAR'!H1285),""))</f>
        <v>159343.10999999999</v>
      </c>
      <c r="I1267" s="6">
        <f>IF('FUENTE NO BORRAR'!I1285="","",IF('FUENTE NO BORRAR'!$A1285&lt;&gt;"Resultado total",('FUENTE NO BORRAR'!I1285),""))</f>
        <v>0</v>
      </c>
    </row>
    <row r="1268" spans="1:9" x14ac:dyDescent="0.2">
      <c r="A1268" s="5" t="str">
        <f>IF('FUENTE NO BORRAR'!A1286="","",(IF('FUENTE NO BORRAR'!A1286&lt;&gt;"Resultado total",'FUENTE NO BORRAR'!A1286,"")))</f>
        <v/>
      </c>
      <c r="B1268" s="5" t="str">
        <f>IF('FUENTE NO BORRAR'!B1286="","",'FUENTE NO BORRAR'!B1286)</f>
        <v/>
      </c>
      <c r="C1268" s="5" t="str">
        <f>IF('FUENTE NO BORRAR'!C1286="","",'FUENTE NO BORRAR'!C1286)</f>
        <v/>
      </c>
      <c r="D1268" s="5" t="str">
        <f>IF('FUENTE NO BORRAR'!D1286="","",'FUENTE NO BORRAR'!D1286)</f>
        <v/>
      </c>
      <c r="E1268" s="5" t="str">
        <f>IF('FUENTE NO BORRAR'!E1286="","",'FUENTE NO BORRAR'!E1286)</f>
        <v/>
      </c>
      <c r="F1268" s="6">
        <f>IF('FUENTE NO BORRAR'!F1286="","",IF('FUENTE NO BORRAR'!$A1286&lt;&gt;"Resultado total",('FUENTE NO BORRAR'!F1286),""))</f>
        <v>0</v>
      </c>
      <c r="G1268" s="6">
        <f>IF('FUENTE NO BORRAR'!G1286="","",IF('FUENTE NO BORRAR'!$A1286&lt;&gt;"Resultado total",('FUENTE NO BORRAR'!G1286),""))</f>
        <v>0</v>
      </c>
      <c r="H1268" s="6">
        <f>IF('FUENTE NO BORRAR'!H1286="","",IF('FUENTE NO BORRAR'!$A1286&lt;&gt;"Resultado total",('FUENTE NO BORRAR'!H1286),""))</f>
        <v>0</v>
      </c>
      <c r="I1268" s="6">
        <f>IF('FUENTE NO BORRAR'!I1286="","",IF('FUENTE NO BORRAR'!$A1286&lt;&gt;"Resultado total",('FUENTE NO BORRAR'!I1286),""))</f>
        <v>0</v>
      </c>
    </row>
    <row r="1269" spans="1:9" x14ac:dyDescent="0.2">
      <c r="A1269" s="5" t="str">
        <f>IF('FUENTE NO BORRAR'!A1287="","",(IF('FUENTE NO BORRAR'!A1287&lt;&gt;"Resultado total",'FUENTE NO BORRAR'!A1287,"")))</f>
        <v/>
      </c>
      <c r="B1269" s="5" t="str">
        <f>IF('FUENTE NO BORRAR'!B1287="","",'FUENTE NO BORRAR'!B1287)</f>
        <v/>
      </c>
      <c r="C1269" s="5" t="str">
        <f>IF('FUENTE NO BORRAR'!C1287="","",'FUENTE NO BORRAR'!C1287)</f>
        <v/>
      </c>
      <c r="D1269" s="5" t="str">
        <f>IF('FUENTE NO BORRAR'!D1287="","",'FUENTE NO BORRAR'!D1287)</f>
        <v/>
      </c>
      <c r="E1269" s="5" t="str">
        <f>IF('FUENTE NO BORRAR'!E1287="","",'FUENTE NO BORRAR'!E1287)</f>
        <v/>
      </c>
      <c r="F1269" s="6">
        <f>IF('FUENTE NO BORRAR'!F1287="","",IF('FUENTE NO BORRAR'!$A1287&lt;&gt;"Resultado total",('FUENTE NO BORRAR'!F1287),""))</f>
        <v>246.11</v>
      </c>
      <c r="G1269" s="6">
        <f>IF('FUENTE NO BORRAR'!G1287="","",IF('FUENTE NO BORRAR'!$A1287&lt;&gt;"Resultado total",('FUENTE NO BORRAR'!G1287),""))</f>
        <v>246.11</v>
      </c>
      <c r="H1269" s="6">
        <f>IF('FUENTE NO BORRAR'!H1287="","",IF('FUENTE NO BORRAR'!$A1287&lt;&gt;"Resultado total",('FUENTE NO BORRAR'!H1287),""))</f>
        <v>246.11</v>
      </c>
      <c r="I1269" s="6">
        <f>IF('FUENTE NO BORRAR'!I1287="","",IF('FUENTE NO BORRAR'!$A1287&lt;&gt;"Resultado total",('FUENTE NO BORRAR'!I1287),""))</f>
        <v>0</v>
      </c>
    </row>
    <row r="1270" spans="1:9" x14ac:dyDescent="0.2">
      <c r="A1270" s="5" t="str">
        <f>IF('FUENTE NO BORRAR'!A1288="","",(IF('FUENTE NO BORRAR'!A1288&lt;&gt;"Resultado total",'FUENTE NO BORRAR'!A1288,"")))</f>
        <v/>
      </c>
      <c r="B1270" s="5" t="str">
        <f>IF('FUENTE NO BORRAR'!B1288="","",'FUENTE NO BORRAR'!B1288)</f>
        <v/>
      </c>
      <c r="C1270" s="5" t="str">
        <f>IF('FUENTE NO BORRAR'!C1288="","",'FUENTE NO BORRAR'!C1288)</f>
        <v/>
      </c>
      <c r="D1270" s="5" t="str">
        <f>IF('FUENTE NO BORRAR'!D1288="","",'FUENTE NO BORRAR'!D1288)</f>
        <v/>
      </c>
      <c r="E1270" s="5" t="str">
        <f>IF('FUENTE NO BORRAR'!E1288="","",'FUENTE NO BORRAR'!E1288)</f>
        <v/>
      </c>
      <c r="F1270" s="6">
        <f>IF('FUENTE NO BORRAR'!F1288="","",IF('FUENTE NO BORRAR'!$A1288&lt;&gt;"Resultado total",('FUENTE NO BORRAR'!F1288),""))</f>
        <v>1105962.6399999999</v>
      </c>
      <c r="G1270" s="6">
        <f>IF('FUENTE NO BORRAR'!G1288="","",IF('FUENTE NO BORRAR'!$A1288&lt;&gt;"Resultado total",('FUENTE NO BORRAR'!G1288),""))</f>
        <v>1105962.6399999999</v>
      </c>
      <c r="H1270" s="6">
        <f>IF('FUENTE NO BORRAR'!H1288="","",IF('FUENTE NO BORRAR'!$A1288&lt;&gt;"Resultado total",('FUENTE NO BORRAR'!H1288),""))</f>
        <v>998332.42</v>
      </c>
      <c r="I1270" s="6">
        <f>IF('FUENTE NO BORRAR'!I1288="","",IF('FUENTE NO BORRAR'!$A1288&lt;&gt;"Resultado total",('FUENTE NO BORRAR'!I1288),""))</f>
        <v>0</v>
      </c>
    </row>
    <row r="1271" spans="1:9" x14ac:dyDescent="0.2">
      <c r="A1271" s="5" t="str">
        <f>IF('FUENTE NO BORRAR'!A1289="","",(IF('FUENTE NO BORRAR'!A1289&lt;&gt;"Resultado total",'FUENTE NO BORRAR'!A1289,"")))</f>
        <v/>
      </c>
      <c r="B1271" s="5" t="str">
        <f>IF('FUENTE NO BORRAR'!B1289="","",'FUENTE NO BORRAR'!B1289)</f>
        <v/>
      </c>
      <c r="C1271" s="5" t="str">
        <f>IF('FUENTE NO BORRAR'!C1289="","",'FUENTE NO BORRAR'!C1289)</f>
        <v/>
      </c>
      <c r="D1271" s="5" t="str">
        <f>IF('FUENTE NO BORRAR'!D1289="","",'FUENTE NO BORRAR'!D1289)</f>
        <v/>
      </c>
      <c r="E1271" s="5" t="str">
        <f>IF('FUENTE NO BORRAR'!E1289="","",'FUENTE NO BORRAR'!E1289)</f>
        <v/>
      </c>
      <c r="F1271" s="6">
        <f>IF('FUENTE NO BORRAR'!F1289="","",IF('FUENTE NO BORRAR'!$A1289&lt;&gt;"Resultado total",('FUENTE NO BORRAR'!F1289),""))</f>
        <v>0</v>
      </c>
      <c r="G1271" s="6">
        <f>IF('FUENTE NO BORRAR'!G1289="","",IF('FUENTE NO BORRAR'!$A1289&lt;&gt;"Resultado total",('FUENTE NO BORRAR'!G1289),""))</f>
        <v>0</v>
      </c>
      <c r="H1271" s="6">
        <f>IF('FUENTE NO BORRAR'!H1289="","",IF('FUENTE NO BORRAR'!$A1289&lt;&gt;"Resultado total",('FUENTE NO BORRAR'!H1289),""))</f>
        <v>0</v>
      </c>
      <c r="I1271" s="6">
        <f>IF('FUENTE NO BORRAR'!I1289="","",IF('FUENTE NO BORRAR'!$A1289&lt;&gt;"Resultado total",('FUENTE NO BORRAR'!I1289),""))</f>
        <v>0</v>
      </c>
    </row>
    <row r="1272" spans="1:9" x14ac:dyDescent="0.2">
      <c r="A1272" s="5" t="str">
        <f>IF('FUENTE NO BORRAR'!A1290="","",(IF('FUENTE NO BORRAR'!A1290&lt;&gt;"Resultado total",'FUENTE NO BORRAR'!A1290,"")))</f>
        <v/>
      </c>
      <c r="B1272" s="5" t="str">
        <f>IF('FUENTE NO BORRAR'!B1290="","",'FUENTE NO BORRAR'!B1290)</f>
        <v/>
      </c>
      <c r="C1272" s="5" t="str">
        <f>IF('FUENTE NO BORRAR'!C1290="","",'FUENTE NO BORRAR'!C1290)</f>
        <v/>
      </c>
      <c r="D1272" s="5" t="str">
        <f>IF('FUENTE NO BORRAR'!D1290="","",'FUENTE NO BORRAR'!D1290)</f>
        <v/>
      </c>
      <c r="E1272" s="5" t="str">
        <f>IF('FUENTE NO BORRAR'!E1290="","",'FUENTE NO BORRAR'!E1290)</f>
        <v/>
      </c>
      <c r="F1272" s="6">
        <f>IF('FUENTE NO BORRAR'!F1290="","",IF('FUENTE NO BORRAR'!$A1290&lt;&gt;"Resultado total",('FUENTE NO BORRAR'!F1290),""))</f>
        <v>0</v>
      </c>
      <c r="G1272" s="6">
        <f>IF('FUENTE NO BORRAR'!G1290="","",IF('FUENTE NO BORRAR'!$A1290&lt;&gt;"Resultado total",('FUENTE NO BORRAR'!G1290),""))</f>
        <v>0</v>
      </c>
      <c r="H1272" s="6">
        <f>IF('FUENTE NO BORRAR'!H1290="","",IF('FUENTE NO BORRAR'!$A1290&lt;&gt;"Resultado total",('FUENTE NO BORRAR'!H1290),""))</f>
        <v>0</v>
      </c>
      <c r="I1272" s="6">
        <f>IF('FUENTE NO BORRAR'!I1290="","",IF('FUENTE NO BORRAR'!$A1290&lt;&gt;"Resultado total",('FUENTE NO BORRAR'!I1290),""))</f>
        <v>0</v>
      </c>
    </row>
    <row r="1273" spans="1:9" x14ac:dyDescent="0.2">
      <c r="A1273" s="5" t="str">
        <f>IF('FUENTE NO BORRAR'!A1291="","",(IF('FUENTE NO BORRAR'!A1291&lt;&gt;"Resultado total",'FUENTE NO BORRAR'!A1291,"")))</f>
        <v/>
      </c>
      <c r="B1273" s="5" t="str">
        <f>IF('FUENTE NO BORRAR'!B1291="","",'FUENTE NO BORRAR'!B1291)</f>
        <v/>
      </c>
      <c r="C1273" s="5" t="str">
        <f>IF('FUENTE NO BORRAR'!C1291="","",'FUENTE NO BORRAR'!C1291)</f>
        <v/>
      </c>
      <c r="D1273" s="5" t="str">
        <f>IF('FUENTE NO BORRAR'!D1291="","",'FUENTE NO BORRAR'!D1291)</f>
        <v/>
      </c>
      <c r="E1273" s="5" t="str">
        <f>IF('FUENTE NO BORRAR'!E1291="","",'FUENTE NO BORRAR'!E1291)</f>
        <v/>
      </c>
      <c r="F1273" s="6">
        <f>IF('FUENTE NO BORRAR'!F1291="","",IF('FUENTE NO BORRAR'!$A1291&lt;&gt;"Resultado total",('FUENTE NO BORRAR'!F1291),""))</f>
        <v>38693.440000000002</v>
      </c>
      <c r="G1273" s="6">
        <f>IF('FUENTE NO BORRAR'!G1291="","",IF('FUENTE NO BORRAR'!$A1291&lt;&gt;"Resultado total",('FUENTE NO BORRAR'!G1291),""))</f>
        <v>38693.440000000002</v>
      </c>
      <c r="H1273" s="6">
        <f>IF('FUENTE NO BORRAR'!H1291="","",IF('FUENTE NO BORRAR'!$A1291&lt;&gt;"Resultado total",('FUENTE NO BORRAR'!H1291),""))</f>
        <v>28627.99</v>
      </c>
      <c r="I1273" s="6">
        <f>IF('FUENTE NO BORRAR'!I1291="","",IF('FUENTE NO BORRAR'!$A1291&lt;&gt;"Resultado total",('FUENTE NO BORRAR'!I1291),""))</f>
        <v>0</v>
      </c>
    </row>
    <row r="1274" spans="1:9" x14ac:dyDescent="0.2">
      <c r="A1274" s="5" t="str">
        <f>IF('FUENTE NO BORRAR'!A1292="","",(IF('FUENTE NO BORRAR'!A1292&lt;&gt;"Resultado total",'FUENTE NO BORRAR'!A1292,"")))</f>
        <v/>
      </c>
      <c r="B1274" s="5" t="str">
        <f>IF('FUENTE NO BORRAR'!B1292="","",'FUENTE NO BORRAR'!B1292)</f>
        <v/>
      </c>
      <c r="C1274" s="5" t="str">
        <f>IF('FUENTE NO BORRAR'!C1292="","",'FUENTE NO BORRAR'!C1292)</f>
        <v/>
      </c>
      <c r="D1274" s="5" t="str">
        <f>IF('FUENTE NO BORRAR'!D1292="","",'FUENTE NO BORRAR'!D1292)</f>
        <v/>
      </c>
      <c r="E1274" s="5" t="str">
        <f>IF('FUENTE NO BORRAR'!E1292="","",'FUENTE NO BORRAR'!E1292)</f>
        <v/>
      </c>
      <c r="F1274" s="6">
        <f>IF('FUENTE NO BORRAR'!F1292="","",IF('FUENTE NO BORRAR'!$A1292&lt;&gt;"Resultado total",('FUENTE NO BORRAR'!F1292),""))</f>
        <v>15625.2</v>
      </c>
      <c r="G1274" s="6">
        <f>IF('FUENTE NO BORRAR'!G1292="","",IF('FUENTE NO BORRAR'!$A1292&lt;&gt;"Resultado total",('FUENTE NO BORRAR'!G1292),""))</f>
        <v>15625.2</v>
      </c>
      <c r="H1274" s="6">
        <f>IF('FUENTE NO BORRAR'!H1292="","",IF('FUENTE NO BORRAR'!$A1292&lt;&gt;"Resultado total",('FUENTE NO BORRAR'!H1292),""))</f>
        <v>12771.6</v>
      </c>
      <c r="I1274" s="6">
        <f>IF('FUENTE NO BORRAR'!I1292="","",IF('FUENTE NO BORRAR'!$A1292&lt;&gt;"Resultado total",('FUENTE NO BORRAR'!I1292),""))</f>
        <v>0</v>
      </c>
    </row>
    <row r="1275" spans="1:9" x14ac:dyDescent="0.2">
      <c r="A1275" s="5" t="str">
        <f>IF('FUENTE NO BORRAR'!A1293="","",(IF('FUENTE NO BORRAR'!A1293&lt;&gt;"Resultado total",'FUENTE NO BORRAR'!A1293,"")))</f>
        <v/>
      </c>
      <c r="B1275" s="5" t="str">
        <f>IF('FUENTE NO BORRAR'!B1293="","",'FUENTE NO BORRAR'!B1293)</f>
        <v/>
      </c>
      <c r="C1275" s="5" t="str">
        <f>IF('FUENTE NO BORRAR'!C1293="","",'FUENTE NO BORRAR'!C1293)</f>
        <v/>
      </c>
      <c r="D1275" s="5" t="str">
        <f>IF('FUENTE NO BORRAR'!D1293="","",'FUENTE NO BORRAR'!D1293)</f>
        <v/>
      </c>
      <c r="E1275" s="5" t="str">
        <f>IF('FUENTE NO BORRAR'!E1293="","",'FUENTE NO BORRAR'!E1293)</f>
        <v/>
      </c>
      <c r="F1275" s="6">
        <f>IF('FUENTE NO BORRAR'!F1293="","",IF('FUENTE NO BORRAR'!$A1293&lt;&gt;"Resultado total",('FUENTE NO BORRAR'!F1293),""))</f>
        <v>329209.51</v>
      </c>
      <c r="G1275" s="6">
        <f>IF('FUENTE NO BORRAR'!G1293="","",IF('FUENTE NO BORRAR'!$A1293&lt;&gt;"Resultado total",('FUENTE NO BORRAR'!G1293),""))</f>
        <v>329209.51</v>
      </c>
      <c r="H1275" s="6">
        <f>IF('FUENTE NO BORRAR'!H1293="","",IF('FUENTE NO BORRAR'!$A1293&lt;&gt;"Resultado total",('FUENTE NO BORRAR'!H1293),""))</f>
        <v>173365.6</v>
      </c>
      <c r="I1275" s="6">
        <f>IF('FUENTE NO BORRAR'!I1293="","",IF('FUENTE NO BORRAR'!$A1293&lt;&gt;"Resultado total",('FUENTE NO BORRAR'!I1293),""))</f>
        <v>0</v>
      </c>
    </row>
    <row r="1276" spans="1:9" x14ac:dyDescent="0.2">
      <c r="A1276" s="5" t="str">
        <f>IF('FUENTE NO BORRAR'!A1294="","",(IF('FUENTE NO BORRAR'!A1294&lt;&gt;"Resultado total",'FUENTE NO BORRAR'!A1294,"")))</f>
        <v/>
      </c>
      <c r="B1276" s="5" t="str">
        <f>IF('FUENTE NO BORRAR'!B1294="","",'FUENTE NO BORRAR'!B1294)</f>
        <v/>
      </c>
      <c r="C1276" s="5" t="str">
        <f>IF('FUENTE NO BORRAR'!C1294="","",'FUENTE NO BORRAR'!C1294)</f>
        <v/>
      </c>
      <c r="D1276" s="5" t="str">
        <f>IF('FUENTE NO BORRAR'!D1294="","",'FUENTE NO BORRAR'!D1294)</f>
        <v/>
      </c>
      <c r="E1276" s="5" t="str">
        <f>IF('FUENTE NO BORRAR'!E1294="","",'FUENTE NO BORRAR'!E1294)</f>
        <v/>
      </c>
      <c r="F1276" s="6">
        <f>IF('FUENTE NO BORRAR'!F1294="","",IF('FUENTE NO BORRAR'!$A1294&lt;&gt;"Resultado total",('FUENTE NO BORRAR'!F1294),""))</f>
        <v>737141.2</v>
      </c>
      <c r="G1276" s="6">
        <f>IF('FUENTE NO BORRAR'!G1294="","",IF('FUENTE NO BORRAR'!$A1294&lt;&gt;"Resultado total",('FUENTE NO BORRAR'!G1294),""))</f>
        <v>737141.2</v>
      </c>
      <c r="H1276" s="6">
        <f>IF('FUENTE NO BORRAR'!H1294="","",IF('FUENTE NO BORRAR'!$A1294&lt;&gt;"Resultado total",('FUENTE NO BORRAR'!H1294),""))</f>
        <v>522767.4</v>
      </c>
      <c r="I1276" s="6">
        <f>IF('FUENTE NO BORRAR'!I1294="","",IF('FUENTE NO BORRAR'!$A1294&lt;&gt;"Resultado total",('FUENTE NO BORRAR'!I1294),""))</f>
        <v>0</v>
      </c>
    </row>
    <row r="1277" spans="1:9" x14ac:dyDescent="0.2">
      <c r="A1277" s="5" t="str">
        <f>IF('FUENTE NO BORRAR'!A1295="","",(IF('FUENTE NO BORRAR'!A1295&lt;&gt;"Resultado total",'FUENTE NO BORRAR'!A1295,"")))</f>
        <v/>
      </c>
      <c r="B1277" s="5" t="str">
        <f>IF('FUENTE NO BORRAR'!B1295="","",'FUENTE NO BORRAR'!B1295)</f>
        <v/>
      </c>
      <c r="C1277" s="5" t="str">
        <f>IF('FUENTE NO BORRAR'!C1295="","",'FUENTE NO BORRAR'!C1295)</f>
        <v/>
      </c>
      <c r="D1277" s="5" t="str">
        <f>IF('FUENTE NO BORRAR'!D1295="","",'FUENTE NO BORRAR'!D1295)</f>
        <v/>
      </c>
      <c r="E1277" s="5" t="str">
        <f>IF('FUENTE NO BORRAR'!E1295="","",'FUENTE NO BORRAR'!E1295)</f>
        <v/>
      </c>
      <c r="F1277" s="6">
        <f>IF('FUENTE NO BORRAR'!F1295="","",IF('FUENTE NO BORRAR'!$A1295&lt;&gt;"Resultado total",('FUENTE NO BORRAR'!F1295),""))</f>
        <v>464</v>
      </c>
      <c r="G1277" s="6">
        <f>IF('FUENTE NO BORRAR'!G1295="","",IF('FUENTE NO BORRAR'!$A1295&lt;&gt;"Resultado total",('FUENTE NO BORRAR'!G1295),""))</f>
        <v>464</v>
      </c>
      <c r="H1277" s="6">
        <f>IF('FUENTE NO BORRAR'!H1295="","",IF('FUENTE NO BORRAR'!$A1295&lt;&gt;"Resultado total",('FUENTE NO BORRAR'!H1295),""))</f>
        <v>464</v>
      </c>
      <c r="I1277" s="6">
        <f>IF('FUENTE NO BORRAR'!I1295="","",IF('FUENTE NO BORRAR'!$A1295&lt;&gt;"Resultado total",('FUENTE NO BORRAR'!I1295),""))</f>
        <v>0</v>
      </c>
    </row>
    <row r="1278" spans="1:9" x14ac:dyDescent="0.2">
      <c r="A1278" s="5" t="str">
        <f>IF('FUENTE NO BORRAR'!A1296="","",(IF('FUENTE NO BORRAR'!A1296&lt;&gt;"Resultado total",'FUENTE NO BORRAR'!A1296,"")))</f>
        <v/>
      </c>
      <c r="B1278" s="5" t="str">
        <f>IF('FUENTE NO BORRAR'!B1296="","",'FUENTE NO BORRAR'!B1296)</f>
        <v/>
      </c>
      <c r="C1278" s="5" t="str">
        <f>IF('FUENTE NO BORRAR'!C1296="","",'FUENTE NO BORRAR'!C1296)</f>
        <v/>
      </c>
      <c r="D1278" s="5" t="str">
        <f>IF('FUENTE NO BORRAR'!D1296="","",'FUENTE NO BORRAR'!D1296)</f>
        <v/>
      </c>
      <c r="E1278" s="5" t="str">
        <f>IF('FUENTE NO BORRAR'!E1296="","",'FUENTE NO BORRAR'!E1296)</f>
        <v/>
      </c>
      <c r="F1278" s="6">
        <f>IF('FUENTE NO BORRAR'!F1296="","",IF('FUENTE NO BORRAR'!$A1296&lt;&gt;"Resultado total",('FUENTE NO BORRAR'!F1296),""))</f>
        <v>1330</v>
      </c>
      <c r="G1278" s="6">
        <f>IF('FUENTE NO BORRAR'!G1296="","",IF('FUENTE NO BORRAR'!$A1296&lt;&gt;"Resultado total",('FUENTE NO BORRAR'!G1296),""))</f>
        <v>1330</v>
      </c>
      <c r="H1278" s="6">
        <f>IF('FUENTE NO BORRAR'!H1296="","",IF('FUENTE NO BORRAR'!$A1296&lt;&gt;"Resultado total",('FUENTE NO BORRAR'!H1296),""))</f>
        <v>1330</v>
      </c>
      <c r="I1278" s="6">
        <f>IF('FUENTE NO BORRAR'!I1296="","",IF('FUENTE NO BORRAR'!$A1296&lt;&gt;"Resultado total",('FUENTE NO BORRAR'!I1296),""))</f>
        <v>0</v>
      </c>
    </row>
    <row r="1279" spans="1:9" x14ac:dyDescent="0.2">
      <c r="A1279" s="5" t="str">
        <f>IF('FUENTE NO BORRAR'!A1297="","",(IF('FUENTE NO BORRAR'!A1297&lt;&gt;"Resultado total",'FUENTE NO BORRAR'!A1297,"")))</f>
        <v/>
      </c>
      <c r="B1279" s="5" t="str">
        <f>IF('FUENTE NO BORRAR'!B1297="","",'FUENTE NO BORRAR'!B1297)</f>
        <v/>
      </c>
      <c r="C1279" s="5" t="str">
        <f>IF('FUENTE NO BORRAR'!C1297="","",'FUENTE NO BORRAR'!C1297)</f>
        <v/>
      </c>
      <c r="D1279" s="5" t="str">
        <f>IF('FUENTE NO BORRAR'!D1297="","",'FUENTE NO BORRAR'!D1297)</f>
        <v/>
      </c>
      <c r="E1279" s="5" t="str">
        <f>IF('FUENTE NO BORRAR'!E1297="","",'FUENTE NO BORRAR'!E1297)</f>
        <v/>
      </c>
      <c r="F1279" s="6">
        <f>IF('FUENTE NO BORRAR'!F1297="","",IF('FUENTE NO BORRAR'!$A1297&lt;&gt;"Resultado total",('FUENTE NO BORRAR'!F1297),""))</f>
        <v>5794617.7000000002</v>
      </c>
      <c r="G1279" s="6">
        <f>IF('FUENTE NO BORRAR'!G1297="","",IF('FUENTE NO BORRAR'!$A1297&lt;&gt;"Resultado total",('FUENTE NO BORRAR'!G1297),""))</f>
        <v>480007.44</v>
      </c>
      <c r="H1279" s="6">
        <f>IF('FUENTE NO BORRAR'!H1297="","",IF('FUENTE NO BORRAR'!$A1297&lt;&gt;"Resultado total",('FUENTE NO BORRAR'!H1297),""))</f>
        <v>0</v>
      </c>
      <c r="I1279" s="6">
        <f>IF('FUENTE NO BORRAR'!I1297="","",IF('FUENTE NO BORRAR'!$A1297&lt;&gt;"Resultado total",('FUENTE NO BORRAR'!I1297),""))</f>
        <v>5314610.26</v>
      </c>
    </row>
    <row r="1280" spans="1:9" x14ac:dyDescent="0.2">
      <c r="A1280" s="5" t="str">
        <f>IF('FUENTE NO BORRAR'!A1298="","",(IF('FUENTE NO BORRAR'!A1298&lt;&gt;"Resultado total",'FUENTE NO BORRAR'!A1298,"")))</f>
        <v/>
      </c>
      <c r="B1280" s="5" t="str">
        <f>IF('FUENTE NO BORRAR'!B1298="","",'FUENTE NO BORRAR'!B1298)</f>
        <v/>
      </c>
      <c r="C1280" s="5" t="str">
        <f>IF('FUENTE NO BORRAR'!C1298="","",'FUENTE NO BORRAR'!C1298)</f>
        <v/>
      </c>
      <c r="D1280" s="5" t="str">
        <f>IF('FUENTE NO BORRAR'!D1298="","",'FUENTE NO BORRAR'!D1298)</f>
        <v/>
      </c>
      <c r="E1280" s="5" t="str">
        <f>IF('FUENTE NO BORRAR'!E1298="","",'FUENTE NO BORRAR'!E1298)</f>
        <v/>
      </c>
      <c r="F1280" s="6">
        <f>IF('FUENTE NO BORRAR'!F1298="","",IF('FUENTE NO BORRAR'!$A1298&lt;&gt;"Resultado total",('FUENTE NO BORRAR'!F1298),""))</f>
        <v>3197773.95</v>
      </c>
      <c r="G1280" s="6">
        <f>IF('FUENTE NO BORRAR'!G1298="","",IF('FUENTE NO BORRAR'!$A1298&lt;&gt;"Resultado total",('FUENTE NO BORRAR'!G1298),""))</f>
        <v>0</v>
      </c>
      <c r="H1280" s="6">
        <f>IF('FUENTE NO BORRAR'!H1298="","",IF('FUENTE NO BORRAR'!$A1298&lt;&gt;"Resultado total",('FUENTE NO BORRAR'!H1298),""))</f>
        <v>0</v>
      </c>
      <c r="I1280" s="6">
        <f>IF('FUENTE NO BORRAR'!I1298="","",IF('FUENTE NO BORRAR'!$A1298&lt;&gt;"Resultado total",('FUENTE NO BORRAR'!I1298),""))</f>
        <v>3197773.95</v>
      </c>
    </row>
    <row r="1281" spans="1:9" x14ac:dyDescent="0.2">
      <c r="A1281" s="5" t="str">
        <f>IF('FUENTE NO BORRAR'!A1299="","",(IF('FUENTE NO BORRAR'!A1299&lt;&gt;"Resultado total",'FUENTE NO BORRAR'!A1299,"")))</f>
        <v/>
      </c>
      <c r="B1281" s="5" t="str">
        <f>IF('FUENTE NO BORRAR'!B1299="","",'FUENTE NO BORRAR'!B1299)</f>
        <v/>
      </c>
      <c r="C1281" s="5" t="str">
        <f>IF('FUENTE NO BORRAR'!C1299="","",'FUENTE NO BORRAR'!C1299)</f>
        <v/>
      </c>
      <c r="D1281" s="5" t="str">
        <f>IF('FUENTE NO BORRAR'!D1299="","",'FUENTE NO BORRAR'!D1299)</f>
        <v/>
      </c>
      <c r="E1281" s="5" t="str">
        <f>IF('FUENTE NO BORRAR'!E1299="","",'FUENTE NO BORRAR'!E1299)</f>
        <v/>
      </c>
      <c r="F1281" s="6">
        <f>IF('FUENTE NO BORRAR'!F1299="","",IF('FUENTE NO BORRAR'!$A1299&lt;&gt;"Resultado total",('FUENTE NO BORRAR'!F1299),""))</f>
        <v>3162296.59</v>
      </c>
      <c r="G1281" s="6">
        <f>IF('FUENTE NO BORRAR'!G1299="","",IF('FUENTE NO BORRAR'!$A1299&lt;&gt;"Resultado total",('FUENTE NO BORRAR'!G1299),""))</f>
        <v>0</v>
      </c>
      <c r="H1281" s="6">
        <f>IF('FUENTE NO BORRAR'!H1299="","",IF('FUENTE NO BORRAR'!$A1299&lt;&gt;"Resultado total",('FUENTE NO BORRAR'!H1299),""))</f>
        <v>0</v>
      </c>
      <c r="I1281" s="6">
        <f>IF('FUENTE NO BORRAR'!I1299="","",IF('FUENTE NO BORRAR'!$A1299&lt;&gt;"Resultado total",('FUENTE NO BORRAR'!I1299),""))</f>
        <v>3162296.59</v>
      </c>
    </row>
    <row r="1282" spans="1:9" x14ac:dyDescent="0.2">
      <c r="A1282" s="5" t="str">
        <f>IF('FUENTE NO BORRAR'!A1300="","",(IF('FUENTE NO BORRAR'!A1300&lt;&gt;"Resultado total",'FUENTE NO BORRAR'!A1300,"")))</f>
        <v/>
      </c>
      <c r="B1282" s="5" t="str">
        <f>IF('FUENTE NO BORRAR'!B1300="","",'FUENTE NO BORRAR'!B1300)</f>
        <v/>
      </c>
      <c r="C1282" s="5" t="str">
        <f>IF('FUENTE NO BORRAR'!C1300="","",'FUENTE NO BORRAR'!C1300)</f>
        <v/>
      </c>
      <c r="D1282" s="5" t="str">
        <f>IF('FUENTE NO BORRAR'!D1300="","",'FUENTE NO BORRAR'!D1300)</f>
        <v/>
      </c>
      <c r="E1282" s="5" t="str">
        <f>IF('FUENTE NO BORRAR'!E1300="","",'FUENTE NO BORRAR'!E1300)</f>
        <v/>
      </c>
      <c r="F1282" s="6">
        <f>IF('FUENTE NO BORRAR'!F1300="","",IF('FUENTE NO BORRAR'!$A1300&lt;&gt;"Resultado total",('FUENTE NO BORRAR'!F1300),""))</f>
        <v>34949483.479999997</v>
      </c>
      <c r="G1282" s="6">
        <f>IF('FUENTE NO BORRAR'!G1300="","",IF('FUENTE NO BORRAR'!$A1300&lt;&gt;"Resultado total",('FUENTE NO BORRAR'!G1300),""))</f>
        <v>21500786.800000001</v>
      </c>
      <c r="H1282" s="6">
        <f>IF('FUENTE NO BORRAR'!H1300="","",IF('FUENTE NO BORRAR'!$A1300&lt;&gt;"Resultado total",('FUENTE NO BORRAR'!H1300),""))</f>
        <v>20827792.719999999</v>
      </c>
      <c r="I1282" s="6">
        <f>IF('FUENTE NO BORRAR'!I1300="","",IF('FUENTE NO BORRAR'!$A1300&lt;&gt;"Resultado total",('FUENTE NO BORRAR'!I1300),""))</f>
        <v>13448696.68</v>
      </c>
    </row>
    <row r="1283" spans="1:9" x14ac:dyDescent="0.2">
      <c r="A1283" s="5" t="str">
        <f>IF('FUENTE NO BORRAR'!A1301="","",(IF('FUENTE NO BORRAR'!A1301&lt;&gt;"Resultado total",'FUENTE NO BORRAR'!A1301,"")))</f>
        <v/>
      </c>
      <c r="B1283" s="5" t="str">
        <f>IF('FUENTE NO BORRAR'!B1301="","",'FUENTE NO BORRAR'!B1301)</f>
        <v/>
      </c>
      <c r="C1283" s="5" t="str">
        <f>IF('FUENTE NO BORRAR'!C1301="","",'FUENTE NO BORRAR'!C1301)</f>
        <v/>
      </c>
      <c r="D1283" s="5" t="str">
        <f>IF('FUENTE NO BORRAR'!D1301="","",'FUENTE NO BORRAR'!D1301)</f>
        <v/>
      </c>
      <c r="E1283" s="5" t="str">
        <f>IF('FUENTE NO BORRAR'!E1301="","",'FUENTE NO BORRAR'!E1301)</f>
        <v/>
      </c>
      <c r="F1283" s="6">
        <f>IF('FUENTE NO BORRAR'!F1301="","",IF('FUENTE NO BORRAR'!$A1301&lt;&gt;"Resultado total",('FUENTE NO BORRAR'!F1301),""))</f>
        <v>116000</v>
      </c>
      <c r="G1283" s="6">
        <f>IF('FUENTE NO BORRAR'!G1301="","",IF('FUENTE NO BORRAR'!$A1301&lt;&gt;"Resultado total",('FUENTE NO BORRAR'!G1301),""))</f>
        <v>116000</v>
      </c>
      <c r="H1283" s="6">
        <f>IF('FUENTE NO BORRAR'!H1301="","",IF('FUENTE NO BORRAR'!$A1301&lt;&gt;"Resultado total",('FUENTE NO BORRAR'!H1301),""))</f>
        <v>0</v>
      </c>
      <c r="I1283" s="6">
        <f>IF('FUENTE NO BORRAR'!I1301="","",IF('FUENTE NO BORRAR'!$A1301&lt;&gt;"Resultado total",('FUENTE NO BORRAR'!I1301),""))</f>
        <v>0</v>
      </c>
    </row>
    <row r="1284" spans="1:9" x14ac:dyDescent="0.2">
      <c r="A1284" s="5" t="str">
        <f>IF('FUENTE NO BORRAR'!A1302="","",(IF('FUENTE NO BORRAR'!A1302&lt;&gt;"Resultado total",'FUENTE NO BORRAR'!A1302,"")))</f>
        <v/>
      </c>
      <c r="B1284" s="5" t="str">
        <f>IF('FUENTE NO BORRAR'!B1302="","",'FUENTE NO BORRAR'!B1302)</f>
        <v/>
      </c>
      <c r="C1284" s="5" t="str">
        <f>IF('FUENTE NO BORRAR'!C1302="","",'FUENTE NO BORRAR'!C1302)</f>
        <v>22042102E201</v>
      </c>
      <c r="D1284" s="5" t="str">
        <f>IF('FUENTE NO BORRAR'!D1302="","",'FUENTE NO BORRAR'!D1302)</f>
        <v>22042102E201</v>
      </c>
      <c r="E1284" s="5" t="str">
        <f>IF('FUENTE NO BORRAR'!E1302="","",'FUENTE NO BORRAR'!E1302)</f>
        <v/>
      </c>
      <c r="F1284" s="6">
        <f>IF('FUENTE NO BORRAR'!F1302="","",IF('FUENTE NO BORRAR'!$A1302&lt;&gt;"Resultado total",('FUENTE NO BORRAR'!F1302),""))</f>
        <v>18368990.25</v>
      </c>
      <c r="G1284" s="6">
        <f>IF('FUENTE NO BORRAR'!G1302="","",IF('FUENTE NO BORRAR'!$A1302&lt;&gt;"Resultado total",('FUENTE NO BORRAR'!G1302),""))</f>
        <v>18368990.25</v>
      </c>
      <c r="H1284" s="6">
        <f>IF('FUENTE NO BORRAR'!H1302="","",IF('FUENTE NO BORRAR'!$A1302&lt;&gt;"Resultado total",('FUENTE NO BORRAR'!H1302),""))</f>
        <v>18368990.25</v>
      </c>
      <c r="I1284" s="6">
        <f>IF('FUENTE NO BORRAR'!I1302="","",IF('FUENTE NO BORRAR'!$A1302&lt;&gt;"Resultado total",('FUENTE NO BORRAR'!I1302),""))</f>
        <v>0</v>
      </c>
    </row>
    <row r="1285" spans="1:9" x14ac:dyDescent="0.2">
      <c r="A1285" s="5" t="str">
        <f>IF('FUENTE NO BORRAR'!A1303="","",(IF('FUENTE NO BORRAR'!A1303&lt;&gt;"Resultado total",'FUENTE NO BORRAR'!A1303,"")))</f>
        <v/>
      </c>
      <c r="B1285" s="5" t="str">
        <f>IF('FUENTE NO BORRAR'!B1303="","",'FUENTE NO BORRAR'!B1303)</f>
        <v/>
      </c>
      <c r="C1285" s="5" t="str">
        <f>IF('FUENTE NO BORRAR'!C1303="","",'FUENTE NO BORRAR'!C1303)</f>
        <v/>
      </c>
      <c r="D1285" s="5" t="str">
        <f>IF('FUENTE NO BORRAR'!D1303="","",'FUENTE NO BORRAR'!D1303)</f>
        <v/>
      </c>
      <c r="E1285" s="5" t="str">
        <f>IF('FUENTE NO BORRAR'!E1303="","",'FUENTE NO BORRAR'!E1303)</f>
        <v/>
      </c>
      <c r="F1285" s="6">
        <f>IF('FUENTE NO BORRAR'!F1303="","",IF('FUENTE NO BORRAR'!$A1303&lt;&gt;"Resultado total",('FUENTE NO BORRAR'!F1303),""))</f>
        <v>1287825.1599999999</v>
      </c>
      <c r="G1285" s="6">
        <f>IF('FUENTE NO BORRAR'!G1303="","",IF('FUENTE NO BORRAR'!$A1303&lt;&gt;"Resultado total",('FUENTE NO BORRAR'!G1303),""))</f>
        <v>1287825.1599999999</v>
      </c>
      <c r="H1285" s="6">
        <f>IF('FUENTE NO BORRAR'!H1303="","",IF('FUENTE NO BORRAR'!$A1303&lt;&gt;"Resultado total",('FUENTE NO BORRAR'!H1303),""))</f>
        <v>1287825.1599999999</v>
      </c>
      <c r="I1285" s="6">
        <f>IF('FUENTE NO BORRAR'!I1303="","",IF('FUENTE NO BORRAR'!$A1303&lt;&gt;"Resultado total",('FUENTE NO BORRAR'!I1303),""))</f>
        <v>0</v>
      </c>
    </row>
    <row r="1286" spans="1:9" x14ac:dyDescent="0.2">
      <c r="A1286" s="5" t="str">
        <f>IF('FUENTE NO BORRAR'!A1304="","",(IF('FUENTE NO BORRAR'!A1304&lt;&gt;"Resultado total",'FUENTE NO BORRAR'!A1304,"")))</f>
        <v/>
      </c>
      <c r="B1286" s="5" t="str">
        <f>IF('FUENTE NO BORRAR'!B1304="","",'FUENTE NO BORRAR'!B1304)</f>
        <v/>
      </c>
      <c r="C1286" s="5" t="str">
        <f>IF('FUENTE NO BORRAR'!C1304="","",'FUENTE NO BORRAR'!C1304)</f>
        <v/>
      </c>
      <c r="D1286" s="5" t="str">
        <f>IF('FUENTE NO BORRAR'!D1304="","",'FUENTE NO BORRAR'!D1304)</f>
        <v/>
      </c>
      <c r="E1286" s="5" t="str">
        <f>IF('FUENTE NO BORRAR'!E1304="","",'FUENTE NO BORRAR'!E1304)</f>
        <v/>
      </c>
      <c r="F1286" s="6">
        <f>IF('FUENTE NO BORRAR'!F1304="","",IF('FUENTE NO BORRAR'!$A1304&lt;&gt;"Resultado total",('FUENTE NO BORRAR'!F1304),""))</f>
        <v>168080.1</v>
      </c>
      <c r="G1286" s="6">
        <f>IF('FUENTE NO BORRAR'!G1304="","",IF('FUENTE NO BORRAR'!$A1304&lt;&gt;"Resultado total",('FUENTE NO BORRAR'!G1304),""))</f>
        <v>168080.1</v>
      </c>
      <c r="H1286" s="6">
        <f>IF('FUENTE NO BORRAR'!H1304="","",IF('FUENTE NO BORRAR'!$A1304&lt;&gt;"Resultado total",('FUENTE NO BORRAR'!H1304),""))</f>
        <v>168080.1</v>
      </c>
      <c r="I1286" s="6">
        <f>IF('FUENTE NO BORRAR'!I1304="","",IF('FUENTE NO BORRAR'!$A1304&lt;&gt;"Resultado total",('FUENTE NO BORRAR'!I1304),""))</f>
        <v>0</v>
      </c>
    </row>
    <row r="1287" spans="1:9" x14ac:dyDescent="0.2">
      <c r="A1287" s="5" t="str">
        <f>IF('FUENTE NO BORRAR'!A1305="","",(IF('FUENTE NO BORRAR'!A1305&lt;&gt;"Resultado total",'FUENTE NO BORRAR'!A1305,"")))</f>
        <v/>
      </c>
      <c r="B1287" s="5" t="str">
        <f>IF('FUENTE NO BORRAR'!B1305="","",'FUENTE NO BORRAR'!B1305)</f>
        <v/>
      </c>
      <c r="C1287" s="5" t="str">
        <f>IF('FUENTE NO BORRAR'!C1305="","",'FUENTE NO BORRAR'!C1305)</f>
        <v/>
      </c>
      <c r="D1287" s="5" t="str">
        <f>IF('FUENTE NO BORRAR'!D1305="","",'FUENTE NO BORRAR'!D1305)</f>
        <v/>
      </c>
      <c r="E1287" s="5" t="str">
        <f>IF('FUENTE NO BORRAR'!E1305="","",'FUENTE NO BORRAR'!E1305)</f>
        <v/>
      </c>
      <c r="F1287" s="6">
        <f>IF('FUENTE NO BORRAR'!F1305="","",IF('FUENTE NO BORRAR'!$A1305&lt;&gt;"Resultado total",('FUENTE NO BORRAR'!F1305),""))</f>
        <v>2081395.14</v>
      </c>
      <c r="G1287" s="6">
        <f>IF('FUENTE NO BORRAR'!G1305="","",IF('FUENTE NO BORRAR'!$A1305&lt;&gt;"Resultado total",('FUENTE NO BORRAR'!G1305),""))</f>
        <v>2081395.14</v>
      </c>
      <c r="H1287" s="6">
        <f>IF('FUENTE NO BORRAR'!H1305="","",IF('FUENTE NO BORRAR'!$A1305&lt;&gt;"Resultado total",('FUENTE NO BORRAR'!H1305),""))</f>
        <v>2081395.14</v>
      </c>
      <c r="I1287" s="6">
        <f>IF('FUENTE NO BORRAR'!I1305="","",IF('FUENTE NO BORRAR'!$A1305&lt;&gt;"Resultado total",('FUENTE NO BORRAR'!I1305),""))</f>
        <v>0</v>
      </c>
    </row>
    <row r="1288" spans="1:9" x14ac:dyDescent="0.2">
      <c r="A1288" s="5" t="str">
        <f>IF('FUENTE NO BORRAR'!A1306="","",(IF('FUENTE NO BORRAR'!A1306&lt;&gt;"Resultado total",'FUENTE NO BORRAR'!A1306,"")))</f>
        <v/>
      </c>
      <c r="B1288" s="5" t="str">
        <f>IF('FUENTE NO BORRAR'!B1306="","",'FUENTE NO BORRAR'!B1306)</f>
        <v/>
      </c>
      <c r="C1288" s="5" t="str">
        <f>IF('FUENTE NO BORRAR'!C1306="","",'FUENTE NO BORRAR'!C1306)</f>
        <v/>
      </c>
      <c r="D1288" s="5" t="str">
        <f>IF('FUENTE NO BORRAR'!D1306="","",'FUENTE NO BORRAR'!D1306)</f>
        <v/>
      </c>
      <c r="E1288" s="5" t="str">
        <f>IF('FUENTE NO BORRAR'!E1306="","",'FUENTE NO BORRAR'!E1306)</f>
        <v/>
      </c>
      <c r="F1288" s="6">
        <f>IF('FUENTE NO BORRAR'!F1306="","",IF('FUENTE NO BORRAR'!$A1306&lt;&gt;"Resultado total",('FUENTE NO BORRAR'!F1306),""))</f>
        <v>41410.32</v>
      </c>
      <c r="G1288" s="6">
        <f>IF('FUENTE NO BORRAR'!G1306="","",IF('FUENTE NO BORRAR'!$A1306&lt;&gt;"Resultado total",('FUENTE NO BORRAR'!G1306),""))</f>
        <v>41410.32</v>
      </c>
      <c r="H1288" s="6">
        <f>IF('FUENTE NO BORRAR'!H1306="","",IF('FUENTE NO BORRAR'!$A1306&lt;&gt;"Resultado total",('FUENTE NO BORRAR'!H1306),""))</f>
        <v>41410.32</v>
      </c>
      <c r="I1288" s="6">
        <f>IF('FUENTE NO BORRAR'!I1306="","",IF('FUENTE NO BORRAR'!$A1306&lt;&gt;"Resultado total",('FUENTE NO BORRAR'!I1306),""))</f>
        <v>0</v>
      </c>
    </row>
    <row r="1289" spans="1:9" x14ac:dyDescent="0.2">
      <c r="A1289" s="5" t="str">
        <f>IF('FUENTE NO BORRAR'!A1307="","",(IF('FUENTE NO BORRAR'!A1307&lt;&gt;"Resultado total",'FUENTE NO BORRAR'!A1307,"")))</f>
        <v/>
      </c>
      <c r="B1289" s="5" t="str">
        <f>IF('FUENTE NO BORRAR'!B1307="","",'FUENTE NO BORRAR'!B1307)</f>
        <v/>
      </c>
      <c r="C1289" s="5" t="str">
        <f>IF('FUENTE NO BORRAR'!C1307="","",'FUENTE NO BORRAR'!C1307)</f>
        <v/>
      </c>
      <c r="D1289" s="5" t="str">
        <f>IF('FUENTE NO BORRAR'!D1307="","",'FUENTE NO BORRAR'!D1307)</f>
        <v/>
      </c>
      <c r="E1289" s="5" t="str">
        <f>IF('FUENTE NO BORRAR'!E1307="","",'FUENTE NO BORRAR'!E1307)</f>
        <v/>
      </c>
      <c r="F1289" s="6">
        <f>IF('FUENTE NO BORRAR'!F1307="","",IF('FUENTE NO BORRAR'!$A1307&lt;&gt;"Resultado total",('FUENTE NO BORRAR'!F1307),""))</f>
        <v>1026191.16</v>
      </c>
      <c r="G1289" s="6">
        <f>IF('FUENTE NO BORRAR'!G1307="","",IF('FUENTE NO BORRAR'!$A1307&lt;&gt;"Resultado total",('FUENTE NO BORRAR'!G1307),""))</f>
        <v>1026191.16</v>
      </c>
      <c r="H1289" s="6">
        <f>IF('FUENTE NO BORRAR'!H1307="","",IF('FUENTE NO BORRAR'!$A1307&lt;&gt;"Resultado total",('FUENTE NO BORRAR'!H1307),""))</f>
        <v>1026191.16</v>
      </c>
      <c r="I1289" s="6">
        <f>IF('FUENTE NO BORRAR'!I1307="","",IF('FUENTE NO BORRAR'!$A1307&lt;&gt;"Resultado total",('FUENTE NO BORRAR'!I1307),""))</f>
        <v>0</v>
      </c>
    </row>
    <row r="1290" spans="1:9" x14ac:dyDescent="0.2">
      <c r="A1290" s="5" t="str">
        <f>IF('FUENTE NO BORRAR'!A1308="","",(IF('FUENTE NO BORRAR'!A1308&lt;&gt;"Resultado total",'FUENTE NO BORRAR'!A1308,"")))</f>
        <v/>
      </c>
      <c r="B1290" s="5" t="str">
        <f>IF('FUENTE NO BORRAR'!B1308="","",'FUENTE NO BORRAR'!B1308)</f>
        <v/>
      </c>
      <c r="C1290" s="5" t="str">
        <f>IF('FUENTE NO BORRAR'!C1308="","",'FUENTE NO BORRAR'!C1308)</f>
        <v/>
      </c>
      <c r="D1290" s="5" t="str">
        <f>IF('FUENTE NO BORRAR'!D1308="","",'FUENTE NO BORRAR'!D1308)</f>
        <v/>
      </c>
      <c r="E1290" s="5" t="str">
        <f>IF('FUENTE NO BORRAR'!E1308="","",'FUENTE NO BORRAR'!E1308)</f>
        <v/>
      </c>
      <c r="F1290" s="6">
        <f>IF('FUENTE NO BORRAR'!F1308="","",IF('FUENTE NO BORRAR'!$A1308&lt;&gt;"Resultado total",('FUENTE NO BORRAR'!F1308),""))</f>
        <v>4382767.5999999996</v>
      </c>
      <c r="G1290" s="6">
        <f>IF('FUENTE NO BORRAR'!G1308="","",IF('FUENTE NO BORRAR'!$A1308&lt;&gt;"Resultado total",('FUENTE NO BORRAR'!G1308),""))</f>
        <v>4382767.5999999996</v>
      </c>
      <c r="H1290" s="6">
        <f>IF('FUENTE NO BORRAR'!H1308="","",IF('FUENTE NO BORRAR'!$A1308&lt;&gt;"Resultado total",('FUENTE NO BORRAR'!H1308),""))</f>
        <v>4382767.5999999996</v>
      </c>
      <c r="I1290" s="6">
        <f>IF('FUENTE NO BORRAR'!I1308="","",IF('FUENTE NO BORRAR'!$A1308&lt;&gt;"Resultado total",('FUENTE NO BORRAR'!I1308),""))</f>
        <v>-1.0000000000000001E-9</v>
      </c>
    </row>
    <row r="1291" spans="1:9" x14ac:dyDescent="0.2">
      <c r="A1291" s="5" t="str">
        <f>IF('FUENTE NO BORRAR'!A1309="","",(IF('FUENTE NO BORRAR'!A1309&lt;&gt;"Resultado total",'FUENTE NO BORRAR'!A1309,"")))</f>
        <v/>
      </c>
      <c r="B1291" s="5" t="str">
        <f>IF('FUENTE NO BORRAR'!B1309="","",'FUENTE NO BORRAR'!B1309)</f>
        <v/>
      </c>
      <c r="C1291" s="5" t="str">
        <f>IF('FUENTE NO BORRAR'!C1309="","",'FUENTE NO BORRAR'!C1309)</f>
        <v/>
      </c>
      <c r="D1291" s="5" t="str">
        <f>IF('FUENTE NO BORRAR'!D1309="","",'FUENTE NO BORRAR'!D1309)</f>
        <v/>
      </c>
      <c r="E1291" s="5" t="str">
        <f>IF('FUENTE NO BORRAR'!E1309="","",'FUENTE NO BORRAR'!E1309)</f>
        <v/>
      </c>
      <c r="F1291" s="6">
        <f>IF('FUENTE NO BORRAR'!F1309="","",IF('FUENTE NO BORRAR'!$A1309&lt;&gt;"Resultado total",('FUENTE NO BORRAR'!F1309),""))</f>
        <v>14552669.09</v>
      </c>
      <c r="G1291" s="6">
        <f>IF('FUENTE NO BORRAR'!G1309="","",IF('FUENTE NO BORRAR'!$A1309&lt;&gt;"Resultado total",('FUENTE NO BORRAR'!G1309),""))</f>
        <v>14552669.09</v>
      </c>
      <c r="H1291" s="6">
        <f>IF('FUENTE NO BORRAR'!H1309="","",IF('FUENTE NO BORRAR'!$A1309&lt;&gt;"Resultado total",('FUENTE NO BORRAR'!H1309),""))</f>
        <v>14552669.09</v>
      </c>
      <c r="I1291" s="6">
        <f>IF('FUENTE NO BORRAR'!I1309="","",IF('FUENTE NO BORRAR'!$A1309&lt;&gt;"Resultado total",('FUENTE NO BORRAR'!I1309),""))</f>
        <v>0</v>
      </c>
    </row>
    <row r="1292" spans="1:9" x14ac:dyDescent="0.2">
      <c r="A1292" s="5" t="str">
        <f>IF('FUENTE NO BORRAR'!A1310="","",(IF('FUENTE NO BORRAR'!A1310&lt;&gt;"Resultado total",'FUENTE NO BORRAR'!A1310,"")))</f>
        <v/>
      </c>
      <c r="B1292" s="5" t="str">
        <f>IF('FUENTE NO BORRAR'!B1310="","",'FUENTE NO BORRAR'!B1310)</f>
        <v/>
      </c>
      <c r="C1292" s="5" t="str">
        <f>IF('FUENTE NO BORRAR'!C1310="","",'FUENTE NO BORRAR'!C1310)</f>
        <v/>
      </c>
      <c r="D1292" s="5" t="str">
        <f>IF('FUENTE NO BORRAR'!D1310="","",'FUENTE NO BORRAR'!D1310)</f>
        <v/>
      </c>
      <c r="E1292" s="5" t="str">
        <f>IF('FUENTE NO BORRAR'!E1310="","",'FUENTE NO BORRAR'!E1310)</f>
        <v/>
      </c>
      <c r="F1292" s="6">
        <f>IF('FUENTE NO BORRAR'!F1310="","",IF('FUENTE NO BORRAR'!$A1310&lt;&gt;"Resultado total",('FUENTE NO BORRAR'!F1310),""))</f>
        <v>672871.4</v>
      </c>
      <c r="G1292" s="6">
        <f>IF('FUENTE NO BORRAR'!G1310="","",IF('FUENTE NO BORRAR'!$A1310&lt;&gt;"Resultado total",('FUENTE NO BORRAR'!G1310),""))</f>
        <v>672871.4</v>
      </c>
      <c r="H1292" s="6">
        <f>IF('FUENTE NO BORRAR'!H1310="","",IF('FUENTE NO BORRAR'!$A1310&lt;&gt;"Resultado total",('FUENTE NO BORRAR'!H1310),""))</f>
        <v>683723.9</v>
      </c>
      <c r="I1292" s="6">
        <f>IF('FUENTE NO BORRAR'!I1310="","",IF('FUENTE NO BORRAR'!$A1310&lt;&gt;"Resultado total",('FUENTE NO BORRAR'!I1310),""))</f>
        <v>0</v>
      </c>
    </row>
    <row r="1293" spans="1:9" x14ac:dyDescent="0.2">
      <c r="A1293" s="5" t="str">
        <f>IF('FUENTE NO BORRAR'!A1311="","",(IF('FUENTE NO BORRAR'!A1311&lt;&gt;"Resultado total",'FUENTE NO BORRAR'!A1311,"")))</f>
        <v/>
      </c>
      <c r="B1293" s="5" t="str">
        <f>IF('FUENTE NO BORRAR'!B1311="","",'FUENTE NO BORRAR'!B1311)</f>
        <v/>
      </c>
      <c r="C1293" s="5" t="str">
        <f>IF('FUENTE NO BORRAR'!C1311="","",'FUENTE NO BORRAR'!C1311)</f>
        <v/>
      </c>
      <c r="D1293" s="5" t="str">
        <f>IF('FUENTE NO BORRAR'!D1311="","",'FUENTE NO BORRAR'!D1311)</f>
        <v/>
      </c>
      <c r="E1293" s="5" t="str">
        <f>IF('FUENTE NO BORRAR'!E1311="","",'FUENTE NO BORRAR'!E1311)</f>
        <v/>
      </c>
      <c r="F1293" s="6">
        <f>IF('FUENTE NO BORRAR'!F1311="","",IF('FUENTE NO BORRAR'!$A1311&lt;&gt;"Resultado total",('FUENTE NO BORRAR'!F1311),""))</f>
        <v>2604762.73</v>
      </c>
      <c r="G1293" s="6">
        <f>IF('FUENTE NO BORRAR'!G1311="","",IF('FUENTE NO BORRAR'!$A1311&lt;&gt;"Resultado total",('FUENTE NO BORRAR'!G1311),""))</f>
        <v>2604762.73</v>
      </c>
      <c r="H1293" s="6">
        <f>IF('FUENTE NO BORRAR'!H1311="","",IF('FUENTE NO BORRAR'!$A1311&lt;&gt;"Resultado total",('FUENTE NO BORRAR'!H1311),""))</f>
        <v>2604762.73</v>
      </c>
      <c r="I1293" s="6">
        <f>IF('FUENTE NO BORRAR'!I1311="","",IF('FUENTE NO BORRAR'!$A1311&lt;&gt;"Resultado total",('FUENTE NO BORRAR'!I1311),""))</f>
        <v>1.0000000000000001E-9</v>
      </c>
    </row>
    <row r="1294" spans="1:9" x14ac:dyDescent="0.2">
      <c r="A1294" s="5" t="str">
        <f>IF('FUENTE NO BORRAR'!A1312="","",(IF('FUENTE NO BORRAR'!A1312&lt;&gt;"Resultado total",'FUENTE NO BORRAR'!A1312,"")))</f>
        <v/>
      </c>
      <c r="B1294" s="5" t="str">
        <f>IF('FUENTE NO BORRAR'!B1312="","",'FUENTE NO BORRAR'!B1312)</f>
        <v/>
      </c>
      <c r="C1294" s="5" t="str">
        <f>IF('FUENTE NO BORRAR'!C1312="","",'FUENTE NO BORRAR'!C1312)</f>
        <v/>
      </c>
      <c r="D1294" s="5" t="str">
        <f>IF('FUENTE NO BORRAR'!D1312="","",'FUENTE NO BORRAR'!D1312)</f>
        <v/>
      </c>
      <c r="E1294" s="5" t="str">
        <f>IF('FUENTE NO BORRAR'!E1312="","",'FUENTE NO BORRAR'!E1312)</f>
        <v/>
      </c>
      <c r="F1294" s="6">
        <f>IF('FUENTE NO BORRAR'!F1312="","",IF('FUENTE NO BORRAR'!$A1312&lt;&gt;"Resultado total",('FUENTE NO BORRAR'!F1312),""))</f>
        <v>3966623.94</v>
      </c>
      <c r="G1294" s="6">
        <f>IF('FUENTE NO BORRAR'!G1312="","",IF('FUENTE NO BORRAR'!$A1312&lt;&gt;"Resultado total",('FUENTE NO BORRAR'!G1312),""))</f>
        <v>3966623.94</v>
      </c>
      <c r="H1294" s="6">
        <f>IF('FUENTE NO BORRAR'!H1312="","",IF('FUENTE NO BORRAR'!$A1312&lt;&gt;"Resultado total",('FUENTE NO BORRAR'!H1312),""))</f>
        <v>3966623.94</v>
      </c>
      <c r="I1294" s="6">
        <f>IF('FUENTE NO BORRAR'!I1312="","",IF('FUENTE NO BORRAR'!$A1312&lt;&gt;"Resultado total",('FUENTE NO BORRAR'!I1312),""))</f>
        <v>0</v>
      </c>
    </row>
    <row r="1295" spans="1:9" x14ac:dyDescent="0.2">
      <c r="A1295" s="5" t="str">
        <f>IF('FUENTE NO BORRAR'!A1313="","",(IF('FUENTE NO BORRAR'!A1313&lt;&gt;"Resultado total",'FUENTE NO BORRAR'!A1313,"")))</f>
        <v/>
      </c>
      <c r="B1295" s="5" t="str">
        <f>IF('FUENTE NO BORRAR'!B1313="","",'FUENTE NO BORRAR'!B1313)</f>
        <v/>
      </c>
      <c r="C1295" s="5" t="str">
        <f>IF('FUENTE NO BORRAR'!C1313="","",'FUENTE NO BORRAR'!C1313)</f>
        <v/>
      </c>
      <c r="D1295" s="5" t="str">
        <f>IF('FUENTE NO BORRAR'!D1313="","",'FUENTE NO BORRAR'!D1313)</f>
        <v/>
      </c>
      <c r="E1295" s="5" t="str">
        <f>IF('FUENTE NO BORRAR'!E1313="","",'FUENTE NO BORRAR'!E1313)</f>
        <v/>
      </c>
      <c r="F1295" s="6">
        <f>IF('FUENTE NO BORRAR'!F1313="","",IF('FUENTE NO BORRAR'!$A1313&lt;&gt;"Resultado total",('FUENTE NO BORRAR'!F1313),""))</f>
        <v>1279782.26</v>
      </c>
      <c r="G1295" s="6">
        <f>IF('FUENTE NO BORRAR'!G1313="","",IF('FUENTE NO BORRAR'!$A1313&lt;&gt;"Resultado total",('FUENTE NO BORRAR'!G1313),""))</f>
        <v>1279782.26</v>
      </c>
      <c r="H1295" s="6">
        <f>IF('FUENTE NO BORRAR'!H1313="","",IF('FUENTE NO BORRAR'!$A1313&lt;&gt;"Resultado total",('FUENTE NO BORRAR'!H1313),""))</f>
        <v>1279782.26</v>
      </c>
      <c r="I1295" s="6">
        <f>IF('FUENTE NO BORRAR'!I1313="","",IF('FUENTE NO BORRAR'!$A1313&lt;&gt;"Resultado total",('FUENTE NO BORRAR'!I1313),""))</f>
        <v>0</v>
      </c>
    </row>
    <row r="1296" spans="1:9" x14ac:dyDescent="0.2">
      <c r="A1296" s="5" t="str">
        <f>IF('FUENTE NO BORRAR'!A1314="","",(IF('FUENTE NO BORRAR'!A1314&lt;&gt;"Resultado total",'FUENTE NO BORRAR'!A1314,"")))</f>
        <v/>
      </c>
      <c r="B1296" s="5" t="str">
        <f>IF('FUENTE NO BORRAR'!B1314="","",'FUENTE NO BORRAR'!B1314)</f>
        <v/>
      </c>
      <c r="C1296" s="5" t="str">
        <f>IF('FUENTE NO BORRAR'!C1314="","",'FUENTE NO BORRAR'!C1314)</f>
        <v/>
      </c>
      <c r="D1296" s="5" t="str">
        <f>IF('FUENTE NO BORRAR'!D1314="","",'FUENTE NO BORRAR'!D1314)</f>
        <v/>
      </c>
      <c r="E1296" s="5" t="str">
        <f>IF('FUENTE NO BORRAR'!E1314="","",'FUENTE NO BORRAR'!E1314)</f>
        <v/>
      </c>
      <c r="F1296" s="6">
        <f>IF('FUENTE NO BORRAR'!F1314="","",IF('FUENTE NO BORRAR'!$A1314&lt;&gt;"Resultado total",('FUENTE NO BORRAR'!F1314),""))</f>
        <v>603602.18000000005</v>
      </c>
      <c r="G1296" s="6">
        <f>IF('FUENTE NO BORRAR'!G1314="","",IF('FUENTE NO BORRAR'!$A1314&lt;&gt;"Resultado total",('FUENTE NO BORRAR'!G1314),""))</f>
        <v>603602.18000000005</v>
      </c>
      <c r="H1296" s="6">
        <f>IF('FUENTE NO BORRAR'!H1314="","",IF('FUENTE NO BORRAR'!$A1314&lt;&gt;"Resultado total",('FUENTE NO BORRAR'!H1314),""))</f>
        <v>603602.18000000005</v>
      </c>
      <c r="I1296" s="6">
        <f>IF('FUENTE NO BORRAR'!I1314="","",IF('FUENTE NO BORRAR'!$A1314&lt;&gt;"Resultado total",('FUENTE NO BORRAR'!I1314),""))</f>
        <v>0</v>
      </c>
    </row>
    <row r="1297" spans="1:9" x14ac:dyDescent="0.2">
      <c r="A1297" s="5" t="str">
        <f>IF('FUENTE NO BORRAR'!A1315="","",(IF('FUENTE NO BORRAR'!A1315&lt;&gt;"Resultado total",'FUENTE NO BORRAR'!A1315,"")))</f>
        <v/>
      </c>
      <c r="B1297" s="5" t="str">
        <f>IF('FUENTE NO BORRAR'!B1315="","",'FUENTE NO BORRAR'!B1315)</f>
        <v/>
      </c>
      <c r="C1297" s="5" t="str">
        <f>IF('FUENTE NO BORRAR'!C1315="","",'FUENTE NO BORRAR'!C1315)</f>
        <v/>
      </c>
      <c r="D1297" s="5" t="str">
        <f>IF('FUENTE NO BORRAR'!D1315="","",'FUENTE NO BORRAR'!D1315)</f>
        <v/>
      </c>
      <c r="E1297" s="5" t="str">
        <f>IF('FUENTE NO BORRAR'!E1315="","",'FUENTE NO BORRAR'!E1315)</f>
        <v/>
      </c>
      <c r="F1297" s="6">
        <f>IF('FUENTE NO BORRAR'!F1315="","",IF('FUENTE NO BORRAR'!$A1315&lt;&gt;"Resultado total",('FUENTE NO BORRAR'!F1315),""))</f>
        <v>2359641.84</v>
      </c>
      <c r="G1297" s="6">
        <f>IF('FUENTE NO BORRAR'!G1315="","",IF('FUENTE NO BORRAR'!$A1315&lt;&gt;"Resultado total",('FUENTE NO BORRAR'!G1315),""))</f>
        <v>2359641.84</v>
      </c>
      <c r="H1297" s="6">
        <f>IF('FUENTE NO BORRAR'!H1315="","",IF('FUENTE NO BORRAR'!$A1315&lt;&gt;"Resultado total",('FUENTE NO BORRAR'!H1315),""))</f>
        <v>2359641.84</v>
      </c>
      <c r="I1297" s="6">
        <f>IF('FUENTE NO BORRAR'!I1315="","",IF('FUENTE NO BORRAR'!$A1315&lt;&gt;"Resultado total",('FUENTE NO BORRAR'!I1315),""))</f>
        <v>0</v>
      </c>
    </row>
    <row r="1298" spans="1:9" x14ac:dyDescent="0.2">
      <c r="A1298" s="5" t="str">
        <f>IF('FUENTE NO BORRAR'!A1316="","",(IF('FUENTE NO BORRAR'!A1316&lt;&gt;"Resultado total",'FUENTE NO BORRAR'!A1316,"")))</f>
        <v/>
      </c>
      <c r="B1298" s="5" t="str">
        <f>IF('FUENTE NO BORRAR'!B1316="","",'FUENTE NO BORRAR'!B1316)</f>
        <v/>
      </c>
      <c r="C1298" s="5" t="str">
        <f>IF('FUENTE NO BORRAR'!C1316="","",'FUENTE NO BORRAR'!C1316)</f>
        <v/>
      </c>
      <c r="D1298" s="5" t="str">
        <f>IF('FUENTE NO BORRAR'!D1316="","",'FUENTE NO BORRAR'!D1316)</f>
        <v/>
      </c>
      <c r="E1298" s="5" t="str">
        <f>IF('FUENTE NO BORRAR'!E1316="","",'FUENTE NO BORRAR'!E1316)</f>
        <v/>
      </c>
      <c r="F1298" s="6">
        <f>IF('FUENTE NO BORRAR'!F1316="","",IF('FUENTE NO BORRAR'!$A1316&lt;&gt;"Resultado total",('FUENTE NO BORRAR'!F1316),""))</f>
        <v>12404724.9</v>
      </c>
      <c r="G1298" s="6">
        <f>IF('FUENTE NO BORRAR'!G1316="","",IF('FUENTE NO BORRAR'!$A1316&lt;&gt;"Resultado total",('FUENTE NO BORRAR'!G1316),""))</f>
        <v>12404724.9</v>
      </c>
      <c r="H1298" s="6">
        <f>IF('FUENTE NO BORRAR'!H1316="","",IF('FUENTE NO BORRAR'!$A1316&lt;&gt;"Resultado total",('FUENTE NO BORRAR'!H1316),""))</f>
        <v>12380724.9</v>
      </c>
      <c r="I1298" s="6">
        <f>IF('FUENTE NO BORRAR'!I1316="","",IF('FUENTE NO BORRAR'!$A1316&lt;&gt;"Resultado total",('FUENTE NO BORRAR'!I1316),""))</f>
        <v>2.0000000000000001E-9</v>
      </c>
    </row>
    <row r="1299" spans="1:9" x14ac:dyDescent="0.2">
      <c r="A1299" s="5" t="str">
        <f>IF('FUENTE NO BORRAR'!A1317="","",(IF('FUENTE NO BORRAR'!A1317&lt;&gt;"Resultado total",'FUENTE NO BORRAR'!A1317,"")))</f>
        <v/>
      </c>
      <c r="B1299" s="5" t="str">
        <f>IF('FUENTE NO BORRAR'!B1317="","",'FUENTE NO BORRAR'!B1317)</f>
        <v/>
      </c>
      <c r="C1299" s="5" t="str">
        <f>IF('FUENTE NO BORRAR'!C1317="","",'FUENTE NO BORRAR'!C1317)</f>
        <v/>
      </c>
      <c r="D1299" s="5" t="str">
        <f>IF('FUENTE NO BORRAR'!D1317="","",'FUENTE NO BORRAR'!D1317)</f>
        <v/>
      </c>
      <c r="E1299" s="5" t="str">
        <f>IF('FUENTE NO BORRAR'!E1317="","",'FUENTE NO BORRAR'!E1317)</f>
        <v/>
      </c>
      <c r="F1299" s="6">
        <f>IF('FUENTE NO BORRAR'!F1317="","",IF('FUENTE NO BORRAR'!$A1317&lt;&gt;"Resultado total",('FUENTE NO BORRAR'!F1317),""))</f>
        <v>20782.72</v>
      </c>
      <c r="G1299" s="6">
        <f>IF('FUENTE NO BORRAR'!G1317="","",IF('FUENTE NO BORRAR'!$A1317&lt;&gt;"Resultado total",('FUENTE NO BORRAR'!G1317),""))</f>
        <v>20782.72</v>
      </c>
      <c r="H1299" s="6">
        <f>IF('FUENTE NO BORRAR'!H1317="","",IF('FUENTE NO BORRAR'!$A1317&lt;&gt;"Resultado total",('FUENTE NO BORRAR'!H1317),""))</f>
        <v>20782.72</v>
      </c>
      <c r="I1299" s="6">
        <f>IF('FUENTE NO BORRAR'!I1317="","",IF('FUENTE NO BORRAR'!$A1317&lt;&gt;"Resultado total",('FUENTE NO BORRAR'!I1317),""))</f>
        <v>0</v>
      </c>
    </row>
    <row r="1300" spans="1:9" x14ac:dyDescent="0.2">
      <c r="A1300" s="5" t="str">
        <f>IF('FUENTE NO BORRAR'!A1318="","",(IF('FUENTE NO BORRAR'!A1318&lt;&gt;"Resultado total",'FUENTE NO BORRAR'!A1318,"")))</f>
        <v/>
      </c>
      <c r="B1300" s="5" t="str">
        <f>IF('FUENTE NO BORRAR'!B1318="","",'FUENTE NO BORRAR'!B1318)</f>
        <v/>
      </c>
      <c r="C1300" s="5" t="str">
        <f>IF('FUENTE NO BORRAR'!C1318="","",'FUENTE NO BORRAR'!C1318)</f>
        <v/>
      </c>
      <c r="D1300" s="5" t="str">
        <f>IF('FUENTE NO BORRAR'!D1318="","",'FUENTE NO BORRAR'!D1318)</f>
        <v/>
      </c>
      <c r="E1300" s="5" t="str">
        <f>IF('FUENTE NO BORRAR'!E1318="","",'FUENTE NO BORRAR'!E1318)</f>
        <v/>
      </c>
      <c r="F1300" s="6">
        <f>IF('FUENTE NO BORRAR'!F1318="","",IF('FUENTE NO BORRAR'!$A1318&lt;&gt;"Resultado total",('FUENTE NO BORRAR'!F1318),""))</f>
        <v>5392.57</v>
      </c>
      <c r="G1300" s="6">
        <f>IF('FUENTE NO BORRAR'!G1318="","",IF('FUENTE NO BORRAR'!$A1318&lt;&gt;"Resultado total",('FUENTE NO BORRAR'!G1318),""))</f>
        <v>5392.57</v>
      </c>
      <c r="H1300" s="6">
        <f>IF('FUENTE NO BORRAR'!H1318="","",IF('FUENTE NO BORRAR'!$A1318&lt;&gt;"Resultado total",('FUENTE NO BORRAR'!H1318),""))</f>
        <v>5392.57</v>
      </c>
      <c r="I1300" s="6">
        <f>IF('FUENTE NO BORRAR'!I1318="","",IF('FUENTE NO BORRAR'!$A1318&lt;&gt;"Resultado total",('FUENTE NO BORRAR'!I1318),""))</f>
        <v>0</v>
      </c>
    </row>
    <row r="1301" spans="1:9" x14ac:dyDescent="0.2">
      <c r="A1301" s="5" t="str">
        <f>IF('FUENTE NO BORRAR'!A1319="","",(IF('FUENTE NO BORRAR'!A1319&lt;&gt;"Resultado total",'FUENTE NO BORRAR'!A1319,"")))</f>
        <v/>
      </c>
      <c r="B1301" s="5" t="str">
        <f>IF('FUENTE NO BORRAR'!B1319="","",'FUENTE NO BORRAR'!B1319)</f>
        <v/>
      </c>
      <c r="C1301" s="5" t="str">
        <f>IF('FUENTE NO BORRAR'!C1319="","",'FUENTE NO BORRAR'!C1319)</f>
        <v/>
      </c>
      <c r="D1301" s="5" t="str">
        <f>IF('FUENTE NO BORRAR'!D1319="","",'FUENTE NO BORRAR'!D1319)</f>
        <v/>
      </c>
      <c r="E1301" s="5" t="str">
        <f>IF('FUENTE NO BORRAR'!E1319="","",'FUENTE NO BORRAR'!E1319)</f>
        <v/>
      </c>
      <c r="F1301" s="6">
        <f>IF('FUENTE NO BORRAR'!F1319="","",IF('FUENTE NO BORRAR'!$A1319&lt;&gt;"Resultado total",('FUENTE NO BORRAR'!F1319),""))</f>
        <v>13902.06</v>
      </c>
      <c r="G1301" s="6">
        <f>IF('FUENTE NO BORRAR'!G1319="","",IF('FUENTE NO BORRAR'!$A1319&lt;&gt;"Resultado total",('FUENTE NO BORRAR'!G1319),""))</f>
        <v>13902.06</v>
      </c>
      <c r="H1301" s="6">
        <f>IF('FUENTE NO BORRAR'!H1319="","",IF('FUENTE NO BORRAR'!$A1319&lt;&gt;"Resultado total",('FUENTE NO BORRAR'!H1319),""))</f>
        <v>13902.06</v>
      </c>
      <c r="I1301" s="6">
        <f>IF('FUENTE NO BORRAR'!I1319="","",IF('FUENTE NO BORRAR'!$A1319&lt;&gt;"Resultado total",('FUENTE NO BORRAR'!I1319),""))</f>
        <v>0</v>
      </c>
    </row>
    <row r="1302" spans="1:9" x14ac:dyDescent="0.2">
      <c r="A1302" s="5" t="str">
        <f>IF('FUENTE NO BORRAR'!A1320="","",(IF('FUENTE NO BORRAR'!A1320&lt;&gt;"Resultado total",'FUENTE NO BORRAR'!A1320,"")))</f>
        <v/>
      </c>
      <c r="B1302" s="5" t="str">
        <f>IF('FUENTE NO BORRAR'!B1320="","",'FUENTE NO BORRAR'!B1320)</f>
        <v/>
      </c>
      <c r="C1302" s="5" t="str">
        <f>IF('FUENTE NO BORRAR'!C1320="","",'FUENTE NO BORRAR'!C1320)</f>
        <v/>
      </c>
      <c r="D1302" s="5" t="str">
        <f>IF('FUENTE NO BORRAR'!D1320="","",'FUENTE NO BORRAR'!D1320)</f>
        <v/>
      </c>
      <c r="E1302" s="5" t="str">
        <f>IF('FUENTE NO BORRAR'!E1320="","",'FUENTE NO BORRAR'!E1320)</f>
        <v/>
      </c>
      <c r="F1302" s="6">
        <f>IF('FUENTE NO BORRAR'!F1320="","",IF('FUENTE NO BORRAR'!$A1320&lt;&gt;"Resultado total",('FUENTE NO BORRAR'!F1320),""))</f>
        <v>43638.86</v>
      </c>
      <c r="G1302" s="6">
        <f>IF('FUENTE NO BORRAR'!G1320="","",IF('FUENTE NO BORRAR'!$A1320&lt;&gt;"Resultado total",('FUENTE NO BORRAR'!G1320),""))</f>
        <v>43638.86</v>
      </c>
      <c r="H1302" s="6">
        <f>IF('FUENTE NO BORRAR'!H1320="","",IF('FUENTE NO BORRAR'!$A1320&lt;&gt;"Resultado total",('FUENTE NO BORRAR'!H1320),""))</f>
        <v>43083.68</v>
      </c>
      <c r="I1302" s="6">
        <f>IF('FUENTE NO BORRAR'!I1320="","",IF('FUENTE NO BORRAR'!$A1320&lt;&gt;"Resultado total",('FUENTE NO BORRAR'!I1320),""))</f>
        <v>0</v>
      </c>
    </row>
    <row r="1303" spans="1:9" x14ac:dyDescent="0.2">
      <c r="A1303" s="5" t="str">
        <f>IF('FUENTE NO BORRAR'!A1321="","",(IF('FUENTE NO BORRAR'!A1321&lt;&gt;"Resultado total",'FUENTE NO BORRAR'!A1321,"")))</f>
        <v/>
      </c>
      <c r="B1303" s="5" t="str">
        <f>IF('FUENTE NO BORRAR'!B1321="","",'FUENTE NO BORRAR'!B1321)</f>
        <v/>
      </c>
      <c r="C1303" s="5" t="str">
        <f>IF('FUENTE NO BORRAR'!C1321="","",'FUENTE NO BORRAR'!C1321)</f>
        <v/>
      </c>
      <c r="D1303" s="5" t="str">
        <f>IF('FUENTE NO BORRAR'!D1321="","",'FUENTE NO BORRAR'!D1321)</f>
        <v/>
      </c>
      <c r="E1303" s="5" t="str">
        <f>IF('FUENTE NO BORRAR'!E1321="","",'FUENTE NO BORRAR'!E1321)</f>
        <v/>
      </c>
      <c r="F1303" s="6">
        <f>IF('FUENTE NO BORRAR'!F1321="","",IF('FUENTE NO BORRAR'!$A1321&lt;&gt;"Resultado total",('FUENTE NO BORRAR'!F1321),""))</f>
        <v>3906</v>
      </c>
      <c r="G1303" s="6">
        <f>IF('FUENTE NO BORRAR'!G1321="","",IF('FUENTE NO BORRAR'!$A1321&lt;&gt;"Resultado total",('FUENTE NO BORRAR'!G1321),""))</f>
        <v>3906</v>
      </c>
      <c r="H1303" s="6">
        <f>IF('FUENTE NO BORRAR'!H1321="","",IF('FUENTE NO BORRAR'!$A1321&lt;&gt;"Resultado total",('FUENTE NO BORRAR'!H1321),""))</f>
        <v>3906</v>
      </c>
      <c r="I1303" s="6">
        <f>IF('FUENTE NO BORRAR'!I1321="","",IF('FUENTE NO BORRAR'!$A1321&lt;&gt;"Resultado total",('FUENTE NO BORRAR'!I1321),""))</f>
        <v>0</v>
      </c>
    </row>
    <row r="1304" spans="1:9" x14ac:dyDescent="0.2">
      <c r="A1304" s="5" t="str">
        <f>IF('FUENTE NO BORRAR'!A1322="","",(IF('FUENTE NO BORRAR'!A1322&lt;&gt;"Resultado total",'FUENTE NO BORRAR'!A1322,"")))</f>
        <v/>
      </c>
      <c r="B1304" s="5" t="str">
        <f>IF('FUENTE NO BORRAR'!B1322="","",'FUENTE NO BORRAR'!B1322)</f>
        <v/>
      </c>
      <c r="C1304" s="5" t="str">
        <f>IF('FUENTE NO BORRAR'!C1322="","",'FUENTE NO BORRAR'!C1322)</f>
        <v/>
      </c>
      <c r="D1304" s="5" t="str">
        <f>IF('FUENTE NO BORRAR'!D1322="","",'FUENTE NO BORRAR'!D1322)</f>
        <v/>
      </c>
      <c r="E1304" s="5" t="str">
        <f>IF('FUENTE NO BORRAR'!E1322="","",'FUENTE NO BORRAR'!E1322)</f>
        <v/>
      </c>
      <c r="F1304" s="6">
        <f>IF('FUENTE NO BORRAR'!F1322="","",IF('FUENTE NO BORRAR'!$A1322&lt;&gt;"Resultado total",('FUENTE NO BORRAR'!F1322),""))</f>
        <v>15479.8</v>
      </c>
      <c r="G1304" s="6">
        <f>IF('FUENTE NO BORRAR'!G1322="","",IF('FUENTE NO BORRAR'!$A1322&lt;&gt;"Resultado total",('FUENTE NO BORRAR'!G1322),""))</f>
        <v>15479.8</v>
      </c>
      <c r="H1304" s="6">
        <f>IF('FUENTE NO BORRAR'!H1322="","",IF('FUENTE NO BORRAR'!$A1322&lt;&gt;"Resultado total",('FUENTE NO BORRAR'!H1322),""))</f>
        <v>15479.8</v>
      </c>
      <c r="I1304" s="6">
        <f>IF('FUENTE NO BORRAR'!I1322="","",IF('FUENTE NO BORRAR'!$A1322&lt;&gt;"Resultado total",('FUENTE NO BORRAR'!I1322),""))</f>
        <v>0</v>
      </c>
    </row>
    <row r="1305" spans="1:9" x14ac:dyDescent="0.2">
      <c r="A1305" s="5" t="str">
        <f>IF('FUENTE NO BORRAR'!A1323="","",(IF('FUENTE NO BORRAR'!A1323&lt;&gt;"Resultado total",'FUENTE NO BORRAR'!A1323,"")))</f>
        <v/>
      </c>
      <c r="B1305" s="5" t="str">
        <f>IF('FUENTE NO BORRAR'!B1323="","",'FUENTE NO BORRAR'!B1323)</f>
        <v/>
      </c>
      <c r="C1305" s="5" t="str">
        <f>IF('FUENTE NO BORRAR'!C1323="","",'FUENTE NO BORRAR'!C1323)</f>
        <v/>
      </c>
      <c r="D1305" s="5" t="str">
        <f>IF('FUENTE NO BORRAR'!D1323="","",'FUENTE NO BORRAR'!D1323)</f>
        <v/>
      </c>
      <c r="E1305" s="5" t="str">
        <f>IF('FUENTE NO BORRAR'!E1323="","",'FUENTE NO BORRAR'!E1323)</f>
        <v/>
      </c>
      <c r="F1305" s="6">
        <f>IF('FUENTE NO BORRAR'!F1323="","",IF('FUENTE NO BORRAR'!$A1323&lt;&gt;"Resultado total",('FUENTE NO BORRAR'!F1323),""))</f>
        <v>10000</v>
      </c>
      <c r="G1305" s="6">
        <f>IF('FUENTE NO BORRAR'!G1323="","",IF('FUENTE NO BORRAR'!$A1323&lt;&gt;"Resultado total",('FUENTE NO BORRAR'!G1323),""))</f>
        <v>10000</v>
      </c>
      <c r="H1305" s="6">
        <f>IF('FUENTE NO BORRAR'!H1323="","",IF('FUENTE NO BORRAR'!$A1323&lt;&gt;"Resultado total",('FUENTE NO BORRAR'!H1323),""))</f>
        <v>10000</v>
      </c>
      <c r="I1305" s="6">
        <f>IF('FUENTE NO BORRAR'!I1323="","",IF('FUENTE NO BORRAR'!$A1323&lt;&gt;"Resultado total",('FUENTE NO BORRAR'!I1323),""))</f>
        <v>0</v>
      </c>
    </row>
    <row r="1306" spans="1:9" x14ac:dyDescent="0.2">
      <c r="A1306" s="5" t="str">
        <f>IF('FUENTE NO BORRAR'!A1324="","",(IF('FUENTE NO BORRAR'!A1324&lt;&gt;"Resultado total",'FUENTE NO BORRAR'!A1324,"")))</f>
        <v/>
      </c>
      <c r="B1306" s="5" t="str">
        <f>IF('FUENTE NO BORRAR'!B1324="","",'FUENTE NO BORRAR'!B1324)</f>
        <v/>
      </c>
      <c r="C1306" s="5" t="str">
        <f>IF('FUENTE NO BORRAR'!C1324="","",'FUENTE NO BORRAR'!C1324)</f>
        <v/>
      </c>
      <c r="D1306" s="5" t="str">
        <f>IF('FUENTE NO BORRAR'!D1324="","",'FUENTE NO BORRAR'!D1324)</f>
        <v/>
      </c>
      <c r="E1306" s="5" t="str">
        <f>IF('FUENTE NO BORRAR'!E1324="","",'FUENTE NO BORRAR'!E1324)</f>
        <v/>
      </c>
      <c r="F1306" s="6">
        <f>IF('FUENTE NO BORRAR'!F1324="","",IF('FUENTE NO BORRAR'!$A1324&lt;&gt;"Resultado total",('FUENTE NO BORRAR'!F1324),""))</f>
        <v>40215.199999999997</v>
      </c>
      <c r="G1306" s="6">
        <f>IF('FUENTE NO BORRAR'!G1324="","",IF('FUENTE NO BORRAR'!$A1324&lt;&gt;"Resultado total",('FUENTE NO BORRAR'!G1324),""))</f>
        <v>40215.199999999997</v>
      </c>
      <c r="H1306" s="6">
        <f>IF('FUENTE NO BORRAR'!H1324="","",IF('FUENTE NO BORRAR'!$A1324&lt;&gt;"Resultado total",('FUENTE NO BORRAR'!H1324),""))</f>
        <v>38414.660000000003</v>
      </c>
      <c r="I1306" s="6">
        <f>IF('FUENTE NO BORRAR'!I1324="","",IF('FUENTE NO BORRAR'!$A1324&lt;&gt;"Resultado total",('FUENTE NO BORRAR'!I1324),""))</f>
        <v>0</v>
      </c>
    </row>
    <row r="1307" spans="1:9" x14ac:dyDescent="0.2">
      <c r="A1307" s="5" t="str">
        <f>IF('FUENTE NO BORRAR'!A1325="","",(IF('FUENTE NO BORRAR'!A1325&lt;&gt;"Resultado total",'FUENTE NO BORRAR'!A1325,"")))</f>
        <v/>
      </c>
      <c r="B1307" s="5" t="str">
        <f>IF('FUENTE NO BORRAR'!B1325="","",'FUENTE NO BORRAR'!B1325)</f>
        <v/>
      </c>
      <c r="C1307" s="5" t="str">
        <f>IF('FUENTE NO BORRAR'!C1325="","",'FUENTE NO BORRAR'!C1325)</f>
        <v/>
      </c>
      <c r="D1307" s="5" t="str">
        <f>IF('FUENTE NO BORRAR'!D1325="","",'FUENTE NO BORRAR'!D1325)</f>
        <v/>
      </c>
      <c r="E1307" s="5" t="str">
        <f>IF('FUENTE NO BORRAR'!E1325="","",'FUENTE NO BORRAR'!E1325)</f>
        <v/>
      </c>
      <c r="F1307" s="6">
        <f>IF('FUENTE NO BORRAR'!F1325="","",IF('FUENTE NO BORRAR'!$A1325&lt;&gt;"Resultado total",('FUENTE NO BORRAR'!F1325),""))</f>
        <v>5138.2700000000004</v>
      </c>
      <c r="G1307" s="6">
        <f>IF('FUENTE NO BORRAR'!G1325="","",IF('FUENTE NO BORRAR'!$A1325&lt;&gt;"Resultado total",('FUENTE NO BORRAR'!G1325),""))</f>
        <v>5138.2700000000004</v>
      </c>
      <c r="H1307" s="6">
        <f>IF('FUENTE NO BORRAR'!H1325="","",IF('FUENTE NO BORRAR'!$A1325&lt;&gt;"Resultado total",('FUENTE NO BORRAR'!H1325),""))</f>
        <v>4338.2700000000004</v>
      </c>
      <c r="I1307" s="6">
        <f>IF('FUENTE NO BORRAR'!I1325="","",IF('FUENTE NO BORRAR'!$A1325&lt;&gt;"Resultado total",('FUENTE NO BORRAR'!I1325),""))</f>
        <v>0</v>
      </c>
    </row>
    <row r="1308" spans="1:9" x14ac:dyDescent="0.2">
      <c r="A1308" s="5" t="str">
        <f>IF('FUENTE NO BORRAR'!A1326="","",(IF('FUENTE NO BORRAR'!A1326&lt;&gt;"Resultado total",'FUENTE NO BORRAR'!A1326,"")))</f>
        <v/>
      </c>
      <c r="B1308" s="5" t="str">
        <f>IF('FUENTE NO BORRAR'!B1326="","",'FUENTE NO BORRAR'!B1326)</f>
        <v/>
      </c>
      <c r="C1308" s="5" t="str">
        <f>IF('FUENTE NO BORRAR'!C1326="","",'FUENTE NO BORRAR'!C1326)</f>
        <v/>
      </c>
      <c r="D1308" s="5" t="str">
        <f>IF('FUENTE NO BORRAR'!D1326="","",'FUENTE NO BORRAR'!D1326)</f>
        <v/>
      </c>
      <c r="E1308" s="5" t="str">
        <f>IF('FUENTE NO BORRAR'!E1326="","",'FUENTE NO BORRAR'!E1326)</f>
        <v/>
      </c>
      <c r="F1308" s="6">
        <f>IF('FUENTE NO BORRAR'!F1326="","",IF('FUENTE NO BORRAR'!$A1326&lt;&gt;"Resultado total",('FUENTE NO BORRAR'!F1326),""))</f>
        <v>11962.9</v>
      </c>
      <c r="G1308" s="6">
        <f>IF('FUENTE NO BORRAR'!G1326="","",IF('FUENTE NO BORRAR'!$A1326&lt;&gt;"Resultado total",('FUENTE NO BORRAR'!G1326),""))</f>
        <v>11962.9</v>
      </c>
      <c r="H1308" s="6">
        <f>IF('FUENTE NO BORRAR'!H1326="","",IF('FUENTE NO BORRAR'!$A1326&lt;&gt;"Resultado total",('FUENTE NO BORRAR'!H1326),""))</f>
        <v>11962.9</v>
      </c>
      <c r="I1308" s="6">
        <f>IF('FUENTE NO BORRAR'!I1326="","",IF('FUENTE NO BORRAR'!$A1326&lt;&gt;"Resultado total",('FUENTE NO BORRAR'!I1326),""))</f>
        <v>0</v>
      </c>
    </row>
    <row r="1309" spans="1:9" x14ac:dyDescent="0.2">
      <c r="A1309" s="5" t="str">
        <f>IF('FUENTE NO BORRAR'!A1327="","",(IF('FUENTE NO BORRAR'!A1327&lt;&gt;"Resultado total",'FUENTE NO BORRAR'!A1327,"")))</f>
        <v/>
      </c>
      <c r="B1309" s="5" t="str">
        <f>IF('FUENTE NO BORRAR'!B1327="","",'FUENTE NO BORRAR'!B1327)</f>
        <v/>
      </c>
      <c r="C1309" s="5" t="str">
        <f>IF('FUENTE NO BORRAR'!C1327="","",'FUENTE NO BORRAR'!C1327)</f>
        <v/>
      </c>
      <c r="D1309" s="5" t="str">
        <f>IF('FUENTE NO BORRAR'!D1327="","",'FUENTE NO BORRAR'!D1327)</f>
        <v/>
      </c>
      <c r="E1309" s="5" t="str">
        <f>IF('FUENTE NO BORRAR'!E1327="","",'FUENTE NO BORRAR'!E1327)</f>
        <v/>
      </c>
      <c r="F1309" s="6">
        <f>IF('FUENTE NO BORRAR'!F1327="","",IF('FUENTE NO BORRAR'!$A1327&lt;&gt;"Resultado total",('FUENTE NO BORRAR'!F1327),""))</f>
        <v>84408.3</v>
      </c>
      <c r="G1309" s="6">
        <f>IF('FUENTE NO BORRAR'!G1327="","",IF('FUENTE NO BORRAR'!$A1327&lt;&gt;"Resultado total",('FUENTE NO BORRAR'!G1327),""))</f>
        <v>84408.3</v>
      </c>
      <c r="H1309" s="6">
        <f>IF('FUENTE NO BORRAR'!H1327="","",IF('FUENTE NO BORRAR'!$A1327&lt;&gt;"Resultado total",('FUENTE NO BORRAR'!H1327),""))</f>
        <v>71068.3</v>
      </c>
      <c r="I1309" s="6">
        <f>IF('FUENTE NO BORRAR'!I1327="","",IF('FUENTE NO BORRAR'!$A1327&lt;&gt;"Resultado total",('FUENTE NO BORRAR'!I1327),""))</f>
        <v>0</v>
      </c>
    </row>
    <row r="1310" spans="1:9" x14ac:dyDescent="0.2">
      <c r="A1310" s="5" t="str">
        <f>IF('FUENTE NO BORRAR'!A1328="","",(IF('FUENTE NO BORRAR'!A1328&lt;&gt;"Resultado total",'FUENTE NO BORRAR'!A1328,"")))</f>
        <v/>
      </c>
      <c r="B1310" s="5" t="str">
        <f>IF('FUENTE NO BORRAR'!B1328="","",'FUENTE NO BORRAR'!B1328)</f>
        <v/>
      </c>
      <c r="C1310" s="5" t="str">
        <f>IF('FUENTE NO BORRAR'!C1328="","",'FUENTE NO BORRAR'!C1328)</f>
        <v/>
      </c>
      <c r="D1310" s="5" t="str">
        <f>IF('FUENTE NO BORRAR'!D1328="","",'FUENTE NO BORRAR'!D1328)</f>
        <v/>
      </c>
      <c r="E1310" s="5" t="str">
        <f>IF('FUENTE NO BORRAR'!E1328="","",'FUENTE NO BORRAR'!E1328)</f>
        <v/>
      </c>
      <c r="F1310" s="6">
        <f>IF('FUENTE NO BORRAR'!F1328="","",IF('FUENTE NO BORRAR'!$A1328&lt;&gt;"Resultado total",('FUENTE NO BORRAR'!F1328),""))</f>
        <v>92.54</v>
      </c>
      <c r="G1310" s="6">
        <f>IF('FUENTE NO BORRAR'!G1328="","",IF('FUENTE NO BORRAR'!$A1328&lt;&gt;"Resultado total",('FUENTE NO BORRAR'!G1328),""))</f>
        <v>92.54</v>
      </c>
      <c r="H1310" s="6">
        <f>IF('FUENTE NO BORRAR'!H1328="","",IF('FUENTE NO BORRAR'!$A1328&lt;&gt;"Resultado total",('FUENTE NO BORRAR'!H1328),""))</f>
        <v>0</v>
      </c>
      <c r="I1310" s="6">
        <f>IF('FUENTE NO BORRAR'!I1328="","",IF('FUENTE NO BORRAR'!$A1328&lt;&gt;"Resultado total",('FUENTE NO BORRAR'!I1328),""))</f>
        <v>0</v>
      </c>
    </row>
    <row r="1311" spans="1:9" x14ac:dyDescent="0.2">
      <c r="A1311" s="5" t="str">
        <f>IF('FUENTE NO BORRAR'!A1329="","",(IF('FUENTE NO BORRAR'!A1329&lt;&gt;"Resultado total",'FUENTE NO BORRAR'!A1329,"")))</f>
        <v/>
      </c>
      <c r="B1311" s="5" t="str">
        <f>IF('FUENTE NO BORRAR'!B1329="","",'FUENTE NO BORRAR'!B1329)</f>
        <v/>
      </c>
      <c r="C1311" s="5" t="str">
        <f>IF('FUENTE NO BORRAR'!C1329="","",'FUENTE NO BORRAR'!C1329)</f>
        <v/>
      </c>
      <c r="D1311" s="5" t="str">
        <f>IF('FUENTE NO BORRAR'!D1329="","",'FUENTE NO BORRAR'!D1329)</f>
        <v/>
      </c>
      <c r="E1311" s="5" t="str">
        <f>IF('FUENTE NO BORRAR'!E1329="","",'FUENTE NO BORRAR'!E1329)</f>
        <v/>
      </c>
      <c r="F1311" s="6">
        <f>IF('FUENTE NO BORRAR'!F1329="","",IF('FUENTE NO BORRAR'!$A1329&lt;&gt;"Resultado total",('FUENTE NO BORRAR'!F1329),""))</f>
        <v>86104.87</v>
      </c>
      <c r="G1311" s="6">
        <f>IF('FUENTE NO BORRAR'!G1329="","",IF('FUENTE NO BORRAR'!$A1329&lt;&gt;"Resultado total",('FUENTE NO BORRAR'!G1329),""))</f>
        <v>86104.87</v>
      </c>
      <c r="H1311" s="6">
        <f>IF('FUENTE NO BORRAR'!H1329="","",IF('FUENTE NO BORRAR'!$A1329&lt;&gt;"Resultado total",('FUENTE NO BORRAR'!H1329),""))</f>
        <v>51356.49</v>
      </c>
      <c r="I1311" s="6">
        <f>IF('FUENTE NO BORRAR'!I1329="","",IF('FUENTE NO BORRAR'!$A1329&lt;&gt;"Resultado total",('FUENTE NO BORRAR'!I1329),""))</f>
        <v>0</v>
      </c>
    </row>
    <row r="1312" spans="1:9" x14ac:dyDescent="0.2">
      <c r="A1312" s="5" t="str">
        <f>IF('FUENTE NO BORRAR'!A1330="","",(IF('FUENTE NO BORRAR'!A1330&lt;&gt;"Resultado total",'FUENTE NO BORRAR'!A1330,"")))</f>
        <v/>
      </c>
      <c r="B1312" s="5" t="str">
        <f>IF('FUENTE NO BORRAR'!B1330="","",'FUENTE NO BORRAR'!B1330)</f>
        <v/>
      </c>
      <c r="C1312" s="5" t="str">
        <f>IF('FUENTE NO BORRAR'!C1330="","",'FUENTE NO BORRAR'!C1330)</f>
        <v/>
      </c>
      <c r="D1312" s="5" t="str">
        <f>IF('FUENTE NO BORRAR'!D1330="","",'FUENTE NO BORRAR'!D1330)</f>
        <v/>
      </c>
      <c r="E1312" s="5" t="str">
        <f>IF('FUENTE NO BORRAR'!E1330="","",'FUENTE NO BORRAR'!E1330)</f>
        <v/>
      </c>
      <c r="F1312" s="6">
        <f>IF('FUENTE NO BORRAR'!F1330="","",IF('FUENTE NO BORRAR'!$A1330&lt;&gt;"Resultado total",('FUENTE NO BORRAR'!F1330),""))</f>
        <v>84556.6</v>
      </c>
      <c r="G1312" s="6">
        <f>IF('FUENTE NO BORRAR'!G1330="","",IF('FUENTE NO BORRAR'!$A1330&lt;&gt;"Resultado total",('FUENTE NO BORRAR'!G1330),""))</f>
        <v>84556.6</v>
      </c>
      <c r="H1312" s="6">
        <f>IF('FUENTE NO BORRAR'!H1330="","",IF('FUENTE NO BORRAR'!$A1330&lt;&gt;"Resultado total",('FUENTE NO BORRAR'!H1330),""))</f>
        <v>56642.62</v>
      </c>
      <c r="I1312" s="6">
        <f>IF('FUENTE NO BORRAR'!I1330="","",IF('FUENTE NO BORRAR'!$A1330&lt;&gt;"Resultado total",('FUENTE NO BORRAR'!I1330),""))</f>
        <v>0</v>
      </c>
    </row>
    <row r="1313" spans="1:9" x14ac:dyDescent="0.2">
      <c r="A1313" s="5" t="str">
        <f>IF('FUENTE NO BORRAR'!A1331="","",(IF('FUENTE NO BORRAR'!A1331&lt;&gt;"Resultado total",'FUENTE NO BORRAR'!A1331,"")))</f>
        <v/>
      </c>
      <c r="B1313" s="5" t="str">
        <f>IF('FUENTE NO BORRAR'!B1331="","",'FUENTE NO BORRAR'!B1331)</f>
        <v/>
      </c>
      <c r="C1313" s="5" t="str">
        <f>IF('FUENTE NO BORRAR'!C1331="","",'FUENTE NO BORRAR'!C1331)</f>
        <v/>
      </c>
      <c r="D1313" s="5" t="str">
        <f>IF('FUENTE NO BORRAR'!D1331="","",'FUENTE NO BORRAR'!D1331)</f>
        <v/>
      </c>
      <c r="E1313" s="5" t="str">
        <f>IF('FUENTE NO BORRAR'!E1331="","",'FUENTE NO BORRAR'!E1331)</f>
        <v/>
      </c>
      <c r="F1313" s="6">
        <f>IF('FUENTE NO BORRAR'!F1331="","",IF('FUENTE NO BORRAR'!$A1331&lt;&gt;"Resultado total",('FUENTE NO BORRAR'!F1331),""))</f>
        <v>168538.16</v>
      </c>
      <c r="G1313" s="6">
        <f>IF('FUENTE NO BORRAR'!G1331="","",IF('FUENTE NO BORRAR'!$A1331&lt;&gt;"Resultado total",('FUENTE NO BORRAR'!G1331),""))</f>
        <v>168538.16</v>
      </c>
      <c r="H1313" s="6">
        <f>IF('FUENTE NO BORRAR'!H1331="","",IF('FUENTE NO BORRAR'!$A1331&lt;&gt;"Resultado total",('FUENTE NO BORRAR'!H1331),""))</f>
        <v>160342.59</v>
      </c>
      <c r="I1313" s="6">
        <f>IF('FUENTE NO BORRAR'!I1331="","",IF('FUENTE NO BORRAR'!$A1331&lt;&gt;"Resultado total",('FUENTE NO BORRAR'!I1331),""))</f>
        <v>0</v>
      </c>
    </row>
    <row r="1314" spans="1:9" x14ac:dyDescent="0.2">
      <c r="A1314" s="5" t="str">
        <f>IF('FUENTE NO BORRAR'!A1332="","",(IF('FUENTE NO BORRAR'!A1332&lt;&gt;"Resultado total",'FUENTE NO BORRAR'!A1332,"")))</f>
        <v/>
      </c>
      <c r="B1314" s="5" t="str">
        <f>IF('FUENTE NO BORRAR'!B1332="","",'FUENTE NO BORRAR'!B1332)</f>
        <v/>
      </c>
      <c r="C1314" s="5" t="str">
        <f>IF('FUENTE NO BORRAR'!C1332="","",'FUENTE NO BORRAR'!C1332)</f>
        <v/>
      </c>
      <c r="D1314" s="5" t="str">
        <f>IF('FUENTE NO BORRAR'!D1332="","",'FUENTE NO BORRAR'!D1332)</f>
        <v/>
      </c>
      <c r="E1314" s="5" t="str">
        <f>IF('FUENTE NO BORRAR'!E1332="","",'FUENTE NO BORRAR'!E1332)</f>
        <v/>
      </c>
      <c r="F1314" s="6">
        <f>IF('FUENTE NO BORRAR'!F1332="","",IF('FUENTE NO BORRAR'!$A1332&lt;&gt;"Resultado total",('FUENTE NO BORRAR'!F1332),""))</f>
        <v>1253.98</v>
      </c>
      <c r="G1314" s="6">
        <f>IF('FUENTE NO BORRAR'!G1332="","",IF('FUENTE NO BORRAR'!$A1332&lt;&gt;"Resultado total",('FUENTE NO BORRAR'!G1332),""))</f>
        <v>1253.98</v>
      </c>
      <c r="H1314" s="6">
        <f>IF('FUENTE NO BORRAR'!H1332="","",IF('FUENTE NO BORRAR'!$A1332&lt;&gt;"Resultado total",('FUENTE NO BORRAR'!H1332),""))</f>
        <v>1253.98</v>
      </c>
      <c r="I1314" s="6">
        <f>IF('FUENTE NO BORRAR'!I1332="","",IF('FUENTE NO BORRAR'!$A1332&lt;&gt;"Resultado total",('FUENTE NO BORRAR'!I1332),""))</f>
        <v>0</v>
      </c>
    </row>
    <row r="1315" spans="1:9" x14ac:dyDescent="0.2">
      <c r="A1315" s="5" t="str">
        <f>IF('FUENTE NO BORRAR'!A1333="","",(IF('FUENTE NO BORRAR'!A1333&lt;&gt;"Resultado total",'FUENTE NO BORRAR'!A1333,"")))</f>
        <v/>
      </c>
      <c r="B1315" s="5" t="str">
        <f>IF('FUENTE NO BORRAR'!B1333="","",'FUENTE NO BORRAR'!B1333)</f>
        <v/>
      </c>
      <c r="C1315" s="5" t="str">
        <f>IF('FUENTE NO BORRAR'!C1333="","",'FUENTE NO BORRAR'!C1333)</f>
        <v/>
      </c>
      <c r="D1315" s="5" t="str">
        <f>IF('FUENTE NO BORRAR'!D1333="","",'FUENTE NO BORRAR'!D1333)</f>
        <v/>
      </c>
      <c r="E1315" s="5" t="str">
        <f>IF('FUENTE NO BORRAR'!E1333="","",'FUENTE NO BORRAR'!E1333)</f>
        <v/>
      </c>
      <c r="F1315" s="6">
        <f>IF('FUENTE NO BORRAR'!F1333="","",IF('FUENTE NO BORRAR'!$A1333&lt;&gt;"Resultado total",('FUENTE NO BORRAR'!F1333),""))</f>
        <v>600</v>
      </c>
      <c r="G1315" s="6">
        <f>IF('FUENTE NO BORRAR'!G1333="","",IF('FUENTE NO BORRAR'!$A1333&lt;&gt;"Resultado total",('FUENTE NO BORRAR'!G1333),""))</f>
        <v>600</v>
      </c>
      <c r="H1315" s="6">
        <f>IF('FUENTE NO BORRAR'!H1333="","",IF('FUENTE NO BORRAR'!$A1333&lt;&gt;"Resultado total",('FUENTE NO BORRAR'!H1333),""))</f>
        <v>600</v>
      </c>
      <c r="I1315" s="6">
        <f>IF('FUENTE NO BORRAR'!I1333="","",IF('FUENTE NO BORRAR'!$A1333&lt;&gt;"Resultado total",('FUENTE NO BORRAR'!I1333),""))</f>
        <v>0</v>
      </c>
    </row>
    <row r="1316" spans="1:9" x14ac:dyDescent="0.2">
      <c r="A1316" s="5" t="str">
        <f>IF('FUENTE NO BORRAR'!A1334="","",(IF('FUENTE NO BORRAR'!A1334&lt;&gt;"Resultado total",'FUENTE NO BORRAR'!A1334,"")))</f>
        <v/>
      </c>
      <c r="B1316" s="5" t="str">
        <f>IF('FUENTE NO BORRAR'!B1334="","",'FUENTE NO BORRAR'!B1334)</f>
        <v/>
      </c>
      <c r="C1316" s="5" t="str">
        <f>IF('FUENTE NO BORRAR'!C1334="","",'FUENTE NO BORRAR'!C1334)</f>
        <v/>
      </c>
      <c r="D1316" s="5" t="str">
        <f>IF('FUENTE NO BORRAR'!D1334="","",'FUENTE NO BORRAR'!D1334)</f>
        <v/>
      </c>
      <c r="E1316" s="5" t="str">
        <f>IF('FUENTE NO BORRAR'!E1334="","",'FUENTE NO BORRAR'!E1334)</f>
        <v/>
      </c>
      <c r="F1316" s="6">
        <f>IF('FUENTE NO BORRAR'!F1334="","",IF('FUENTE NO BORRAR'!$A1334&lt;&gt;"Resultado total",('FUENTE NO BORRAR'!F1334),""))</f>
        <v>82431.62</v>
      </c>
      <c r="G1316" s="6">
        <f>IF('FUENTE NO BORRAR'!G1334="","",IF('FUENTE NO BORRAR'!$A1334&lt;&gt;"Resultado total",('FUENTE NO BORRAR'!G1334),""))</f>
        <v>82431.62</v>
      </c>
      <c r="H1316" s="6">
        <f>IF('FUENTE NO BORRAR'!H1334="","",IF('FUENTE NO BORRAR'!$A1334&lt;&gt;"Resultado total",('FUENTE NO BORRAR'!H1334),""))</f>
        <v>13135.66</v>
      </c>
      <c r="I1316" s="6">
        <f>IF('FUENTE NO BORRAR'!I1334="","",IF('FUENTE NO BORRAR'!$A1334&lt;&gt;"Resultado total",('FUENTE NO BORRAR'!I1334),""))</f>
        <v>0</v>
      </c>
    </row>
    <row r="1317" spans="1:9" x14ac:dyDescent="0.2">
      <c r="A1317" s="5" t="str">
        <f>IF('FUENTE NO BORRAR'!A1335="","",(IF('FUENTE NO BORRAR'!A1335&lt;&gt;"Resultado total",'FUENTE NO BORRAR'!A1335,"")))</f>
        <v/>
      </c>
      <c r="B1317" s="5" t="str">
        <f>IF('FUENTE NO BORRAR'!B1335="","",'FUENTE NO BORRAR'!B1335)</f>
        <v/>
      </c>
      <c r="C1317" s="5" t="str">
        <f>IF('FUENTE NO BORRAR'!C1335="","",'FUENTE NO BORRAR'!C1335)</f>
        <v/>
      </c>
      <c r="D1317" s="5" t="str">
        <f>IF('FUENTE NO BORRAR'!D1335="","",'FUENTE NO BORRAR'!D1335)</f>
        <v/>
      </c>
      <c r="E1317" s="5" t="str">
        <f>IF('FUENTE NO BORRAR'!E1335="","",'FUENTE NO BORRAR'!E1335)</f>
        <v/>
      </c>
      <c r="F1317" s="6">
        <f>IF('FUENTE NO BORRAR'!F1335="","",IF('FUENTE NO BORRAR'!$A1335&lt;&gt;"Resultado total",('FUENTE NO BORRAR'!F1335),""))</f>
        <v>25010.17</v>
      </c>
      <c r="G1317" s="6">
        <f>IF('FUENTE NO BORRAR'!G1335="","",IF('FUENTE NO BORRAR'!$A1335&lt;&gt;"Resultado total",('FUENTE NO BORRAR'!G1335),""))</f>
        <v>25010.17</v>
      </c>
      <c r="H1317" s="6">
        <f>IF('FUENTE NO BORRAR'!H1335="","",IF('FUENTE NO BORRAR'!$A1335&lt;&gt;"Resultado total",('FUENTE NO BORRAR'!H1335),""))</f>
        <v>8309.51</v>
      </c>
      <c r="I1317" s="6">
        <f>IF('FUENTE NO BORRAR'!I1335="","",IF('FUENTE NO BORRAR'!$A1335&lt;&gt;"Resultado total",('FUENTE NO BORRAR'!I1335),""))</f>
        <v>0</v>
      </c>
    </row>
    <row r="1318" spans="1:9" x14ac:dyDescent="0.2">
      <c r="A1318" s="5" t="str">
        <f>IF('FUENTE NO BORRAR'!A1336="","",(IF('FUENTE NO BORRAR'!A1336&lt;&gt;"Resultado total",'FUENTE NO BORRAR'!A1336,"")))</f>
        <v/>
      </c>
      <c r="B1318" s="5" t="str">
        <f>IF('FUENTE NO BORRAR'!B1336="","",'FUENTE NO BORRAR'!B1336)</f>
        <v/>
      </c>
      <c r="C1318" s="5" t="str">
        <f>IF('FUENTE NO BORRAR'!C1336="","",'FUENTE NO BORRAR'!C1336)</f>
        <v/>
      </c>
      <c r="D1318" s="5" t="str">
        <f>IF('FUENTE NO BORRAR'!D1336="","",'FUENTE NO BORRAR'!D1336)</f>
        <v/>
      </c>
      <c r="E1318" s="5" t="str">
        <f>IF('FUENTE NO BORRAR'!E1336="","",'FUENTE NO BORRAR'!E1336)</f>
        <v/>
      </c>
      <c r="F1318" s="6">
        <f>IF('FUENTE NO BORRAR'!F1336="","",IF('FUENTE NO BORRAR'!$A1336&lt;&gt;"Resultado total",('FUENTE NO BORRAR'!F1336),""))</f>
        <v>73390.259999999995</v>
      </c>
      <c r="G1318" s="6">
        <f>IF('FUENTE NO BORRAR'!G1336="","",IF('FUENTE NO BORRAR'!$A1336&lt;&gt;"Resultado total",('FUENTE NO BORRAR'!G1336),""))</f>
        <v>73390.259999999995</v>
      </c>
      <c r="H1318" s="6">
        <f>IF('FUENTE NO BORRAR'!H1336="","",IF('FUENTE NO BORRAR'!$A1336&lt;&gt;"Resultado total",('FUENTE NO BORRAR'!H1336),""))</f>
        <v>70972.240000000005</v>
      </c>
      <c r="I1318" s="6">
        <f>IF('FUENTE NO BORRAR'!I1336="","",IF('FUENTE NO BORRAR'!$A1336&lt;&gt;"Resultado total",('FUENTE NO BORRAR'!I1336),""))</f>
        <v>0</v>
      </c>
    </row>
    <row r="1319" spans="1:9" x14ac:dyDescent="0.2">
      <c r="A1319" s="5" t="str">
        <f>IF('FUENTE NO BORRAR'!A1337="","",(IF('FUENTE NO BORRAR'!A1337&lt;&gt;"Resultado total",'FUENTE NO BORRAR'!A1337,"")))</f>
        <v/>
      </c>
      <c r="B1319" s="5" t="str">
        <f>IF('FUENTE NO BORRAR'!B1337="","",'FUENTE NO BORRAR'!B1337)</f>
        <v/>
      </c>
      <c r="C1319" s="5" t="str">
        <f>IF('FUENTE NO BORRAR'!C1337="","",'FUENTE NO BORRAR'!C1337)</f>
        <v/>
      </c>
      <c r="D1319" s="5" t="str">
        <f>IF('FUENTE NO BORRAR'!D1337="","",'FUENTE NO BORRAR'!D1337)</f>
        <v/>
      </c>
      <c r="E1319" s="5" t="str">
        <f>IF('FUENTE NO BORRAR'!E1337="","",'FUENTE NO BORRAR'!E1337)</f>
        <v/>
      </c>
      <c r="F1319" s="6">
        <f>IF('FUENTE NO BORRAR'!F1337="","",IF('FUENTE NO BORRAR'!$A1337&lt;&gt;"Resultado total",('FUENTE NO BORRAR'!F1337),""))</f>
        <v>19602.48</v>
      </c>
      <c r="G1319" s="6">
        <f>IF('FUENTE NO BORRAR'!G1337="","",IF('FUENTE NO BORRAR'!$A1337&lt;&gt;"Resultado total",('FUENTE NO BORRAR'!G1337),""))</f>
        <v>19602.48</v>
      </c>
      <c r="H1319" s="6">
        <f>IF('FUENTE NO BORRAR'!H1337="","",IF('FUENTE NO BORRAR'!$A1337&lt;&gt;"Resultado total",('FUENTE NO BORRAR'!H1337),""))</f>
        <v>19554.48</v>
      </c>
      <c r="I1319" s="6">
        <f>IF('FUENTE NO BORRAR'!I1337="","",IF('FUENTE NO BORRAR'!$A1337&lt;&gt;"Resultado total",('FUENTE NO BORRAR'!I1337),""))</f>
        <v>0</v>
      </c>
    </row>
    <row r="1320" spans="1:9" x14ac:dyDescent="0.2">
      <c r="A1320" s="5" t="str">
        <f>IF('FUENTE NO BORRAR'!A1338="","",(IF('FUENTE NO BORRAR'!A1338&lt;&gt;"Resultado total",'FUENTE NO BORRAR'!A1338,"")))</f>
        <v/>
      </c>
      <c r="B1320" s="5" t="str">
        <f>IF('FUENTE NO BORRAR'!B1338="","",'FUENTE NO BORRAR'!B1338)</f>
        <v/>
      </c>
      <c r="C1320" s="5" t="str">
        <f>IF('FUENTE NO BORRAR'!C1338="","",'FUENTE NO BORRAR'!C1338)</f>
        <v/>
      </c>
      <c r="D1320" s="5" t="str">
        <f>IF('FUENTE NO BORRAR'!D1338="","",'FUENTE NO BORRAR'!D1338)</f>
        <v/>
      </c>
      <c r="E1320" s="5" t="str">
        <f>IF('FUENTE NO BORRAR'!E1338="","",'FUENTE NO BORRAR'!E1338)</f>
        <v/>
      </c>
      <c r="F1320" s="6">
        <f>IF('FUENTE NO BORRAR'!F1338="","",IF('FUENTE NO BORRAR'!$A1338&lt;&gt;"Resultado total",('FUENTE NO BORRAR'!F1338),""))</f>
        <v>191822.38</v>
      </c>
      <c r="G1320" s="6">
        <f>IF('FUENTE NO BORRAR'!G1338="","",IF('FUENTE NO BORRAR'!$A1338&lt;&gt;"Resultado total",('FUENTE NO BORRAR'!G1338),""))</f>
        <v>191822.38</v>
      </c>
      <c r="H1320" s="6">
        <f>IF('FUENTE NO BORRAR'!H1338="","",IF('FUENTE NO BORRAR'!$A1338&lt;&gt;"Resultado total",('FUENTE NO BORRAR'!H1338),""))</f>
        <v>160224.89000000001</v>
      </c>
      <c r="I1320" s="6">
        <f>IF('FUENTE NO BORRAR'!I1338="","",IF('FUENTE NO BORRAR'!$A1338&lt;&gt;"Resultado total",('FUENTE NO BORRAR'!I1338),""))</f>
        <v>0</v>
      </c>
    </row>
    <row r="1321" spans="1:9" x14ac:dyDescent="0.2">
      <c r="A1321" s="5" t="str">
        <f>IF('FUENTE NO BORRAR'!A1339="","",(IF('FUENTE NO BORRAR'!A1339&lt;&gt;"Resultado total",'FUENTE NO BORRAR'!A1339,"")))</f>
        <v/>
      </c>
      <c r="B1321" s="5" t="str">
        <f>IF('FUENTE NO BORRAR'!B1339="","",'FUENTE NO BORRAR'!B1339)</f>
        <v/>
      </c>
      <c r="C1321" s="5" t="str">
        <f>IF('FUENTE NO BORRAR'!C1339="","",'FUENTE NO BORRAR'!C1339)</f>
        <v/>
      </c>
      <c r="D1321" s="5" t="str">
        <f>IF('FUENTE NO BORRAR'!D1339="","",'FUENTE NO BORRAR'!D1339)</f>
        <v/>
      </c>
      <c r="E1321" s="5" t="str">
        <f>IF('FUENTE NO BORRAR'!E1339="","",'FUENTE NO BORRAR'!E1339)</f>
        <v/>
      </c>
      <c r="F1321" s="6">
        <f>IF('FUENTE NO BORRAR'!F1339="","",IF('FUENTE NO BORRAR'!$A1339&lt;&gt;"Resultado total",('FUENTE NO BORRAR'!F1339),""))</f>
        <v>528.66</v>
      </c>
      <c r="G1321" s="6">
        <f>IF('FUENTE NO BORRAR'!G1339="","",IF('FUENTE NO BORRAR'!$A1339&lt;&gt;"Resultado total",('FUENTE NO BORRAR'!G1339),""))</f>
        <v>528.66</v>
      </c>
      <c r="H1321" s="6">
        <f>IF('FUENTE NO BORRAR'!H1339="","",IF('FUENTE NO BORRAR'!$A1339&lt;&gt;"Resultado total",('FUENTE NO BORRAR'!H1339),""))</f>
        <v>528.66</v>
      </c>
      <c r="I1321" s="6">
        <f>IF('FUENTE NO BORRAR'!I1339="","",IF('FUENTE NO BORRAR'!$A1339&lt;&gt;"Resultado total",('FUENTE NO BORRAR'!I1339),""))</f>
        <v>0</v>
      </c>
    </row>
    <row r="1322" spans="1:9" x14ac:dyDescent="0.2">
      <c r="A1322" s="5" t="str">
        <f>IF('FUENTE NO BORRAR'!A1340="","",(IF('FUENTE NO BORRAR'!A1340&lt;&gt;"Resultado total",'FUENTE NO BORRAR'!A1340,"")))</f>
        <v/>
      </c>
      <c r="B1322" s="5" t="str">
        <f>IF('FUENTE NO BORRAR'!B1340="","",'FUENTE NO BORRAR'!B1340)</f>
        <v/>
      </c>
      <c r="C1322" s="5" t="str">
        <f>IF('FUENTE NO BORRAR'!C1340="","",'FUENTE NO BORRAR'!C1340)</f>
        <v/>
      </c>
      <c r="D1322" s="5" t="str">
        <f>IF('FUENTE NO BORRAR'!D1340="","",'FUENTE NO BORRAR'!D1340)</f>
        <v/>
      </c>
      <c r="E1322" s="5" t="str">
        <f>IF('FUENTE NO BORRAR'!E1340="","",'FUENTE NO BORRAR'!E1340)</f>
        <v/>
      </c>
      <c r="F1322" s="6">
        <f>IF('FUENTE NO BORRAR'!F1340="","",IF('FUENTE NO BORRAR'!$A1340&lt;&gt;"Resultado total",('FUENTE NO BORRAR'!F1340),""))</f>
        <v>412.01</v>
      </c>
      <c r="G1322" s="6">
        <f>IF('FUENTE NO BORRAR'!G1340="","",IF('FUENTE NO BORRAR'!$A1340&lt;&gt;"Resultado total",('FUENTE NO BORRAR'!G1340),""))</f>
        <v>412.01</v>
      </c>
      <c r="H1322" s="6">
        <f>IF('FUENTE NO BORRAR'!H1340="","",IF('FUENTE NO BORRAR'!$A1340&lt;&gt;"Resultado total",('FUENTE NO BORRAR'!H1340),""))</f>
        <v>412.01</v>
      </c>
      <c r="I1322" s="6">
        <f>IF('FUENTE NO BORRAR'!I1340="","",IF('FUENTE NO BORRAR'!$A1340&lt;&gt;"Resultado total",('FUENTE NO BORRAR'!I1340),""))</f>
        <v>0</v>
      </c>
    </row>
    <row r="1323" spans="1:9" x14ac:dyDescent="0.2">
      <c r="A1323" s="5" t="str">
        <f>IF('FUENTE NO BORRAR'!A1341="","",(IF('FUENTE NO BORRAR'!A1341&lt;&gt;"Resultado total",'FUENTE NO BORRAR'!A1341,"")))</f>
        <v/>
      </c>
      <c r="B1323" s="5" t="str">
        <f>IF('FUENTE NO BORRAR'!B1341="","",'FUENTE NO BORRAR'!B1341)</f>
        <v/>
      </c>
      <c r="C1323" s="5" t="str">
        <f>IF('FUENTE NO BORRAR'!C1341="","",'FUENTE NO BORRAR'!C1341)</f>
        <v/>
      </c>
      <c r="D1323" s="5" t="str">
        <f>IF('FUENTE NO BORRAR'!D1341="","",'FUENTE NO BORRAR'!D1341)</f>
        <v/>
      </c>
      <c r="E1323" s="5" t="str">
        <f>IF('FUENTE NO BORRAR'!E1341="","",'FUENTE NO BORRAR'!E1341)</f>
        <v/>
      </c>
      <c r="F1323" s="6">
        <f>IF('FUENTE NO BORRAR'!F1341="","",IF('FUENTE NO BORRAR'!$A1341&lt;&gt;"Resultado total",('FUENTE NO BORRAR'!F1341),""))</f>
        <v>0</v>
      </c>
      <c r="G1323" s="6">
        <f>IF('FUENTE NO BORRAR'!G1341="","",IF('FUENTE NO BORRAR'!$A1341&lt;&gt;"Resultado total",('FUENTE NO BORRAR'!G1341),""))</f>
        <v>0</v>
      </c>
      <c r="H1323" s="6">
        <f>IF('FUENTE NO BORRAR'!H1341="","",IF('FUENTE NO BORRAR'!$A1341&lt;&gt;"Resultado total",('FUENTE NO BORRAR'!H1341),""))</f>
        <v>0</v>
      </c>
      <c r="I1323" s="6">
        <f>IF('FUENTE NO BORRAR'!I1341="","",IF('FUENTE NO BORRAR'!$A1341&lt;&gt;"Resultado total",('FUENTE NO BORRAR'!I1341),""))</f>
        <v>0</v>
      </c>
    </row>
    <row r="1324" spans="1:9" x14ac:dyDescent="0.2">
      <c r="A1324" s="5" t="str">
        <f>IF('FUENTE NO BORRAR'!A1342="","",(IF('FUENTE NO BORRAR'!A1342&lt;&gt;"Resultado total",'FUENTE NO BORRAR'!A1342,"")))</f>
        <v/>
      </c>
      <c r="B1324" s="5" t="str">
        <f>IF('FUENTE NO BORRAR'!B1342="","",'FUENTE NO BORRAR'!B1342)</f>
        <v/>
      </c>
      <c r="C1324" s="5" t="str">
        <f>IF('FUENTE NO BORRAR'!C1342="","",'FUENTE NO BORRAR'!C1342)</f>
        <v/>
      </c>
      <c r="D1324" s="5" t="str">
        <f>IF('FUENTE NO BORRAR'!D1342="","",'FUENTE NO BORRAR'!D1342)</f>
        <v/>
      </c>
      <c r="E1324" s="5" t="str">
        <f>IF('FUENTE NO BORRAR'!E1342="","",'FUENTE NO BORRAR'!E1342)</f>
        <v/>
      </c>
      <c r="F1324" s="6">
        <f>IF('FUENTE NO BORRAR'!F1342="","",IF('FUENTE NO BORRAR'!$A1342&lt;&gt;"Resultado total",('FUENTE NO BORRAR'!F1342),""))</f>
        <v>0</v>
      </c>
      <c r="G1324" s="6">
        <f>IF('FUENTE NO BORRAR'!G1342="","",IF('FUENTE NO BORRAR'!$A1342&lt;&gt;"Resultado total",('FUENTE NO BORRAR'!G1342),""))</f>
        <v>0</v>
      </c>
      <c r="H1324" s="6">
        <f>IF('FUENTE NO BORRAR'!H1342="","",IF('FUENTE NO BORRAR'!$A1342&lt;&gt;"Resultado total",('FUENTE NO BORRAR'!H1342),""))</f>
        <v>0</v>
      </c>
      <c r="I1324" s="6">
        <f>IF('FUENTE NO BORRAR'!I1342="","",IF('FUENTE NO BORRAR'!$A1342&lt;&gt;"Resultado total",('FUENTE NO BORRAR'!I1342),""))</f>
        <v>0</v>
      </c>
    </row>
    <row r="1325" spans="1:9" x14ac:dyDescent="0.2">
      <c r="A1325" s="5" t="str">
        <f>IF('FUENTE NO BORRAR'!A1343="","",(IF('FUENTE NO BORRAR'!A1343&lt;&gt;"Resultado total",'FUENTE NO BORRAR'!A1343,"")))</f>
        <v/>
      </c>
      <c r="B1325" s="5" t="str">
        <f>IF('FUENTE NO BORRAR'!B1343="","",'FUENTE NO BORRAR'!B1343)</f>
        <v/>
      </c>
      <c r="C1325" s="5" t="str">
        <f>IF('FUENTE NO BORRAR'!C1343="","",'FUENTE NO BORRAR'!C1343)</f>
        <v/>
      </c>
      <c r="D1325" s="5" t="str">
        <f>IF('FUENTE NO BORRAR'!D1343="","",'FUENTE NO BORRAR'!D1343)</f>
        <v/>
      </c>
      <c r="E1325" s="5" t="str">
        <f>IF('FUENTE NO BORRAR'!E1343="","",'FUENTE NO BORRAR'!E1343)</f>
        <v/>
      </c>
      <c r="F1325" s="6">
        <f>IF('FUENTE NO BORRAR'!F1343="","",IF('FUENTE NO BORRAR'!$A1343&lt;&gt;"Resultado total",('FUENTE NO BORRAR'!F1343),""))</f>
        <v>25964.74</v>
      </c>
      <c r="G1325" s="6">
        <f>IF('FUENTE NO BORRAR'!G1343="","",IF('FUENTE NO BORRAR'!$A1343&lt;&gt;"Resultado total",('FUENTE NO BORRAR'!G1343),""))</f>
        <v>25964.74</v>
      </c>
      <c r="H1325" s="6">
        <f>IF('FUENTE NO BORRAR'!H1343="","",IF('FUENTE NO BORRAR'!$A1343&lt;&gt;"Resultado total",('FUENTE NO BORRAR'!H1343),""))</f>
        <v>25572.75</v>
      </c>
      <c r="I1325" s="6">
        <f>IF('FUENTE NO BORRAR'!I1343="","",IF('FUENTE NO BORRAR'!$A1343&lt;&gt;"Resultado total",('FUENTE NO BORRAR'!I1343),""))</f>
        <v>0</v>
      </c>
    </row>
    <row r="1326" spans="1:9" x14ac:dyDescent="0.2">
      <c r="A1326" s="5" t="str">
        <f>IF('FUENTE NO BORRAR'!A1344="","",(IF('FUENTE NO BORRAR'!A1344&lt;&gt;"Resultado total",'FUENTE NO BORRAR'!A1344,"")))</f>
        <v/>
      </c>
      <c r="B1326" s="5" t="str">
        <f>IF('FUENTE NO BORRAR'!B1344="","",'FUENTE NO BORRAR'!B1344)</f>
        <v/>
      </c>
      <c r="C1326" s="5" t="str">
        <f>IF('FUENTE NO BORRAR'!C1344="","",'FUENTE NO BORRAR'!C1344)</f>
        <v/>
      </c>
      <c r="D1326" s="5" t="str">
        <f>IF('FUENTE NO BORRAR'!D1344="","",'FUENTE NO BORRAR'!D1344)</f>
        <v/>
      </c>
      <c r="E1326" s="5" t="str">
        <f>IF('FUENTE NO BORRAR'!E1344="","",'FUENTE NO BORRAR'!E1344)</f>
        <v/>
      </c>
      <c r="F1326" s="6">
        <f>IF('FUENTE NO BORRAR'!F1344="","",IF('FUENTE NO BORRAR'!$A1344&lt;&gt;"Resultado total",('FUENTE NO BORRAR'!F1344),""))</f>
        <v>12291.19</v>
      </c>
      <c r="G1326" s="6">
        <f>IF('FUENTE NO BORRAR'!G1344="","",IF('FUENTE NO BORRAR'!$A1344&lt;&gt;"Resultado total",('FUENTE NO BORRAR'!G1344),""))</f>
        <v>12291.19</v>
      </c>
      <c r="H1326" s="6">
        <f>IF('FUENTE NO BORRAR'!H1344="","",IF('FUENTE NO BORRAR'!$A1344&lt;&gt;"Resultado total",('FUENTE NO BORRAR'!H1344),""))</f>
        <v>0</v>
      </c>
      <c r="I1326" s="6">
        <f>IF('FUENTE NO BORRAR'!I1344="","",IF('FUENTE NO BORRAR'!$A1344&lt;&gt;"Resultado total",('FUENTE NO BORRAR'!I1344),""))</f>
        <v>0</v>
      </c>
    </row>
    <row r="1327" spans="1:9" x14ac:dyDescent="0.2">
      <c r="A1327" s="5" t="str">
        <f>IF('FUENTE NO BORRAR'!A1345="","",(IF('FUENTE NO BORRAR'!A1345&lt;&gt;"Resultado total",'FUENTE NO BORRAR'!A1345,"")))</f>
        <v/>
      </c>
      <c r="B1327" s="5" t="str">
        <f>IF('FUENTE NO BORRAR'!B1345="","",'FUENTE NO BORRAR'!B1345)</f>
        <v/>
      </c>
      <c r="C1327" s="5" t="str">
        <f>IF('FUENTE NO BORRAR'!C1345="","",'FUENTE NO BORRAR'!C1345)</f>
        <v/>
      </c>
      <c r="D1327" s="5" t="str">
        <f>IF('FUENTE NO BORRAR'!D1345="","",'FUENTE NO BORRAR'!D1345)</f>
        <v/>
      </c>
      <c r="E1327" s="5" t="str">
        <f>IF('FUENTE NO BORRAR'!E1345="","",'FUENTE NO BORRAR'!E1345)</f>
        <v/>
      </c>
      <c r="F1327" s="6">
        <f>IF('FUENTE NO BORRAR'!F1345="","",IF('FUENTE NO BORRAR'!$A1345&lt;&gt;"Resultado total",('FUENTE NO BORRAR'!F1345),""))</f>
        <v>10902.48</v>
      </c>
      <c r="G1327" s="6">
        <f>IF('FUENTE NO BORRAR'!G1345="","",IF('FUENTE NO BORRAR'!$A1345&lt;&gt;"Resultado total",('FUENTE NO BORRAR'!G1345),""))</f>
        <v>10902.48</v>
      </c>
      <c r="H1327" s="6">
        <f>IF('FUENTE NO BORRAR'!H1345="","",IF('FUENTE NO BORRAR'!$A1345&lt;&gt;"Resultado total",('FUENTE NO BORRAR'!H1345),""))</f>
        <v>1889.98</v>
      </c>
      <c r="I1327" s="6">
        <f>IF('FUENTE NO BORRAR'!I1345="","",IF('FUENTE NO BORRAR'!$A1345&lt;&gt;"Resultado total",('FUENTE NO BORRAR'!I1345),""))</f>
        <v>0</v>
      </c>
    </row>
    <row r="1328" spans="1:9" x14ac:dyDescent="0.2">
      <c r="A1328" s="5" t="str">
        <f>IF('FUENTE NO BORRAR'!A1346="","",(IF('FUENTE NO BORRAR'!A1346&lt;&gt;"Resultado total",'FUENTE NO BORRAR'!A1346,"")))</f>
        <v/>
      </c>
      <c r="B1328" s="5" t="str">
        <f>IF('FUENTE NO BORRAR'!B1346="","",'FUENTE NO BORRAR'!B1346)</f>
        <v/>
      </c>
      <c r="C1328" s="5" t="str">
        <f>IF('FUENTE NO BORRAR'!C1346="","",'FUENTE NO BORRAR'!C1346)</f>
        <v/>
      </c>
      <c r="D1328" s="5" t="str">
        <f>IF('FUENTE NO BORRAR'!D1346="","",'FUENTE NO BORRAR'!D1346)</f>
        <v/>
      </c>
      <c r="E1328" s="5" t="str">
        <f>IF('FUENTE NO BORRAR'!E1346="","",'FUENTE NO BORRAR'!E1346)</f>
        <v/>
      </c>
      <c r="F1328" s="6">
        <f>IF('FUENTE NO BORRAR'!F1346="","",IF('FUENTE NO BORRAR'!$A1346&lt;&gt;"Resultado total",('FUENTE NO BORRAR'!F1346),""))</f>
        <v>104695.89</v>
      </c>
      <c r="G1328" s="6">
        <f>IF('FUENTE NO BORRAR'!G1346="","",IF('FUENTE NO BORRAR'!$A1346&lt;&gt;"Resultado total",('FUENTE NO BORRAR'!G1346),""))</f>
        <v>104695.89</v>
      </c>
      <c r="H1328" s="6">
        <f>IF('FUENTE NO BORRAR'!H1346="","",IF('FUENTE NO BORRAR'!$A1346&lt;&gt;"Resultado total",('FUENTE NO BORRAR'!H1346),""))</f>
        <v>101530.89</v>
      </c>
      <c r="I1328" s="6">
        <f>IF('FUENTE NO BORRAR'!I1346="","",IF('FUENTE NO BORRAR'!$A1346&lt;&gt;"Resultado total",('FUENTE NO BORRAR'!I1346),""))</f>
        <v>0</v>
      </c>
    </row>
    <row r="1329" spans="1:9" x14ac:dyDescent="0.2">
      <c r="A1329" s="5" t="str">
        <f>IF('FUENTE NO BORRAR'!A1347="","",(IF('FUENTE NO BORRAR'!A1347&lt;&gt;"Resultado total",'FUENTE NO BORRAR'!A1347,"")))</f>
        <v/>
      </c>
      <c r="B1329" s="5" t="str">
        <f>IF('FUENTE NO BORRAR'!B1347="","",'FUENTE NO BORRAR'!B1347)</f>
        <v/>
      </c>
      <c r="C1329" s="5" t="str">
        <f>IF('FUENTE NO BORRAR'!C1347="","",'FUENTE NO BORRAR'!C1347)</f>
        <v/>
      </c>
      <c r="D1329" s="5" t="str">
        <f>IF('FUENTE NO BORRAR'!D1347="","",'FUENTE NO BORRAR'!D1347)</f>
        <v/>
      </c>
      <c r="E1329" s="5" t="str">
        <f>IF('FUENTE NO BORRAR'!E1347="","",'FUENTE NO BORRAR'!E1347)</f>
        <v/>
      </c>
      <c r="F1329" s="6">
        <f>IF('FUENTE NO BORRAR'!F1347="","",IF('FUENTE NO BORRAR'!$A1347&lt;&gt;"Resultado total",('FUENTE NO BORRAR'!F1347),""))</f>
        <v>34514978.149999999</v>
      </c>
      <c r="G1329" s="6">
        <f>IF('FUENTE NO BORRAR'!G1347="","",IF('FUENTE NO BORRAR'!$A1347&lt;&gt;"Resultado total",('FUENTE NO BORRAR'!G1347),""))</f>
        <v>34514978.149999999</v>
      </c>
      <c r="H1329" s="6">
        <f>IF('FUENTE NO BORRAR'!H1347="","",IF('FUENTE NO BORRAR'!$A1347&lt;&gt;"Resultado total",('FUENTE NO BORRAR'!H1347),""))</f>
        <v>34514978.149999999</v>
      </c>
      <c r="I1329" s="6">
        <f>IF('FUENTE NO BORRAR'!I1347="","",IF('FUENTE NO BORRAR'!$A1347&lt;&gt;"Resultado total",('FUENTE NO BORRAR'!I1347),""))</f>
        <v>0</v>
      </c>
    </row>
    <row r="1330" spans="1:9" x14ac:dyDescent="0.2">
      <c r="A1330" s="5" t="str">
        <f>IF('FUENTE NO BORRAR'!A1348="","",(IF('FUENTE NO BORRAR'!A1348&lt;&gt;"Resultado total",'FUENTE NO BORRAR'!A1348,"")))</f>
        <v/>
      </c>
      <c r="B1330" s="5" t="str">
        <f>IF('FUENTE NO BORRAR'!B1348="","",'FUENTE NO BORRAR'!B1348)</f>
        <v/>
      </c>
      <c r="C1330" s="5" t="str">
        <f>IF('FUENTE NO BORRAR'!C1348="","",'FUENTE NO BORRAR'!C1348)</f>
        <v/>
      </c>
      <c r="D1330" s="5" t="str">
        <f>IF('FUENTE NO BORRAR'!D1348="","",'FUENTE NO BORRAR'!D1348)</f>
        <v/>
      </c>
      <c r="E1330" s="5" t="str">
        <f>IF('FUENTE NO BORRAR'!E1348="","",'FUENTE NO BORRAR'!E1348)</f>
        <v/>
      </c>
      <c r="F1330" s="6">
        <f>IF('FUENTE NO BORRAR'!F1348="","",IF('FUENTE NO BORRAR'!$A1348&lt;&gt;"Resultado total",('FUENTE NO BORRAR'!F1348),""))</f>
        <v>54989</v>
      </c>
      <c r="G1330" s="6">
        <f>IF('FUENTE NO BORRAR'!G1348="","",IF('FUENTE NO BORRAR'!$A1348&lt;&gt;"Resultado total",('FUENTE NO BORRAR'!G1348),""))</f>
        <v>54989</v>
      </c>
      <c r="H1330" s="6">
        <f>IF('FUENTE NO BORRAR'!H1348="","",IF('FUENTE NO BORRAR'!$A1348&lt;&gt;"Resultado total",('FUENTE NO BORRAR'!H1348),""))</f>
        <v>54989</v>
      </c>
      <c r="I1330" s="6">
        <f>IF('FUENTE NO BORRAR'!I1348="","",IF('FUENTE NO BORRAR'!$A1348&lt;&gt;"Resultado total",('FUENTE NO BORRAR'!I1348),""))</f>
        <v>0</v>
      </c>
    </row>
    <row r="1331" spans="1:9" x14ac:dyDescent="0.2">
      <c r="A1331" s="5" t="str">
        <f>IF('FUENTE NO BORRAR'!A1349="","",(IF('FUENTE NO BORRAR'!A1349&lt;&gt;"Resultado total",'FUENTE NO BORRAR'!A1349,"")))</f>
        <v/>
      </c>
      <c r="B1331" s="5" t="str">
        <f>IF('FUENTE NO BORRAR'!B1349="","",'FUENTE NO BORRAR'!B1349)</f>
        <v/>
      </c>
      <c r="C1331" s="5" t="str">
        <f>IF('FUENTE NO BORRAR'!C1349="","",'FUENTE NO BORRAR'!C1349)</f>
        <v/>
      </c>
      <c r="D1331" s="5" t="str">
        <f>IF('FUENTE NO BORRAR'!D1349="","",'FUENTE NO BORRAR'!D1349)</f>
        <v/>
      </c>
      <c r="E1331" s="5" t="str">
        <f>IF('FUENTE NO BORRAR'!E1349="","",'FUENTE NO BORRAR'!E1349)</f>
        <v/>
      </c>
      <c r="F1331" s="6">
        <f>IF('FUENTE NO BORRAR'!F1349="","",IF('FUENTE NO BORRAR'!$A1349&lt;&gt;"Resultado total",('FUENTE NO BORRAR'!F1349),""))</f>
        <v>12711.26</v>
      </c>
      <c r="G1331" s="6">
        <f>IF('FUENTE NO BORRAR'!G1349="","",IF('FUENTE NO BORRAR'!$A1349&lt;&gt;"Resultado total",('FUENTE NO BORRAR'!G1349),""))</f>
        <v>12711.26</v>
      </c>
      <c r="H1331" s="6">
        <f>IF('FUENTE NO BORRAR'!H1349="","",IF('FUENTE NO BORRAR'!$A1349&lt;&gt;"Resultado total",('FUENTE NO BORRAR'!H1349),""))</f>
        <v>12711.26</v>
      </c>
      <c r="I1331" s="6">
        <f>IF('FUENTE NO BORRAR'!I1349="","",IF('FUENTE NO BORRAR'!$A1349&lt;&gt;"Resultado total",('FUENTE NO BORRAR'!I1349),""))</f>
        <v>0</v>
      </c>
    </row>
    <row r="1332" spans="1:9" x14ac:dyDescent="0.2">
      <c r="A1332" s="5" t="str">
        <f>IF('FUENTE NO BORRAR'!A1350="","",(IF('FUENTE NO BORRAR'!A1350&lt;&gt;"Resultado total",'FUENTE NO BORRAR'!A1350,"")))</f>
        <v/>
      </c>
      <c r="B1332" s="5" t="str">
        <f>IF('FUENTE NO BORRAR'!B1350="","",'FUENTE NO BORRAR'!B1350)</f>
        <v/>
      </c>
      <c r="C1332" s="5" t="str">
        <f>IF('FUENTE NO BORRAR'!C1350="","",'FUENTE NO BORRAR'!C1350)</f>
        <v/>
      </c>
      <c r="D1332" s="5" t="str">
        <f>IF('FUENTE NO BORRAR'!D1350="","",'FUENTE NO BORRAR'!D1350)</f>
        <v/>
      </c>
      <c r="E1332" s="5" t="str">
        <f>IF('FUENTE NO BORRAR'!E1350="","",'FUENTE NO BORRAR'!E1350)</f>
        <v/>
      </c>
      <c r="F1332" s="6">
        <f>IF('FUENTE NO BORRAR'!F1350="","",IF('FUENTE NO BORRAR'!$A1350&lt;&gt;"Resultado total",('FUENTE NO BORRAR'!F1350),""))</f>
        <v>685196.89</v>
      </c>
      <c r="G1332" s="6">
        <f>IF('FUENTE NO BORRAR'!G1350="","",IF('FUENTE NO BORRAR'!$A1350&lt;&gt;"Resultado total",('FUENTE NO BORRAR'!G1350),""))</f>
        <v>685196.89</v>
      </c>
      <c r="H1332" s="6">
        <f>IF('FUENTE NO BORRAR'!H1350="","",IF('FUENTE NO BORRAR'!$A1350&lt;&gt;"Resultado total",('FUENTE NO BORRAR'!H1350),""))</f>
        <v>615596.89</v>
      </c>
      <c r="I1332" s="6">
        <f>IF('FUENTE NO BORRAR'!I1350="","",IF('FUENTE NO BORRAR'!$A1350&lt;&gt;"Resultado total",('FUENTE NO BORRAR'!I1350),""))</f>
        <v>0</v>
      </c>
    </row>
    <row r="1333" spans="1:9" x14ac:dyDescent="0.2">
      <c r="A1333" s="5" t="str">
        <f>IF('FUENTE NO BORRAR'!A1351="","",(IF('FUENTE NO BORRAR'!A1351&lt;&gt;"Resultado total",'FUENTE NO BORRAR'!A1351,"")))</f>
        <v/>
      </c>
      <c r="B1333" s="5" t="str">
        <f>IF('FUENTE NO BORRAR'!B1351="","",'FUENTE NO BORRAR'!B1351)</f>
        <v/>
      </c>
      <c r="C1333" s="5" t="str">
        <f>IF('FUENTE NO BORRAR'!C1351="","",'FUENTE NO BORRAR'!C1351)</f>
        <v/>
      </c>
      <c r="D1333" s="5" t="str">
        <f>IF('FUENTE NO BORRAR'!D1351="","",'FUENTE NO BORRAR'!D1351)</f>
        <v/>
      </c>
      <c r="E1333" s="5" t="str">
        <f>IF('FUENTE NO BORRAR'!E1351="","",'FUENTE NO BORRAR'!E1351)</f>
        <v/>
      </c>
      <c r="F1333" s="6">
        <f>IF('FUENTE NO BORRAR'!F1351="","",IF('FUENTE NO BORRAR'!$A1351&lt;&gt;"Resultado total",('FUENTE NO BORRAR'!F1351),""))</f>
        <v>0</v>
      </c>
      <c r="G1333" s="6">
        <f>IF('FUENTE NO BORRAR'!G1351="","",IF('FUENTE NO BORRAR'!$A1351&lt;&gt;"Resultado total",('FUENTE NO BORRAR'!G1351),""))</f>
        <v>0</v>
      </c>
      <c r="H1333" s="6">
        <f>IF('FUENTE NO BORRAR'!H1351="","",IF('FUENTE NO BORRAR'!$A1351&lt;&gt;"Resultado total",('FUENTE NO BORRAR'!H1351),""))</f>
        <v>0</v>
      </c>
      <c r="I1333" s="6">
        <f>IF('FUENTE NO BORRAR'!I1351="","",IF('FUENTE NO BORRAR'!$A1351&lt;&gt;"Resultado total",('FUENTE NO BORRAR'!I1351),""))</f>
        <v>0</v>
      </c>
    </row>
    <row r="1334" spans="1:9" x14ac:dyDescent="0.2">
      <c r="A1334" s="5" t="str">
        <f>IF('FUENTE NO BORRAR'!A1352="","",(IF('FUENTE NO BORRAR'!A1352&lt;&gt;"Resultado total",'FUENTE NO BORRAR'!A1352,"")))</f>
        <v/>
      </c>
      <c r="B1334" s="5" t="str">
        <f>IF('FUENTE NO BORRAR'!B1352="","",'FUENTE NO BORRAR'!B1352)</f>
        <v/>
      </c>
      <c r="C1334" s="5" t="str">
        <f>IF('FUENTE NO BORRAR'!C1352="","",'FUENTE NO BORRAR'!C1352)</f>
        <v/>
      </c>
      <c r="D1334" s="5" t="str">
        <f>IF('FUENTE NO BORRAR'!D1352="","",'FUENTE NO BORRAR'!D1352)</f>
        <v/>
      </c>
      <c r="E1334" s="5" t="str">
        <f>IF('FUENTE NO BORRAR'!E1352="","",'FUENTE NO BORRAR'!E1352)</f>
        <v/>
      </c>
      <c r="F1334" s="6">
        <f>IF('FUENTE NO BORRAR'!F1352="","",IF('FUENTE NO BORRAR'!$A1352&lt;&gt;"Resultado total",('FUENTE NO BORRAR'!F1352),""))</f>
        <v>138150.34</v>
      </c>
      <c r="G1334" s="6">
        <f>IF('FUENTE NO BORRAR'!G1352="","",IF('FUENTE NO BORRAR'!$A1352&lt;&gt;"Resultado total",('FUENTE NO BORRAR'!G1352),""))</f>
        <v>138150.34</v>
      </c>
      <c r="H1334" s="6">
        <f>IF('FUENTE NO BORRAR'!H1352="","",IF('FUENTE NO BORRAR'!$A1352&lt;&gt;"Resultado total",('FUENTE NO BORRAR'!H1352),""))</f>
        <v>130484.48</v>
      </c>
      <c r="I1334" s="6">
        <f>IF('FUENTE NO BORRAR'!I1352="","",IF('FUENTE NO BORRAR'!$A1352&lt;&gt;"Resultado total",('FUENTE NO BORRAR'!I1352),""))</f>
        <v>0</v>
      </c>
    </row>
    <row r="1335" spans="1:9" x14ac:dyDescent="0.2">
      <c r="A1335" s="5" t="str">
        <f>IF('FUENTE NO BORRAR'!A1353="","",(IF('FUENTE NO BORRAR'!A1353&lt;&gt;"Resultado total",'FUENTE NO BORRAR'!A1353,"")))</f>
        <v/>
      </c>
      <c r="B1335" s="5" t="str">
        <f>IF('FUENTE NO BORRAR'!B1353="","",'FUENTE NO BORRAR'!B1353)</f>
        <v/>
      </c>
      <c r="C1335" s="5" t="str">
        <f>IF('FUENTE NO BORRAR'!C1353="","",'FUENTE NO BORRAR'!C1353)</f>
        <v/>
      </c>
      <c r="D1335" s="5" t="str">
        <f>IF('FUENTE NO BORRAR'!D1353="","",'FUENTE NO BORRAR'!D1353)</f>
        <v/>
      </c>
      <c r="E1335" s="5" t="str">
        <f>IF('FUENTE NO BORRAR'!E1353="","",'FUENTE NO BORRAR'!E1353)</f>
        <v/>
      </c>
      <c r="F1335" s="6">
        <f>IF('FUENTE NO BORRAR'!F1353="","",IF('FUENTE NO BORRAR'!$A1353&lt;&gt;"Resultado total",('FUENTE NO BORRAR'!F1353),""))</f>
        <v>29348</v>
      </c>
      <c r="G1335" s="6">
        <f>IF('FUENTE NO BORRAR'!G1353="","",IF('FUENTE NO BORRAR'!$A1353&lt;&gt;"Resultado total",('FUENTE NO BORRAR'!G1353),""))</f>
        <v>29348</v>
      </c>
      <c r="H1335" s="6">
        <f>IF('FUENTE NO BORRAR'!H1353="","",IF('FUENTE NO BORRAR'!$A1353&lt;&gt;"Resultado total",('FUENTE NO BORRAR'!H1353),""))</f>
        <v>29348</v>
      </c>
      <c r="I1335" s="6">
        <f>IF('FUENTE NO BORRAR'!I1353="","",IF('FUENTE NO BORRAR'!$A1353&lt;&gt;"Resultado total",('FUENTE NO BORRAR'!I1353),""))</f>
        <v>0</v>
      </c>
    </row>
    <row r="1336" spans="1:9" x14ac:dyDescent="0.2">
      <c r="A1336" s="5" t="str">
        <f>IF('FUENTE NO BORRAR'!A1354="","",(IF('FUENTE NO BORRAR'!A1354&lt;&gt;"Resultado total",'FUENTE NO BORRAR'!A1354,"")))</f>
        <v/>
      </c>
      <c r="B1336" s="5" t="str">
        <f>IF('FUENTE NO BORRAR'!B1354="","",'FUENTE NO BORRAR'!B1354)</f>
        <v/>
      </c>
      <c r="C1336" s="5" t="str">
        <f>IF('FUENTE NO BORRAR'!C1354="","",'FUENTE NO BORRAR'!C1354)</f>
        <v/>
      </c>
      <c r="D1336" s="5" t="str">
        <f>IF('FUENTE NO BORRAR'!D1354="","",'FUENTE NO BORRAR'!D1354)</f>
        <v/>
      </c>
      <c r="E1336" s="5" t="str">
        <f>IF('FUENTE NO BORRAR'!E1354="","",'FUENTE NO BORRAR'!E1354)</f>
        <v/>
      </c>
      <c r="F1336" s="6">
        <f>IF('FUENTE NO BORRAR'!F1354="","",IF('FUENTE NO BORRAR'!$A1354&lt;&gt;"Resultado total",('FUENTE NO BORRAR'!F1354),""))</f>
        <v>2784</v>
      </c>
      <c r="G1336" s="6">
        <f>IF('FUENTE NO BORRAR'!G1354="","",IF('FUENTE NO BORRAR'!$A1354&lt;&gt;"Resultado total",('FUENTE NO BORRAR'!G1354),""))</f>
        <v>2784</v>
      </c>
      <c r="H1336" s="6">
        <f>IF('FUENTE NO BORRAR'!H1354="","",IF('FUENTE NO BORRAR'!$A1354&lt;&gt;"Resultado total",('FUENTE NO BORRAR'!H1354),""))</f>
        <v>2784</v>
      </c>
      <c r="I1336" s="6">
        <f>IF('FUENTE NO BORRAR'!I1354="","",IF('FUENTE NO BORRAR'!$A1354&lt;&gt;"Resultado total",('FUENTE NO BORRAR'!I1354),""))</f>
        <v>0</v>
      </c>
    </row>
    <row r="1337" spans="1:9" x14ac:dyDescent="0.2">
      <c r="A1337" s="5" t="str">
        <f>IF('FUENTE NO BORRAR'!A1355="","",(IF('FUENTE NO BORRAR'!A1355&lt;&gt;"Resultado total",'FUENTE NO BORRAR'!A1355,"")))</f>
        <v/>
      </c>
      <c r="B1337" s="5" t="str">
        <f>IF('FUENTE NO BORRAR'!B1355="","",'FUENTE NO BORRAR'!B1355)</f>
        <v/>
      </c>
      <c r="C1337" s="5" t="str">
        <f>IF('FUENTE NO BORRAR'!C1355="","",'FUENTE NO BORRAR'!C1355)</f>
        <v/>
      </c>
      <c r="D1337" s="5" t="str">
        <f>IF('FUENTE NO BORRAR'!D1355="","",'FUENTE NO BORRAR'!D1355)</f>
        <v/>
      </c>
      <c r="E1337" s="5" t="str">
        <f>IF('FUENTE NO BORRAR'!E1355="","",'FUENTE NO BORRAR'!E1355)</f>
        <v/>
      </c>
      <c r="F1337" s="6">
        <f>IF('FUENTE NO BORRAR'!F1355="","",IF('FUENTE NO BORRAR'!$A1355&lt;&gt;"Resultado total",('FUENTE NO BORRAR'!F1355),""))</f>
        <v>25775.200000000001</v>
      </c>
      <c r="G1337" s="6">
        <f>IF('FUENTE NO BORRAR'!G1355="","",IF('FUENTE NO BORRAR'!$A1355&lt;&gt;"Resultado total",('FUENTE NO BORRAR'!G1355),""))</f>
        <v>25775.200000000001</v>
      </c>
      <c r="H1337" s="6">
        <f>IF('FUENTE NO BORRAR'!H1355="","",IF('FUENTE NO BORRAR'!$A1355&lt;&gt;"Resultado total",('FUENTE NO BORRAR'!H1355),""))</f>
        <v>25775.200000000001</v>
      </c>
      <c r="I1337" s="6">
        <f>IF('FUENTE NO BORRAR'!I1355="","",IF('FUENTE NO BORRAR'!$A1355&lt;&gt;"Resultado total",('FUENTE NO BORRAR'!I1355),""))</f>
        <v>0</v>
      </c>
    </row>
    <row r="1338" spans="1:9" x14ac:dyDescent="0.2">
      <c r="A1338" s="5" t="str">
        <f>IF('FUENTE NO BORRAR'!A1356="","",(IF('FUENTE NO BORRAR'!A1356&lt;&gt;"Resultado total",'FUENTE NO BORRAR'!A1356,"")))</f>
        <v/>
      </c>
      <c r="B1338" s="5" t="str">
        <f>IF('FUENTE NO BORRAR'!B1356="","",'FUENTE NO BORRAR'!B1356)</f>
        <v/>
      </c>
      <c r="C1338" s="5" t="str">
        <f>IF('FUENTE NO BORRAR'!C1356="","",'FUENTE NO BORRAR'!C1356)</f>
        <v/>
      </c>
      <c r="D1338" s="5" t="str">
        <f>IF('FUENTE NO BORRAR'!D1356="","",'FUENTE NO BORRAR'!D1356)</f>
        <v/>
      </c>
      <c r="E1338" s="5" t="str">
        <f>IF('FUENTE NO BORRAR'!E1356="","",'FUENTE NO BORRAR'!E1356)</f>
        <v/>
      </c>
      <c r="F1338" s="6">
        <f>IF('FUENTE NO BORRAR'!F1356="","",IF('FUENTE NO BORRAR'!$A1356&lt;&gt;"Resultado total",('FUENTE NO BORRAR'!F1356),""))</f>
        <v>0</v>
      </c>
      <c r="G1338" s="6">
        <f>IF('FUENTE NO BORRAR'!G1356="","",IF('FUENTE NO BORRAR'!$A1356&lt;&gt;"Resultado total",('FUENTE NO BORRAR'!G1356),""))</f>
        <v>0</v>
      </c>
      <c r="H1338" s="6">
        <f>IF('FUENTE NO BORRAR'!H1356="","",IF('FUENTE NO BORRAR'!$A1356&lt;&gt;"Resultado total",('FUENTE NO BORRAR'!H1356),""))</f>
        <v>0</v>
      </c>
      <c r="I1338" s="6">
        <f>IF('FUENTE NO BORRAR'!I1356="","",IF('FUENTE NO BORRAR'!$A1356&lt;&gt;"Resultado total",('FUENTE NO BORRAR'!I1356),""))</f>
        <v>0</v>
      </c>
    </row>
    <row r="1339" spans="1:9" x14ac:dyDescent="0.2">
      <c r="A1339" s="5" t="str">
        <f>IF('FUENTE NO BORRAR'!A1357="","",(IF('FUENTE NO BORRAR'!A1357&lt;&gt;"Resultado total",'FUENTE NO BORRAR'!A1357,"")))</f>
        <v/>
      </c>
      <c r="B1339" s="5" t="str">
        <f>IF('FUENTE NO BORRAR'!B1357="","",'FUENTE NO BORRAR'!B1357)</f>
        <v/>
      </c>
      <c r="C1339" s="5" t="str">
        <f>IF('FUENTE NO BORRAR'!C1357="","",'FUENTE NO BORRAR'!C1357)</f>
        <v/>
      </c>
      <c r="D1339" s="5" t="str">
        <f>IF('FUENTE NO BORRAR'!D1357="","",'FUENTE NO BORRAR'!D1357)</f>
        <v/>
      </c>
      <c r="E1339" s="5" t="str">
        <f>IF('FUENTE NO BORRAR'!E1357="","",'FUENTE NO BORRAR'!E1357)</f>
        <v/>
      </c>
      <c r="F1339" s="6">
        <f>IF('FUENTE NO BORRAR'!F1357="","",IF('FUENTE NO BORRAR'!$A1357&lt;&gt;"Resultado total",('FUENTE NO BORRAR'!F1357),""))</f>
        <v>7175</v>
      </c>
      <c r="G1339" s="6">
        <f>IF('FUENTE NO BORRAR'!G1357="","",IF('FUENTE NO BORRAR'!$A1357&lt;&gt;"Resultado total",('FUENTE NO BORRAR'!G1357),""))</f>
        <v>7175</v>
      </c>
      <c r="H1339" s="6">
        <f>IF('FUENTE NO BORRAR'!H1357="","",IF('FUENTE NO BORRAR'!$A1357&lt;&gt;"Resultado total",('FUENTE NO BORRAR'!H1357),""))</f>
        <v>7175</v>
      </c>
      <c r="I1339" s="6">
        <f>IF('FUENTE NO BORRAR'!I1357="","",IF('FUENTE NO BORRAR'!$A1357&lt;&gt;"Resultado total",('FUENTE NO BORRAR'!I1357),""))</f>
        <v>0</v>
      </c>
    </row>
    <row r="1340" spans="1:9" x14ac:dyDescent="0.2">
      <c r="A1340" s="5" t="str">
        <f>IF('FUENTE NO BORRAR'!A1358="","",(IF('FUENTE NO BORRAR'!A1358&lt;&gt;"Resultado total",'FUENTE NO BORRAR'!A1358,"")))</f>
        <v/>
      </c>
      <c r="B1340" s="5" t="str">
        <f>IF('FUENTE NO BORRAR'!B1358="","",'FUENTE NO BORRAR'!B1358)</f>
        <v/>
      </c>
      <c r="C1340" s="5" t="str">
        <f>IF('FUENTE NO BORRAR'!C1358="","",'FUENTE NO BORRAR'!C1358)</f>
        <v/>
      </c>
      <c r="D1340" s="5" t="str">
        <f>IF('FUENTE NO BORRAR'!D1358="","",'FUENTE NO BORRAR'!D1358)</f>
        <v/>
      </c>
      <c r="E1340" s="5" t="str">
        <f>IF('FUENTE NO BORRAR'!E1358="","",'FUENTE NO BORRAR'!E1358)</f>
        <v/>
      </c>
      <c r="F1340" s="6">
        <f>IF('FUENTE NO BORRAR'!F1358="","",IF('FUENTE NO BORRAR'!$A1358&lt;&gt;"Resultado total",('FUENTE NO BORRAR'!F1358),""))</f>
        <v>1100</v>
      </c>
      <c r="G1340" s="6">
        <f>IF('FUENTE NO BORRAR'!G1358="","",IF('FUENTE NO BORRAR'!$A1358&lt;&gt;"Resultado total",('FUENTE NO BORRAR'!G1358),""))</f>
        <v>1100</v>
      </c>
      <c r="H1340" s="6">
        <f>IF('FUENTE NO BORRAR'!H1358="","",IF('FUENTE NO BORRAR'!$A1358&lt;&gt;"Resultado total",('FUENTE NO BORRAR'!H1358),""))</f>
        <v>1100</v>
      </c>
      <c r="I1340" s="6">
        <f>IF('FUENTE NO BORRAR'!I1358="","",IF('FUENTE NO BORRAR'!$A1358&lt;&gt;"Resultado total",('FUENTE NO BORRAR'!I1358),""))</f>
        <v>0</v>
      </c>
    </row>
    <row r="1341" spans="1:9" x14ac:dyDescent="0.2">
      <c r="A1341" s="5" t="str">
        <f>IF('FUENTE NO BORRAR'!A1359="","",(IF('FUENTE NO BORRAR'!A1359&lt;&gt;"Resultado total",'FUENTE NO BORRAR'!A1359,"")))</f>
        <v/>
      </c>
      <c r="B1341" s="5" t="str">
        <f>IF('FUENTE NO BORRAR'!B1359="","",'FUENTE NO BORRAR'!B1359)</f>
        <v/>
      </c>
      <c r="C1341" s="5" t="str">
        <f>IF('FUENTE NO BORRAR'!C1359="","",'FUENTE NO BORRAR'!C1359)</f>
        <v/>
      </c>
      <c r="D1341" s="5" t="str">
        <f>IF('FUENTE NO BORRAR'!D1359="","",'FUENTE NO BORRAR'!D1359)</f>
        <v/>
      </c>
      <c r="E1341" s="5" t="str">
        <f>IF('FUENTE NO BORRAR'!E1359="","",'FUENTE NO BORRAR'!E1359)</f>
        <v/>
      </c>
      <c r="F1341" s="6">
        <f>IF('FUENTE NO BORRAR'!F1359="","",IF('FUENTE NO BORRAR'!$A1359&lt;&gt;"Resultado total",('FUENTE NO BORRAR'!F1359),""))</f>
        <v>382800</v>
      </c>
      <c r="G1341" s="6">
        <f>IF('FUENTE NO BORRAR'!G1359="","",IF('FUENTE NO BORRAR'!$A1359&lt;&gt;"Resultado total",('FUENTE NO BORRAR'!G1359),""))</f>
        <v>382800</v>
      </c>
      <c r="H1341" s="6">
        <f>IF('FUENTE NO BORRAR'!H1359="","",IF('FUENTE NO BORRAR'!$A1359&lt;&gt;"Resultado total",('FUENTE NO BORRAR'!H1359),""))</f>
        <v>382800</v>
      </c>
      <c r="I1341" s="6">
        <f>IF('FUENTE NO BORRAR'!I1359="","",IF('FUENTE NO BORRAR'!$A1359&lt;&gt;"Resultado total",('FUENTE NO BORRAR'!I1359),""))</f>
        <v>0</v>
      </c>
    </row>
    <row r="1342" spans="1:9" x14ac:dyDescent="0.2">
      <c r="A1342" s="5" t="str">
        <f>IF('FUENTE NO BORRAR'!A1360="","",(IF('FUENTE NO BORRAR'!A1360&lt;&gt;"Resultado total",'FUENTE NO BORRAR'!A1360,"")))</f>
        <v/>
      </c>
      <c r="B1342" s="5" t="str">
        <f>IF('FUENTE NO BORRAR'!B1360="","",'FUENTE NO BORRAR'!B1360)</f>
        <v/>
      </c>
      <c r="C1342" s="5" t="str">
        <f>IF('FUENTE NO BORRAR'!C1360="","",'FUENTE NO BORRAR'!C1360)</f>
        <v/>
      </c>
      <c r="D1342" s="5" t="str">
        <f>IF('FUENTE NO BORRAR'!D1360="","",'FUENTE NO BORRAR'!D1360)</f>
        <v/>
      </c>
      <c r="E1342" s="5" t="str">
        <f>IF('FUENTE NO BORRAR'!E1360="","",'FUENTE NO BORRAR'!E1360)</f>
        <v/>
      </c>
      <c r="F1342" s="6">
        <f>IF('FUENTE NO BORRAR'!F1360="","",IF('FUENTE NO BORRAR'!$A1360&lt;&gt;"Resultado total",('FUENTE NO BORRAR'!F1360),""))</f>
        <v>13243.2</v>
      </c>
      <c r="G1342" s="6">
        <f>IF('FUENTE NO BORRAR'!G1360="","",IF('FUENTE NO BORRAR'!$A1360&lt;&gt;"Resultado total",('FUENTE NO BORRAR'!G1360),""))</f>
        <v>13243.2</v>
      </c>
      <c r="H1342" s="6">
        <f>IF('FUENTE NO BORRAR'!H1360="","",IF('FUENTE NO BORRAR'!$A1360&lt;&gt;"Resultado total",('FUENTE NO BORRAR'!H1360),""))</f>
        <v>13243.2</v>
      </c>
      <c r="I1342" s="6">
        <f>IF('FUENTE NO BORRAR'!I1360="","",IF('FUENTE NO BORRAR'!$A1360&lt;&gt;"Resultado total",('FUENTE NO BORRAR'!I1360),""))</f>
        <v>0</v>
      </c>
    </row>
    <row r="1343" spans="1:9" x14ac:dyDescent="0.2">
      <c r="A1343" s="5" t="str">
        <f>IF('FUENTE NO BORRAR'!A1361="","",(IF('FUENTE NO BORRAR'!A1361&lt;&gt;"Resultado total",'FUENTE NO BORRAR'!A1361,"")))</f>
        <v/>
      </c>
      <c r="B1343" s="5" t="str">
        <f>IF('FUENTE NO BORRAR'!B1361="","",'FUENTE NO BORRAR'!B1361)</f>
        <v/>
      </c>
      <c r="C1343" s="5" t="str">
        <f>IF('FUENTE NO BORRAR'!C1361="","",'FUENTE NO BORRAR'!C1361)</f>
        <v/>
      </c>
      <c r="D1343" s="5" t="str">
        <f>IF('FUENTE NO BORRAR'!D1361="","",'FUENTE NO BORRAR'!D1361)</f>
        <v/>
      </c>
      <c r="E1343" s="5" t="str">
        <f>IF('FUENTE NO BORRAR'!E1361="","",'FUENTE NO BORRAR'!E1361)</f>
        <v/>
      </c>
      <c r="F1343" s="6">
        <f>IF('FUENTE NO BORRAR'!F1361="","",IF('FUENTE NO BORRAR'!$A1361&lt;&gt;"Resultado total",('FUENTE NO BORRAR'!F1361),""))</f>
        <v>101378.23</v>
      </c>
      <c r="G1343" s="6">
        <f>IF('FUENTE NO BORRAR'!G1361="","",IF('FUENTE NO BORRAR'!$A1361&lt;&gt;"Resultado total",('FUENTE NO BORRAR'!G1361),""))</f>
        <v>101378.23</v>
      </c>
      <c r="H1343" s="6">
        <f>IF('FUENTE NO BORRAR'!H1361="","",IF('FUENTE NO BORRAR'!$A1361&lt;&gt;"Resultado total",('FUENTE NO BORRAR'!H1361),""))</f>
        <v>40734.01</v>
      </c>
      <c r="I1343" s="6">
        <f>IF('FUENTE NO BORRAR'!I1361="","",IF('FUENTE NO BORRAR'!$A1361&lt;&gt;"Resultado total",('FUENTE NO BORRAR'!I1361),""))</f>
        <v>0</v>
      </c>
    </row>
    <row r="1344" spans="1:9" x14ac:dyDescent="0.2">
      <c r="A1344" s="5" t="str">
        <f>IF('FUENTE NO BORRAR'!A1362="","",(IF('FUENTE NO BORRAR'!A1362&lt;&gt;"Resultado total",'FUENTE NO BORRAR'!A1362,"")))</f>
        <v/>
      </c>
      <c r="B1344" s="5" t="str">
        <f>IF('FUENTE NO BORRAR'!B1362="","",'FUENTE NO BORRAR'!B1362)</f>
        <v/>
      </c>
      <c r="C1344" s="5" t="str">
        <f>IF('FUENTE NO BORRAR'!C1362="","",'FUENTE NO BORRAR'!C1362)</f>
        <v/>
      </c>
      <c r="D1344" s="5" t="str">
        <f>IF('FUENTE NO BORRAR'!D1362="","",'FUENTE NO BORRAR'!D1362)</f>
        <v/>
      </c>
      <c r="E1344" s="5" t="str">
        <f>IF('FUENTE NO BORRAR'!E1362="","",'FUENTE NO BORRAR'!E1362)</f>
        <v/>
      </c>
      <c r="F1344" s="6">
        <f>IF('FUENTE NO BORRAR'!F1362="","",IF('FUENTE NO BORRAR'!$A1362&lt;&gt;"Resultado total",('FUENTE NO BORRAR'!F1362),""))</f>
        <v>48239.09</v>
      </c>
      <c r="G1344" s="6">
        <f>IF('FUENTE NO BORRAR'!G1362="","",IF('FUENTE NO BORRAR'!$A1362&lt;&gt;"Resultado total",('FUENTE NO BORRAR'!G1362),""))</f>
        <v>48239.09</v>
      </c>
      <c r="H1344" s="6">
        <f>IF('FUENTE NO BORRAR'!H1362="","",IF('FUENTE NO BORRAR'!$A1362&lt;&gt;"Resultado total",('FUENTE NO BORRAR'!H1362),""))</f>
        <v>0</v>
      </c>
      <c r="I1344" s="6">
        <f>IF('FUENTE NO BORRAR'!I1362="","",IF('FUENTE NO BORRAR'!$A1362&lt;&gt;"Resultado total",('FUENTE NO BORRAR'!I1362),""))</f>
        <v>0</v>
      </c>
    </row>
    <row r="1345" spans="1:9" x14ac:dyDescent="0.2">
      <c r="A1345" s="5" t="str">
        <f>IF('FUENTE NO BORRAR'!A1363="","",(IF('FUENTE NO BORRAR'!A1363&lt;&gt;"Resultado total",'FUENTE NO BORRAR'!A1363,"")))</f>
        <v/>
      </c>
      <c r="B1345" s="5" t="str">
        <f>IF('FUENTE NO BORRAR'!B1363="","",'FUENTE NO BORRAR'!B1363)</f>
        <v/>
      </c>
      <c r="C1345" s="5" t="str">
        <f>IF('FUENTE NO BORRAR'!C1363="","",'FUENTE NO BORRAR'!C1363)</f>
        <v/>
      </c>
      <c r="D1345" s="5" t="str">
        <f>IF('FUENTE NO BORRAR'!D1363="","",'FUENTE NO BORRAR'!D1363)</f>
        <v/>
      </c>
      <c r="E1345" s="5" t="str">
        <f>IF('FUENTE NO BORRAR'!E1363="","",'FUENTE NO BORRAR'!E1363)</f>
        <v/>
      </c>
      <c r="F1345" s="6">
        <f>IF('FUENTE NO BORRAR'!F1363="","",IF('FUENTE NO BORRAR'!$A1363&lt;&gt;"Resultado total",('FUENTE NO BORRAR'!F1363),""))</f>
        <v>0</v>
      </c>
      <c r="G1345" s="6">
        <f>IF('FUENTE NO BORRAR'!G1363="","",IF('FUENTE NO BORRAR'!$A1363&lt;&gt;"Resultado total",('FUENTE NO BORRAR'!G1363),""))</f>
        <v>0</v>
      </c>
      <c r="H1345" s="6">
        <f>IF('FUENTE NO BORRAR'!H1363="","",IF('FUENTE NO BORRAR'!$A1363&lt;&gt;"Resultado total",('FUENTE NO BORRAR'!H1363),""))</f>
        <v>0</v>
      </c>
      <c r="I1345" s="6">
        <f>IF('FUENTE NO BORRAR'!I1363="","",IF('FUENTE NO BORRAR'!$A1363&lt;&gt;"Resultado total",('FUENTE NO BORRAR'!I1363),""))</f>
        <v>0</v>
      </c>
    </row>
    <row r="1346" spans="1:9" x14ac:dyDescent="0.2">
      <c r="A1346" s="5" t="str">
        <f>IF('FUENTE NO BORRAR'!A1364="","",(IF('FUENTE NO BORRAR'!A1364&lt;&gt;"Resultado total",'FUENTE NO BORRAR'!A1364,"")))</f>
        <v/>
      </c>
      <c r="B1346" s="5" t="str">
        <f>IF('FUENTE NO BORRAR'!B1364="","",'FUENTE NO BORRAR'!B1364)</f>
        <v/>
      </c>
      <c r="C1346" s="5" t="str">
        <f>IF('FUENTE NO BORRAR'!C1364="","",'FUENTE NO BORRAR'!C1364)</f>
        <v>22052091E210</v>
      </c>
      <c r="D1346" s="5" t="str">
        <f>IF('FUENTE NO BORRAR'!D1364="","",'FUENTE NO BORRAR'!D1364)</f>
        <v>22052091E210</v>
      </c>
      <c r="E1346" s="5" t="str">
        <f>IF('FUENTE NO BORRAR'!E1364="","",'FUENTE NO BORRAR'!E1364)</f>
        <v/>
      </c>
      <c r="F1346" s="6">
        <f>IF('FUENTE NO BORRAR'!F1364="","",IF('FUENTE NO BORRAR'!$A1364&lt;&gt;"Resultado total",('FUENTE NO BORRAR'!F1364),""))</f>
        <v>112892.87</v>
      </c>
      <c r="G1346" s="6">
        <f>IF('FUENTE NO BORRAR'!G1364="","",IF('FUENTE NO BORRAR'!$A1364&lt;&gt;"Resultado total",('FUENTE NO BORRAR'!G1364),""))</f>
        <v>112892.87</v>
      </c>
      <c r="H1346" s="6">
        <f>IF('FUENTE NO BORRAR'!H1364="","",IF('FUENTE NO BORRAR'!$A1364&lt;&gt;"Resultado total",('FUENTE NO BORRAR'!H1364),""))</f>
        <v>112892.87</v>
      </c>
      <c r="I1346" s="6">
        <f>IF('FUENTE NO BORRAR'!I1364="","",IF('FUENTE NO BORRAR'!$A1364&lt;&gt;"Resultado total",('FUENTE NO BORRAR'!I1364),""))</f>
        <v>0</v>
      </c>
    </row>
    <row r="1347" spans="1:9" x14ac:dyDescent="0.2">
      <c r="A1347" s="5" t="str">
        <f>IF('FUENTE NO BORRAR'!A1365="","",(IF('FUENTE NO BORRAR'!A1365&lt;&gt;"Resultado total",'FUENTE NO BORRAR'!A1365,"")))</f>
        <v/>
      </c>
      <c r="B1347" s="5" t="str">
        <f>IF('FUENTE NO BORRAR'!B1365="","",'FUENTE NO BORRAR'!B1365)</f>
        <v/>
      </c>
      <c r="C1347" s="5" t="str">
        <f>IF('FUENTE NO BORRAR'!C1365="","",'FUENTE NO BORRAR'!C1365)</f>
        <v/>
      </c>
      <c r="D1347" s="5" t="str">
        <f>IF('FUENTE NO BORRAR'!D1365="","",'FUENTE NO BORRAR'!D1365)</f>
        <v/>
      </c>
      <c r="E1347" s="5" t="str">
        <f>IF('FUENTE NO BORRAR'!E1365="","",'FUENTE NO BORRAR'!E1365)</f>
        <v/>
      </c>
      <c r="F1347" s="6">
        <f>IF('FUENTE NO BORRAR'!F1365="","",IF('FUENTE NO BORRAR'!$A1365&lt;&gt;"Resultado total",('FUENTE NO BORRAR'!F1365),""))</f>
        <v>914515.8</v>
      </c>
      <c r="G1347" s="6">
        <f>IF('FUENTE NO BORRAR'!G1365="","",IF('FUENTE NO BORRAR'!$A1365&lt;&gt;"Resultado total",('FUENTE NO BORRAR'!G1365),""))</f>
        <v>914515.8</v>
      </c>
      <c r="H1347" s="6">
        <f>IF('FUENTE NO BORRAR'!H1365="","",IF('FUENTE NO BORRAR'!$A1365&lt;&gt;"Resultado total",('FUENTE NO BORRAR'!H1365),""))</f>
        <v>914515.8</v>
      </c>
      <c r="I1347" s="6">
        <f>IF('FUENTE NO BORRAR'!I1365="","",IF('FUENTE NO BORRAR'!$A1365&lt;&gt;"Resultado total",('FUENTE NO BORRAR'!I1365),""))</f>
        <v>0</v>
      </c>
    </row>
    <row r="1348" spans="1:9" x14ac:dyDescent="0.2">
      <c r="A1348" s="5" t="str">
        <f>IF('FUENTE NO BORRAR'!A1366="","",(IF('FUENTE NO BORRAR'!A1366&lt;&gt;"Resultado total",'FUENTE NO BORRAR'!A1366,"")))</f>
        <v/>
      </c>
      <c r="B1348" s="5" t="str">
        <f>IF('FUENTE NO BORRAR'!B1366="","",'FUENTE NO BORRAR'!B1366)</f>
        <v/>
      </c>
      <c r="C1348" s="5" t="str">
        <f>IF('FUENTE NO BORRAR'!C1366="","",'FUENTE NO BORRAR'!C1366)</f>
        <v/>
      </c>
      <c r="D1348" s="5" t="str">
        <f>IF('FUENTE NO BORRAR'!D1366="","",'FUENTE NO BORRAR'!D1366)</f>
        <v/>
      </c>
      <c r="E1348" s="5" t="str">
        <f>IF('FUENTE NO BORRAR'!E1366="","",'FUENTE NO BORRAR'!E1366)</f>
        <v/>
      </c>
      <c r="F1348" s="6">
        <f>IF('FUENTE NO BORRAR'!F1366="","",IF('FUENTE NO BORRAR'!$A1366&lt;&gt;"Resultado total",('FUENTE NO BORRAR'!F1366),""))</f>
        <v>76400.05</v>
      </c>
      <c r="G1348" s="6">
        <f>IF('FUENTE NO BORRAR'!G1366="","",IF('FUENTE NO BORRAR'!$A1366&lt;&gt;"Resultado total",('FUENTE NO BORRAR'!G1366),""))</f>
        <v>76400.05</v>
      </c>
      <c r="H1348" s="6">
        <f>IF('FUENTE NO BORRAR'!H1366="","",IF('FUENTE NO BORRAR'!$A1366&lt;&gt;"Resultado total",('FUENTE NO BORRAR'!H1366),""))</f>
        <v>76400.05</v>
      </c>
      <c r="I1348" s="6">
        <f>IF('FUENTE NO BORRAR'!I1366="","",IF('FUENTE NO BORRAR'!$A1366&lt;&gt;"Resultado total",('FUENTE NO BORRAR'!I1366),""))</f>
        <v>0</v>
      </c>
    </row>
    <row r="1349" spans="1:9" x14ac:dyDescent="0.2">
      <c r="A1349" s="5" t="str">
        <f>IF('FUENTE NO BORRAR'!A1367="","",(IF('FUENTE NO BORRAR'!A1367&lt;&gt;"Resultado total",'FUENTE NO BORRAR'!A1367,"")))</f>
        <v/>
      </c>
      <c r="B1349" s="5" t="str">
        <f>IF('FUENTE NO BORRAR'!B1367="","",'FUENTE NO BORRAR'!B1367)</f>
        <v/>
      </c>
      <c r="C1349" s="5" t="str">
        <f>IF('FUENTE NO BORRAR'!C1367="","",'FUENTE NO BORRAR'!C1367)</f>
        <v/>
      </c>
      <c r="D1349" s="5" t="str">
        <f>IF('FUENTE NO BORRAR'!D1367="","",'FUENTE NO BORRAR'!D1367)</f>
        <v/>
      </c>
      <c r="E1349" s="5" t="str">
        <f>IF('FUENTE NO BORRAR'!E1367="","",'FUENTE NO BORRAR'!E1367)</f>
        <v/>
      </c>
      <c r="F1349" s="6">
        <f>IF('FUENTE NO BORRAR'!F1367="","",IF('FUENTE NO BORRAR'!$A1367&lt;&gt;"Resultado total",('FUENTE NO BORRAR'!F1367),""))</f>
        <v>13731.57</v>
      </c>
      <c r="G1349" s="6">
        <f>IF('FUENTE NO BORRAR'!G1367="","",IF('FUENTE NO BORRAR'!$A1367&lt;&gt;"Resultado total",('FUENTE NO BORRAR'!G1367),""))</f>
        <v>13731.57</v>
      </c>
      <c r="H1349" s="6">
        <f>IF('FUENTE NO BORRAR'!H1367="","",IF('FUENTE NO BORRAR'!$A1367&lt;&gt;"Resultado total",('FUENTE NO BORRAR'!H1367),""))</f>
        <v>13731.57</v>
      </c>
      <c r="I1349" s="6">
        <f>IF('FUENTE NO BORRAR'!I1367="","",IF('FUENTE NO BORRAR'!$A1367&lt;&gt;"Resultado total",('FUENTE NO BORRAR'!I1367),""))</f>
        <v>0</v>
      </c>
    </row>
    <row r="1350" spans="1:9" x14ac:dyDescent="0.2">
      <c r="A1350" s="5" t="str">
        <f>IF('FUENTE NO BORRAR'!A1368="","",(IF('FUENTE NO BORRAR'!A1368&lt;&gt;"Resultado total",'FUENTE NO BORRAR'!A1368,"")))</f>
        <v/>
      </c>
      <c r="B1350" s="5" t="str">
        <f>IF('FUENTE NO BORRAR'!B1368="","",'FUENTE NO BORRAR'!B1368)</f>
        <v/>
      </c>
      <c r="C1350" s="5" t="str">
        <f>IF('FUENTE NO BORRAR'!C1368="","",'FUENTE NO BORRAR'!C1368)</f>
        <v/>
      </c>
      <c r="D1350" s="5" t="str">
        <f>IF('FUENTE NO BORRAR'!D1368="","",'FUENTE NO BORRAR'!D1368)</f>
        <v/>
      </c>
      <c r="E1350" s="5" t="str">
        <f>IF('FUENTE NO BORRAR'!E1368="","",'FUENTE NO BORRAR'!E1368)</f>
        <v/>
      </c>
      <c r="F1350" s="6">
        <f>IF('FUENTE NO BORRAR'!F1368="","",IF('FUENTE NO BORRAR'!$A1368&lt;&gt;"Resultado total",('FUENTE NO BORRAR'!F1368),""))</f>
        <v>36530.89</v>
      </c>
      <c r="G1350" s="6">
        <f>IF('FUENTE NO BORRAR'!G1368="","",IF('FUENTE NO BORRAR'!$A1368&lt;&gt;"Resultado total",('FUENTE NO BORRAR'!G1368),""))</f>
        <v>36530.89</v>
      </c>
      <c r="H1350" s="6">
        <f>IF('FUENTE NO BORRAR'!H1368="","",IF('FUENTE NO BORRAR'!$A1368&lt;&gt;"Resultado total",('FUENTE NO BORRAR'!H1368),""))</f>
        <v>36530.89</v>
      </c>
      <c r="I1350" s="6">
        <f>IF('FUENTE NO BORRAR'!I1368="","",IF('FUENTE NO BORRAR'!$A1368&lt;&gt;"Resultado total",('FUENTE NO BORRAR'!I1368),""))</f>
        <v>0</v>
      </c>
    </row>
    <row r="1351" spans="1:9" x14ac:dyDescent="0.2">
      <c r="A1351" s="5" t="str">
        <f>IF('FUENTE NO BORRAR'!A1369="","",(IF('FUENTE NO BORRAR'!A1369&lt;&gt;"Resultado total",'FUENTE NO BORRAR'!A1369,"")))</f>
        <v/>
      </c>
      <c r="B1351" s="5" t="str">
        <f>IF('FUENTE NO BORRAR'!B1369="","",'FUENTE NO BORRAR'!B1369)</f>
        <v/>
      </c>
      <c r="C1351" s="5" t="str">
        <f>IF('FUENTE NO BORRAR'!C1369="","",'FUENTE NO BORRAR'!C1369)</f>
        <v/>
      </c>
      <c r="D1351" s="5" t="str">
        <f>IF('FUENTE NO BORRAR'!D1369="","",'FUENTE NO BORRAR'!D1369)</f>
        <v/>
      </c>
      <c r="E1351" s="5" t="str">
        <f>IF('FUENTE NO BORRAR'!E1369="","",'FUENTE NO BORRAR'!E1369)</f>
        <v/>
      </c>
      <c r="F1351" s="6">
        <f>IF('FUENTE NO BORRAR'!F1369="","",IF('FUENTE NO BORRAR'!$A1369&lt;&gt;"Resultado total",('FUENTE NO BORRAR'!F1369),""))</f>
        <v>229424.03</v>
      </c>
      <c r="G1351" s="6">
        <f>IF('FUENTE NO BORRAR'!G1369="","",IF('FUENTE NO BORRAR'!$A1369&lt;&gt;"Resultado total",('FUENTE NO BORRAR'!G1369),""))</f>
        <v>229424.03</v>
      </c>
      <c r="H1351" s="6">
        <f>IF('FUENTE NO BORRAR'!H1369="","",IF('FUENTE NO BORRAR'!$A1369&lt;&gt;"Resultado total",('FUENTE NO BORRAR'!H1369),""))</f>
        <v>229424.03</v>
      </c>
      <c r="I1351" s="6">
        <f>IF('FUENTE NO BORRAR'!I1369="","",IF('FUENTE NO BORRAR'!$A1369&lt;&gt;"Resultado total",('FUENTE NO BORRAR'!I1369),""))</f>
        <v>0</v>
      </c>
    </row>
    <row r="1352" spans="1:9" x14ac:dyDescent="0.2">
      <c r="A1352" s="5" t="str">
        <f>IF('FUENTE NO BORRAR'!A1370="","",(IF('FUENTE NO BORRAR'!A1370&lt;&gt;"Resultado total",'FUENTE NO BORRAR'!A1370,"")))</f>
        <v/>
      </c>
      <c r="B1352" s="5" t="str">
        <f>IF('FUENTE NO BORRAR'!B1370="","",'FUENTE NO BORRAR'!B1370)</f>
        <v/>
      </c>
      <c r="C1352" s="5" t="str">
        <f>IF('FUENTE NO BORRAR'!C1370="","",'FUENTE NO BORRAR'!C1370)</f>
        <v/>
      </c>
      <c r="D1352" s="5" t="str">
        <f>IF('FUENTE NO BORRAR'!D1370="","",'FUENTE NO BORRAR'!D1370)</f>
        <v/>
      </c>
      <c r="E1352" s="5" t="str">
        <f>IF('FUENTE NO BORRAR'!E1370="","",'FUENTE NO BORRAR'!E1370)</f>
        <v/>
      </c>
      <c r="F1352" s="6">
        <f>IF('FUENTE NO BORRAR'!F1370="","",IF('FUENTE NO BORRAR'!$A1370&lt;&gt;"Resultado total",('FUENTE NO BORRAR'!F1370),""))</f>
        <v>627789.9</v>
      </c>
      <c r="G1352" s="6">
        <f>IF('FUENTE NO BORRAR'!G1370="","",IF('FUENTE NO BORRAR'!$A1370&lt;&gt;"Resultado total",('FUENTE NO BORRAR'!G1370),""))</f>
        <v>627789.9</v>
      </c>
      <c r="H1352" s="6">
        <f>IF('FUENTE NO BORRAR'!H1370="","",IF('FUENTE NO BORRAR'!$A1370&lt;&gt;"Resultado total",('FUENTE NO BORRAR'!H1370),""))</f>
        <v>637789.18999999994</v>
      </c>
      <c r="I1352" s="6">
        <f>IF('FUENTE NO BORRAR'!I1370="","",IF('FUENTE NO BORRAR'!$A1370&lt;&gt;"Resultado total",('FUENTE NO BORRAR'!I1370),""))</f>
        <v>0</v>
      </c>
    </row>
    <row r="1353" spans="1:9" x14ac:dyDescent="0.2">
      <c r="A1353" s="5" t="str">
        <f>IF('FUENTE NO BORRAR'!A1371="","",(IF('FUENTE NO BORRAR'!A1371&lt;&gt;"Resultado total",'FUENTE NO BORRAR'!A1371,"")))</f>
        <v/>
      </c>
      <c r="B1353" s="5" t="str">
        <f>IF('FUENTE NO BORRAR'!B1371="","",'FUENTE NO BORRAR'!B1371)</f>
        <v/>
      </c>
      <c r="C1353" s="5" t="str">
        <f>IF('FUENTE NO BORRAR'!C1371="","",'FUENTE NO BORRAR'!C1371)</f>
        <v/>
      </c>
      <c r="D1353" s="5" t="str">
        <f>IF('FUENTE NO BORRAR'!D1371="","",'FUENTE NO BORRAR'!D1371)</f>
        <v/>
      </c>
      <c r="E1353" s="5" t="str">
        <f>IF('FUENTE NO BORRAR'!E1371="","",'FUENTE NO BORRAR'!E1371)</f>
        <v/>
      </c>
      <c r="F1353" s="6">
        <f>IF('FUENTE NO BORRAR'!F1371="","",IF('FUENTE NO BORRAR'!$A1371&lt;&gt;"Resultado total",('FUENTE NO BORRAR'!F1371),""))</f>
        <v>2048744.71</v>
      </c>
      <c r="G1353" s="6">
        <f>IF('FUENTE NO BORRAR'!G1371="","",IF('FUENTE NO BORRAR'!$A1371&lt;&gt;"Resultado total",('FUENTE NO BORRAR'!G1371),""))</f>
        <v>2048744.71</v>
      </c>
      <c r="H1353" s="6">
        <f>IF('FUENTE NO BORRAR'!H1371="","",IF('FUENTE NO BORRAR'!$A1371&lt;&gt;"Resultado total",('FUENTE NO BORRAR'!H1371),""))</f>
        <v>2048744.71</v>
      </c>
      <c r="I1353" s="6">
        <f>IF('FUENTE NO BORRAR'!I1371="","",IF('FUENTE NO BORRAR'!$A1371&lt;&gt;"Resultado total",('FUENTE NO BORRAR'!I1371),""))</f>
        <v>0</v>
      </c>
    </row>
    <row r="1354" spans="1:9" x14ac:dyDescent="0.2">
      <c r="A1354" s="5" t="str">
        <f>IF('FUENTE NO BORRAR'!A1372="","",(IF('FUENTE NO BORRAR'!A1372&lt;&gt;"Resultado total",'FUENTE NO BORRAR'!A1372,"")))</f>
        <v/>
      </c>
      <c r="B1354" s="5" t="str">
        <f>IF('FUENTE NO BORRAR'!B1372="","",'FUENTE NO BORRAR'!B1372)</f>
        <v/>
      </c>
      <c r="C1354" s="5" t="str">
        <f>IF('FUENTE NO BORRAR'!C1372="","",'FUENTE NO BORRAR'!C1372)</f>
        <v/>
      </c>
      <c r="D1354" s="5" t="str">
        <f>IF('FUENTE NO BORRAR'!D1372="","",'FUENTE NO BORRAR'!D1372)</f>
        <v/>
      </c>
      <c r="E1354" s="5" t="str">
        <f>IF('FUENTE NO BORRAR'!E1372="","",'FUENTE NO BORRAR'!E1372)</f>
        <v/>
      </c>
      <c r="F1354" s="6">
        <f>IF('FUENTE NO BORRAR'!F1372="","",IF('FUENTE NO BORRAR'!$A1372&lt;&gt;"Resultado total",('FUENTE NO BORRAR'!F1372),""))</f>
        <v>195122.3</v>
      </c>
      <c r="G1354" s="6">
        <f>IF('FUENTE NO BORRAR'!G1372="","",IF('FUENTE NO BORRAR'!$A1372&lt;&gt;"Resultado total",('FUENTE NO BORRAR'!G1372),""))</f>
        <v>195122.3</v>
      </c>
      <c r="H1354" s="6">
        <f>IF('FUENTE NO BORRAR'!H1372="","",IF('FUENTE NO BORRAR'!$A1372&lt;&gt;"Resultado total",('FUENTE NO BORRAR'!H1372),""))</f>
        <v>195122.3</v>
      </c>
      <c r="I1354" s="6">
        <f>IF('FUENTE NO BORRAR'!I1372="","",IF('FUENTE NO BORRAR'!$A1372&lt;&gt;"Resultado total",('FUENTE NO BORRAR'!I1372),""))</f>
        <v>0</v>
      </c>
    </row>
    <row r="1355" spans="1:9" x14ac:dyDescent="0.2">
      <c r="A1355" s="5" t="str">
        <f>IF('FUENTE NO BORRAR'!A1373="","",(IF('FUENTE NO BORRAR'!A1373&lt;&gt;"Resultado total",'FUENTE NO BORRAR'!A1373,"")))</f>
        <v/>
      </c>
      <c r="B1355" s="5" t="str">
        <f>IF('FUENTE NO BORRAR'!B1373="","",'FUENTE NO BORRAR'!B1373)</f>
        <v/>
      </c>
      <c r="C1355" s="5" t="str">
        <f>IF('FUENTE NO BORRAR'!C1373="","",'FUENTE NO BORRAR'!C1373)</f>
        <v/>
      </c>
      <c r="D1355" s="5" t="str">
        <f>IF('FUENTE NO BORRAR'!D1373="","",'FUENTE NO BORRAR'!D1373)</f>
        <v/>
      </c>
      <c r="E1355" s="5" t="str">
        <f>IF('FUENTE NO BORRAR'!E1373="","",'FUENTE NO BORRAR'!E1373)</f>
        <v/>
      </c>
      <c r="F1355" s="6">
        <f>IF('FUENTE NO BORRAR'!F1373="","",IF('FUENTE NO BORRAR'!$A1373&lt;&gt;"Resultado total",('FUENTE NO BORRAR'!F1373),""))</f>
        <v>62233.35</v>
      </c>
      <c r="G1355" s="6">
        <f>IF('FUENTE NO BORRAR'!G1373="","",IF('FUENTE NO BORRAR'!$A1373&lt;&gt;"Resultado total",('FUENTE NO BORRAR'!G1373),""))</f>
        <v>62233.35</v>
      </c>
      <c r="H1355" s="6">
        <f>IF('FUENTE NO BORRAR'!H1373="","",IF('FUENTE NO BORRAR'!$A1373&lt;&gt;"Resultado total",('FUENTE NO BORRAR'!H1373),""))</f>
        <v>62233.35</v>
      </c>
      <c r="I1355" s="6">
        <f>IF('FUENTE NO BORRAR'!I1373="","",IF('FUENTE NO BORRAR'!$A1373&lt;&gt;"Resultado total",('FUENTE NO BORRAR'!I1373),""))</f>
        <v>0</v>
      </c>
    </row>
    <row r="1356" spans="1:9" x14ac:dyDescent="0.2">
      <c r="A1356" s="5" t="str">
        <f>IF('FUENTE NO BORRAR'!A1374="","",(IF('FUENTE NO BORRAR'!A1374&lt;&gt;"Resultado total",'FUENTE NO BORRAR'!A1374,"")))</f>
        <v/>
      </c>
      <c r="B1356" s="5" t="str">
        <f>IF('FUENTE NO BORRAR'!B1374="","",'FUENTE NO BORRAR'!B1374)</f>
        <v/>
      </c>
      <c r="C1356" s="5" t="str">
        <f>IF('FUENTE NO BORRAR'!C1374="","",'FUENTE NO BORRAR'!C1374)</f>
        <v/>
      </c>
      <c r="D1356" s="5" t="str">
        <f>IF('FUENTE NO BORRAR'!D1374="","",'FUENTE NO BORRAR'!D1374)</f>
        <v/>
      </c>
      <c r="E1356" s="5" t="str">
        <f>IF('FUENTE NO BORRAR'!E1374="","",'FUENTE NO BORRAR'!E1374)</f>
        <v/>
      </c>
      <c r="F1356" s="6">
        <f>IF('FUENTE NO BORRAR'!F1374="","",IF('FUENTE NO BORRAR'!$A1374&lt;&gt;"Resultado total",('FUENTE NO BORRAR'!F1374),""))</f>
        <v>29184.61</v>
      </c>
      <c r="G1356" s="6">
        <f>IF('FUENTE NO BORRAR'!G1374="","",IF('FUENTE NO BORRAR'!$A1374&lt;&gt;"Resultado total",('FUENTE NO BORRAR'!G1374),""))</f>
        <v>29184.61</v>
      </c>
      <c r="H1356" s="6">
        <f>IF('FUENTE NO BORRAR'!H1374="","",IF('FUENTE NO BORRAR'!$A1374&lt;&gt;"Resultado total",('FUENTE NO BORRAR'!H1374),""))</f>
        <v>29184.61</v>
      </c>
      <c r="I1356" s="6">
        <f>IF('FUENTE NO BORRAR'!I1374="","",IF('FUENTE NO BORRAR'!$A1374&lt;&gt;"Resultado total",('FUENTE NO BORRAR'!I1374),""))</f>
        <v>0</v>
      </c>
    </row>
    <row r="1357" spans="1:9" x14ac:dyDescent="0.2">
      <c r="A1357" s="5" t="str">
        <f>IF('FUENTE NO BORRAR'!A1375="","",(IF('FUENTE NO BORRAR'!A1375&lt;&gt;"Resultado total",'FUENTE NO BORRAR'!A1375,"")))</f>
        <v/>
      </c>
      <c r="B1357" s="5" t="str">
        <f>IF('FUENTE NO BORRAR'!B1375="","",'FUENTE NO BORRAR'!B1375)</f>
        <v/>
      </c>
      <c r="C1357" s="5" t="str">
        <f>IF('FUENTE NO BORRAR'!C1375="","",'FUENTE NO BORRAR'!C1375)</f>
        <v/>
      </c>
      <c r="D1357" s="5" t="str">
        <f>IF('FUENTE NO BORRAR'!D1375="","",'FUENTE NO BORRAR'!D1375)</f>
        <v/>
      </c>
      <c r="E1357" s="5" t="str">
        <f>IF('FUENTE NO BORRAR'!E1375="","",'FUENTE NO BORRAR'!E1375)</f>
        <v/>
      </c>
      <c r="F1357" s="6">
        <f>IF('FUENTE NO BORRAR'!F1375="","",IF('FUENTE NO BORRAR'!$A1375&lt;&gt;"Resultado total",('FUENTE NO BORRAR'!F1375),""))</f>
        <v>123250.68</v>
      </c>
      <c r="G1357" s="6">
        <f>IF('FUENTE NO BORRAR'!G1375="","",IF('FUENTE NO BORRAR'!$A1375&lt;&gt;"Resultado total",('FUENTE NO BORRAR'!G1375),""))</f>
        <v>123250.68</v>
      </c>
      <c r="H1357" s="6">
        <f>IF('FUENTE NO BORRAR'!H1375="","",IF('FUENTE NO BORRAR'!$A1375&lt;&gt;"Resultado total",('FUENTE NO BORRAR'!H1375),""))</f>
        <v>123250.68</v>
      </c>
      <c r="I1357" s="6">
        <f>IF('FUENTE NO BORRAR'!I1375="","",IF('FUENTE NO BORRAR'!$A1375&lt;&gt;"Resultado total",('FUENTE NO BORRAR'!I1375),""))</f>
        <v>0</v>
      </c>
    </row>
    <row r="1358" spans="1:9" x14ac:dyDescent="0.2">
      <c r="A1358" s="5" t="str">
        <f>IF('FUENTE NO BORRAR'!A1376="","",(IF('FUENTE NO BORRAR'!A1376&lt;&gt;"Resultado total",'FUENTE NO BORRAR'!A1376,"")))</f>
        <v/>
      </c>
      <c r="B1358" s="5" t="str">
        <f>IF('FUENTE NO BORRAR'!B1376="","",'FUENTE NO BORRAR'!B1376)</f>
        <v/>
      </c>
      <c r="C1358" s="5" t="str">
        <f>IF('FUENTE NO BORRAR'!C1376="","",'FUENTE NO BORRAR'!C1376)</f>
        <v/>
      </c>
      <c r="D1358" s="5" t="str">
        <f>IF('FUENTE NO BORRAR'!D1376="","",'FUENTE NO BORRAR'!D1376)</f>
        <v/>
      </c>
      <c r="E1358" s="5" t="str">
        <f>IF('FUENTE NO BORRAR'!E1376="","",'FUENTE NO BORRAR'!E1376)</f>
        <v/>
      </c>
      <c r="F1358" s="6">
        <f>IF('FUENTE NO BORRAR'!F1376="","",IF('FUENTE NO BORRAR'!$A1376&lt;&gt;"Resultado total",('FUENTE NO BORRAR'!F1376),""))</f>
        <v>275988.57</v>
      </c>
      <c r="G1358" s="6">
        <f>IF('FUENTE NO BORRAR'!G1376="","",IF('FUENTE NO BORRAR'!$A1376&lt;&gt;"Resultado total",('FUENTE NO BORRAR'!G1376),""))</f>
        <v>275988.57</v>
      </c>
      <c r="H1358" s="6">
        <f>IF('FUENTE NO BORRAR'!H1376="","",IF('FUENTE NO BORRAR'!$A1376&lt;&gt;"Resultado total",('FUENTE NO BORRAR'!H1376),""))</f>
        <v>275988.57</v>
      </c>
      <c r="I1358" s="6">
        <f>IF('FUENTE NO BORRAR'!I1376="","",IF('FUENTE NO BORRAR'!$A1376&lt;&gt;"Resultado total",('FUENTE NO BORRAR'!I1376),""))</f>
        <v>0</v>
      </c>
    </row>
    <row r="1359" spans="1:9" x14ac:dyDescent="0.2">
      <c r="A1359" s="5" t="str">
        <f>IF('FUENTE NO BORRAR'!A1377="","",(IF('FUENTE NO BORRAR'!A1377&lt;&gt;"Resultado total",'FUENTE NO BORRAR'!A1377,"")))</f>
        <v/>
      </c>
      <c r="B1359" s="5" t="str">
        <f>IF('FUENTE NO BORRAR'!B1377="","",'FUENTE NO BORRAR'!B1377)</f>
        <v/>
      </c>
      <c r="C1359" s="5" t="str">
        <f>IF('FUENTE NO BORRAR'!C1377="","",'FUENTE NO BORRAR'!C1377)</f>
        <v/>
      </c>
      <c r="D1359" s="5" t="str">
        <f>IF('FUENTE NO BORRAR'!D1377="","",'FUENTE NO BORRAR'!D1377)</f>
        <v/>
      </c>
      <c r="E1359" s="5" t="str">
        <f>IF('FUENTE NO BORRAR'!E1377="","",'FUENTE NO BORRAR'!E1377)</f>
        <v/>
      </c>
      <c r="F1359" s="6">
        <f>IF('FUENTE NO BORRAR'!F1377="","",IF('FUENTE NO BORRAR'!$A1377&lt;&gt;"Resultado total",('FUENTE NO BORRAR'!F1377),""))</f>
        <v>464000</v>
      </c>
      <c r="G1359" s="6">
        <f>IF('FUENTE NO BORRAR'!G1377="","",IF('FUENTE NO BORRAR'!$A1377&lt;&gt;"Resultado total",('FUENTE NO BORRAR'!G1377),""))</f>
        <v>464000</v>
      </c>
      <c r="H1359" s="6">
        <f>IF('FUENTE NO BORRAR'!H1377="","",IF('FUENTE NO BORRAR'!$A1377&lt;&gt;"Resultado total",('FUENTE NO BORRAR'!H1377),""))</f>
        <v>30000</v>
      </c>
      <c r="I1359" s="6">
        <f>IF('FUENTE NO BORRAR'!I1377="","",IF('FUENTE NO BORRAR'!$A1377&lt;&gt;"Resultado total",('FUENTE NO BORRAR'!I1377),""))</f>
        <v>0</v>
      </c>
    </row>
    <row r="1360" spans="1:9" x14ac:dyDescent="0.2">
      <c r="A1360" s="5" t="str">
        <f>IF('FUENTE NO BORRAR'!A1378="","",(IF('FUENTE NO BORRAR'!A1378&lt;&gt;"Resultado total",'FUENTE NO BORRAR'!A1378,"")))</f>
        <v/>
      </c>
      <c r="B1360" s="5" t="str">
        <f>IF('FUENTE NO BORRAR'!B1378="","",'FUENTE NO BORRAR'!B1378)</f>
        <v/>
      </c>
      <c r="C1360" s="5" t="str">
        <f>IF('FUENTE NO BORRAR'!C1378="","",'FUENTE NO BORRAR'!C1378)</f>
        <v/>
      </c>
      <c r="D1360" s="5" t="str">
        <f>IF('FUENTE NO BORRAR'!D1378="","",'FUENTE NO BORRAR'!D1378)</f>
        <v/>
      </c>
      <c r="E1360" s="5" t="str">
        <f>IF('FUENTE NO BORRAR'!E1378="","",'FUENTE NO BORRAR'!E1378)</f>
        <v/>
      </c>
      <c r="F1360" s="6">
        <f>IF('FUENTE NO BORRAR'!F1378="","",IF('FUENTE NO BORRAR'!$A1378&lt;&gt;"Resultado total",('FUENTE NO BORRAR'!F1378),""))</f>
        <v>3181.65</v>
      </c>
      <c r="G1360" s="6">
        <f>IF('FUENTE NO BORRAR'!G1378="","",IF('FUENTE NO BORRAR'!$A1378&lt;&gt;"Resultado total",('FUENTE NO BORRAR'!G1378),""))</f>
        <v>3181.65</v>
      </c>
      <c r="H1360" s="6">
        <f>IF('FUENTE NO BORRAR'!H1378="","",IF('FUENTE NO BORRAR'!$A1378&lt;&gt;"Resultado total",('FUENTE NO BORRAR'!H1378),""))</f>
        <v>3181.65</v>
      </c>
      <c r="I1360" s="6">
        <f>IF('FUENTE NO BORRAR'!I1378="","",IF('FUENTE NO BORRAR'!$A1378&lt;&gt;"Resultado total",('FUENTE NO BORRAR'!I1378),""))</f>
        <v>0</v>
      </c>
    </row>
    <row r="1361" spans="1:9" x14ac:dyDescent="0.2">
      <c r="A1361" s="5" t="str">
        <f>IF('FUENTE NO BORRAR'!A1379="","",(IF('FUENTE NO BORRAR'!A1379&lt;&gt;"Resultado total",'FUENTE NO BORRAR'!A1379,"")))</f>
        <v/>
      </c>
      <c r="B1361" s="5" t="str">
        <f>IF('FUENTE NO BORRAR'!B1379="","",'FUENTE NO BORRAR'!B1379)</f>
        <v/>
      </c>
      <c r="C1361" s="5" t="str">
        <f>IF('FUENTE NO BORRAR'!C1379="","",'FUENTE NO BORRAR'!C1379)</f>
        <v/>
      </c>
      <c r="D1361" s="5" t="str">
        <f>IF('FUENTE NO BORRAR'!D1379="","",'FUENTE NO BORRAR'!D1379)</f>
        <v/>
      </c>
      <c r="E1361" s="5" t="str">
        <f>IF('FUENTE NO BORRAR'!E1379="","",'FUENTE NO BORRAR'!E1379)</f>
        <v/>
      </c>
      <c r="F1361" s="6">
        <f>IF('FUENTE NO BORRAR'!F1379="","",IF('FUENTE NO BORRAR'!$A1379&lt;&gt;"Resultado total",('FUENTE NO BORRAR'!F1379),""))</f>
        <v>11466.6</v>
      </c>
      <c r="G1361" s="6">
        <f>IF('FUENTE NO BORRAR'!G1379="","",IF('FUENTE NO BORRAR'!$A1379&lt;&gt;"Resultado total",('FUENTE NO BORRAR'!G1379),""))</f>
        <v>11466.6</v>
      </c>
      <c r="H1361" s="6">
        <f>IF('FUENTE NO BORRAR'!H1379="","",IF('FUENTE NO BORRAR'!$A1379&lt;&gt;"Resultado total",('FUENTE NO BORRAR'!H1379),""))</f>
        <v>11466.6</v>
      </c>
      <c r="I1361" s="6">
        <f>IF('FUENTE NO BORRAR'!I1379="","",IF('FUENTE NO BORRAR'!$A1379&lt;&gt;"Resultado total",('FUENTE NO BORRAR'!I1379),""))</f>
        <v>0</v>
      </c>
    </row>
    <row r="1362" spans="1:9" x14ac:dyDescent="0.2">
      <c r="A1362" s="5" t="str">
        <f>IF('FUENTE NO BORRAR'!A1380="","",(IF('FUENTE NO BORRAR'!A1380&lt;&gt;"Resultado total",'FUENTE NO BORRAR'!A1380,"")))</f>
        <v/>
      </c>
      <c r="B1362" s="5" t="str">
        <f>IF('FUENTE NO BORRAR'!B1380="","",'FUENTE NO BORRAR'!B1380)</f>
        <v/>
      </c>
      <c r="C1362" s="5" t="str">
        <f>IF('FUENTE NO BORRAR'!C1380="","",'FUENTE NO BORRAR'!C1380)</f>
        <v/>
      </c>
      <c r="D1362" s="5" t="str">
        <f>IF('FUENTE NO BORRAR'!D1380="","",'FUENTE NO BORRAR'!D1380)</f>
        <v/>
      </c>
      <c r="E1362" s="5" t="str">
        <f>IF('FUENTE NO BORRAR'!E1380="","",'FUENTE NO BORRAR'!E1380)</f>
        <v/>
      </c>
      <c r="F1362" s="6">
        <f>IF('FUENTE NO BORRAR'!F1380="","",IF('FUENTE NO BORRAR'!$A1380&lt;&gt;"Resultado total",('FUENTE NO BORRAR'!F1380),""))</f>
        <v>127.6</v>
      </c>
      <c r="G1362" s="6">
        <f>IF('FUENTE NO BORRAR'!G1380="","",IF('FUENTE NO BORRAR'!$A1380&lt;&gt;"Resultado total",('FUENTE NO BORRAR'!G1380),""))</f>
        <v>127.6</v>
      </c>
      <c r="H1362" s="6">
        <f>IF('FUENTE NO BORRAR'!H1380="","",IF('FUENTE NO BORRAR'!$A1380&lt;&gt;"Resultado total",('FUENTE NO BORRAR'!H1380),""))</f>
        <v>127.6</v>
      </c>
      <c r="I1362" s="6">
        <f>IF('FUENTE NO BORRAR'!I1380="","",IF('FUENTE NO BORRAR'!$A1380&lt;&gt;"Resultado total",('FUENTE NO BORRAR'!I1380),""))</f>
        <v>0</v>
      </c>
    </row>
    <row r="1363" spans="1:9" x14ac:dyDescent="0.2">
      <c r="A1363" s="5" t="str">
        <f>IF('FUENTE NO BORRAR'!A1381="","",(IF('FUENTE NO BORRAR'!A1381&lt;&gt;"Resultado total",'FUENTE NO BORRAR'!A1381,"")))</f>
        <v/>
      </c>
      <c r="B1363" s="5" t="str">
        <f>IF('FUENTE NO BORRAR'!B1381="","",'FUENTE NO BORRAR'!B1381)</f>
        <v/>
      </c>
      <c r="C1363" s="5" t="str">
        <f>IF('FUENTE NO BORRAR'!C1381="","",'FUENTE NO BORRAR'!C1381)</f>
        <v/>
      </c>
      <c r="D1363" s="5" t="str">
        <f>IF('FUENTE NO BORRAR'!D1381="","",'FUENTE NO BORRAR'!D1381)</f>
        <v/>
      </c>
      <c r="E1363" s="5" t="str">
        <f>IF('FUENTE NO BORRAR'!E1381="","",'FUENTE NO BORRAR'!E1381)</f>
        <v/>
      </c>
      <c r="F1363" s="6">
        <f>IF('FUENTE NO BORRAR'!F1381="","",IF('FUENTE NO BORRAR'!$A1381&lt;&gt;"Resultado total",('FUENTE NO BORRAR'!F1381),""))</f>
        <v>5220</v>
      </c>
      <c r="G1363" s="6">
        <f>IF('FUENTE NO BORRAR'!G1381="","",IF('FUENTE NO BORRAR'!$A1381&lt;&gt;"Resultado total",('FUENTE NO BORRAR'!G1381),""))</f>
        <v>5220</v>
      </c>
      <c r="H1363" s="6">
        <f>IF('FUENTE NO BORRAR'!H1381="","",IF('FUENTE NO BORRAR'!$A1381&lt;&gt;"Resultado total",('FUENTE NO BORRAR'!H1381),""))</f>
        <v>5220</v>
      </c>
      <c r="I1363" s="6">
        <f>IF('FUENTE NO BORRAR'!I1381="","",IF('FUENTE NO BORRAR'!$A1381&lt;&gt;"Resultado total",('FUENTE NO BORRAR'!I1381),""))</f>
        <v>0</v>
      </c>
    </row>
    <row r="1364" spans="1:9" x14ac:dyDescent="0.2">
      <c r="A1364" s="5" t="str">
        <f>IF('FUENTE NO BORRAR'!A1382="","",(IF('FUENTE NO BORRAR'!A1382&lt;&gt;"Resultado total",'FUENTE NO BORRAR'!A1382,"")))</f>
        <v/>
      </c>
      <c r="B1364" s="5" t="str">
        <f>IF('FUENTE NO BORRAR'!B1382="","",'FUENTE NO BORRAR'!B1382)</f>
        <v/>
      </c>
      <c r="C1364" s="5" t="str">
        <f>IF('FUENTE NO BORRAR'!C1382="","",'FUENTE NO BORRAR'!C1382)</f>
        <v/>
      </c>
      <c r="D1364" s="5" t="str">
        <f>IF('FUENTE NO BORRAR'!D1382="","",'FUENTE NO BORRAR'!D1382)</f>
        <v/>
      </c>
      <c r="E1364" s="5" t="str">
        <f>IF('FUENTE NO BORRAR'!E1382="","",'FUENTE NO BORRAR'!E1382)</f>
        <v/>
      </c>
      <c r="F1364" s="6">
        <f>IF('FUENTE NO BORRAR'!F1382="","",IF('FUENTE NO BORRAR'!$A1382&lt;&gt;"Resultado total",('FUENTE NO BORRAR'!F1382),""))</f>
        <v>1417.57</v>
      </c>
      <c r="G1364" s="6">
        <f>IF('FUENTE NO BORRAR'!G1382="","",IF('FUENTE NO BORRAR'!$A1382&lt;&gt;"Resultado total",('FUENTE NO BORRAR'!G1382),""))</f>
        <v>1417.57</v>
      </c>
      <c r="H1364" s="6">
        <f>IF('FUENTE NO BORRAR'!H1382="","",IF('FUENTE NO BORRAR'!$A1382&lt;&gt;"Resultado total",('FUENTE NO BORRAR'!H1382),""))</f>
        <v>0</v>
      </c>
      <c r="I1364" s="6">
        <f>IF('FUENTE NO BORRAR'!I1382="","",IF('FUENTE NO BORRAR'!$A1382&lt;&gt;"Resultado total",('FUENTE NO BORRAR'!I1382),""))</f>
        <v>0</v>
      </c>
    </row>
    <row r="1365" spans="1:9" x14ac:dyDescent="0.2">
      <c r="A1365" s="5" t="str">
        <f>IF('FUENTE NO BORRAR'!A1383="","",(IF('FUENTE NO BORRAR'!A1383&lt;&gt;"Resultado total",'FUENTE NO BORRAR'!A1383,"")))</f>
        <v/>
      </c>
      <c r="B1365" s="5" t="str">
        <f>IF('FUENTE NO BORRAR'!B1383="","",'FUENTE NO BORRAR'!B1383)</f>
        <v/>
      </c>
      <c r="C1365" s="5" t="str">
        <f>IF('FUENTE NO BORRAR'!C1383="","",'FUENTE NO BORRAR'!C1383)</f>
        <v/>
      </c>
      <c r="D1365" s="5" t="str">
        <f>IF('FUENTE NO BORRAR'!D1383="","",'FUENTE NO BORRAR'!D1383)</f>
        <v/>
      </c>
      <c r="E1365" s="5" t="str">
        <f>IF('FUENTE NO BORRAR'!E1383="","",'FUENTE NO BORRAR'!E1383)</f>
        <v/>
      </c>
      <c r="F1365" s="6">
        <f>IF('FUENTE NO BORRAR'!F1383="","",IF('FUENTE NO BORRAR'!$A1383&lt;&gt;"Resultado total",('FUENTE NO BORRAR'!F1383),""))</f>
        <v>23567</v>
      </c>
      <c r="G1365" s="6">
        <f>IF('FUENTE NO BORRAR'!G1383="","",IF('FUENTE NO BORRAR'!$A1383&lt;&gt;"Resultado total",('FUENTE NO BORRAR'!G1383),""))</f>
        <v>23567</v>
      </c>
      <c r="H1365" s="6">
        <f>IF('FUENTE NO BORRAR'!H1383="","",IF('FUENTE NO BORRAR'!$A1383&lt;&gt;"Resultado total",('FUENTE NO BORRAR'!H1383),""))</f>
        <v>14987</v>
      </c>
      <c r="I1365" s="6">
        <f>IF('FUENTE NO BORRAR'!I1383="","",IF('FUENTE NO BORRAR'!$A1383&lt;&gt;"Resultado total",('FUENTE NO BORRAR'!I1383),""))</f>
        <v>0</v>
      </c>
    </row>
    <row r="1366" spans="1:9" x14ac:dyDescent="0.2">
      <c r="A1366" s="5" t="str">
        <f>IF('FUENTE NO BORRAR'!A1384="","",(IF('FUENTE NO BORRAR'!A1384&lt;&gt;"Resultado total",'FUENTE NO BORRAR'!A1384,"")))</f>
        <v/>
      </c>
      <c r="B1366" s="5" t="str">
        <f>IF('FUENTE NO BORRAR'!B1384="","",'FUENTE NO BORRAR'!B1384)</f>
        <v/>
      </c>
      <c r="C1366" s="5" t="str">
        <f>IF('FUENTE NO BORRAR'!C1384="","",'FUENTE NO BORRAR'!C1384)</f>
        <v/>
      </c>
      <c r="D1366" s="5" t="str">
        <f>IF('FUENTE NO BORRAR'!D1384="","",'FUENTE NO BORRAR'!D1384)</f>
        <v/>
      </c>
      <c r="E1366" s="5" t="str">
        <f>IF('FUENTE NO BORRAR'!E1384="","",'FUENTE NO BORRAR'!E1384)</f>
        <v/>
      </c>
      <c r="F1366" s="6">
        <f>IF('FUENTE NO BORRAR'!F1384="","",IF('FUENTE NO BORRAR'!$A1384&lt;&gt;"Resultado total",('FUENTE NO BORRAR'!F1384),""))</f>
        <v>6494.53</v>
      </c>
      <c r="G1366" s="6">
        <f>IF('FUENTE NO BORRAR'!G1384="","",IF('FUENTE NO BORRAR'!$A1384&lt;&gt;"Resultado total",('FUENTE NO BORRAR'!G1384),""))</f>
        <v>6494.53</v>
      </c>
      <c r="H1366" s="6">
        <f>IF('FUENTE NO BORRAR'!H1384="","",IF('FUENTE NO BORRAR'!$A1384&lt;&gt;"Resultado total",('FUENTE NO BORRAR'!H1384),""))</f>
        <v>6494.53</v>
      </c>
      <c r="I1366" s="6">
        <f>IF('FUENTE NO BORRAR'!I1384="","",IF('FUENTE NO BORRAR'!$A1384&lt;&gt;"Resultado total",('FUENTE NO BORRAR'!I1384),""))</f>
        <v>0</v>
      </c>
    </row>
    <row r="1367" spans="1:9" x14ac:dyDescent="0.2">
      <c r="A1367" s="5" t="str">
        <f>IF('FUENTE NO BORRAR'!A1385="","",(IF('FUENTE NO BORRAR'!A1385&lt;&gt;"Resultado total",'FUENTE NO BORRAR'!A1385,"")))</f>
        <v/>
      </c>
      <c r="B1367" s="5" t="str">
        <f>IF('FUENTE NO BORRAR'!B1385="","",'FUENTE NO BORRAR'!B1385)</f>
        <v/>
      </c>
      <c r="C1367" s="5" t="str">
        <f>IF('FUENTE NO BORRAR'!C1385="","",'FUENTE NO BORRAR'!C1385)</f>
        <v/>
      </c>
      <c r="D1367" s="5" t="str">
        <f>IF('FUENTE NO BORRAR'!D1385="","",'FUENTE NO BORRAR'!D1385)</f>
        <v/>
      </c>
      <c r="E1367" s="5" t="str">
        <f>IF('FUENTE NO BORRAR'!E1385="","",'FUENTE NO BORRAR'!E1385)</f>
        <v/>
      </c>
      <c r="F1367" s="6">
        <f>IF('FUENTE NO BORRAR'!F1385="","",IF('FUENTE NO BORRAR'!$A1385&lt;&gt;"Resultado total",('FUENTE NO BORRAR'!F1385),""))</f>
        <v>661200</v>
      </c>
      <c r="G1367" s="6">
        <f>IF('FUENTE NO BORRAR'!G1385="","",IF('FUENTE NO BORRAR'!$A1385&lt;&gt;"Resultado total",('FUENTE NO BORRAR'!G1385),""))</f>
        <v>661200</v>
      </c>
      <c r="H1367" s="6">
        <f>IF('FUENTE NO BORRAR'!H1385="","",IF('FUENTE NO BORRAR'!$A1385&lt;&gt;"Resultado total",('FUENTE NO BORRAR'!H1385),""))</f>
        <v>591600</v>
      </c>
      <c r="I1367" s="6">
        <f>IF('FUENTE NO BORRAR'!I1385="","",IF('FUENTE NO BORRAR'!$A1385&lt;&gt;"Resultado total",('FUENTE NO BORRAR'!I1385),""))</f>
        <v>0</v>
      </c>
    </row>
    <row r="1368" spans="1:9" x14ac:dyDescent="0.2">
      <c r="A1368" s="5" t="str">
        <f>IF('FUENTE NO BORRAR'!A1386="","",(IF('FUENTE NO BORRAR'!A1386&lt;&gt;"Resultado total",'FUENTE NO BORRAR'!A1386,"")))</f>
        <v/>
      </c>
      <c r="B1368" s="5" t="str">
        <f>IF('FUENTE NO BORRAR'!B1386="","",'FUENTE NO BORRAR'!B1386)</f>
        <v/>
      </c>
      <c r="C1368" s="5" t="str">
        <f>IF('FUENTE NO BORRAR'!C1386="","",'FUENTE NO BORRAR'!C1386)</f>
        <v/>
      </c>
      <c r="D1368" s="5" t="str">
        <f>IF('FUENTE NO BORRAR'!D1386="","",'FUENTE NO BORRAR'!D1386)</f>
        <v/>
      </c>
      <c r="E1368" s="5" t="str">
        <f>IF('FUENTE NO BORRAR'!E1386="","",'FUENTE NO BORRAR'!E1386)</f>
        <v/>
      </c>
      <c r="F1368" s="6">
        <f>IF('FUENTE NO BORRAR'!F1386="","",IF('FUENTE NO BORRAR'!$A1386&lt;&gt;"Resultado total",('FUENTE NO BORRAR'!F1386),""))</f>
        <v>13956.83</v>
      </c>
      <c r="G1368" s="6">
        <f>IF('FUENTE NO BORRAR'!G1386="","",IF('FUENTE NO BORRAR'!$A1386&lt;&gt;"Resultado total",('FUENTE NO BORRAR'!G1386),""))</f>
        <v>13956.83</v>
      </c>
      <c r="H1368" s="6">
        <f>IF('FUENTE NO BORRAR'!H1386="","",IF('FUENTE NO BORRAR'!$A1386&lt;&gt;"Resultado total",('FUENTE NO BORRAR'!H1386),""))</f>
        <v>12017.31</v>
      </c>
      <c r="I1368" s="6">
        <f>IF('FUENTE NO BORRAR'!I1386="","",IF('FUENTE NO BORRAR'!$A1386&lt;&gt;"Resultado total",('FUENTE NO BORRAR'!I1386),""))</f>
        <v>0</v>
      </c>
    </row>
    <row r="1369" spans="1:9" x14ac:dyDescent="0.2">
      <c r="A1369" s="5" t="str">
        <f>IF('FUENTE NO BORRAR'!A1387="","",(IF('FUENTE NO BORRAR'!A1387&lt;&gt;"Resultado total",'FUENTE NO BORRAR'!A1387,"")))</f>
        <v/>
      </c>
      <c r="B1369" s="5" t="str">
        <f>IF('FUENTE NO BORRAR'!B1387="","",'FUENTE NO BORRAR'!B1387)</f>
        <v/>
      </c>
      <c r="C1369" s="5" t="str">
        <f>IF('FUENTE NO BORRAR'!C1387="","",'FUENTE NO BORRAR'!C1387)</f>
        <v/>
      </c>
      <c r="D1369" s="5" t="str">
        <f>IF('FUENTE NO BORRAR'!D1387="","",'FUENTE NO BORRAR'!D1387)</f>
        <v/>
      </c>
      <c r="E1369" s="5" t="str">
        <f>IF('FUENTE NO BORRAR'!E1387="","",'FUENTE NO BORRAR'!E1387)</f>
        <v/>
      </c>
      <c r="F1369" s="6">
        <f>IF('FUENTE NO BORRAR'!F1387="","",IF('FUENTE NO BORRAR'!$A1387&lt;&gt;"Resultado total",('FUENTE NO BORRAR'!F1387),""))</f>
        <v>27805.200000000001</v>
      </c>
      <c r="G1369" s="6">
        <f>IF('FUENTE NO BORRAR'!G1387="","",IF('FUENTE NO BORRAR'!$A1387&lt;&gt;"Resultado total",('FUENTE NO BORRAR'!G1387),""))</f>
        <v>27805.200000000001</v>
      </c>
      <c r="H1369" s="6">
        <f>IF('FUENTE NO BORRAR'!H1387="","",IF('FUENTE NO BORRAR'!$A1387&lt;&gt;"Resultado total",('FUENTE NO BORRAR'!H1387),""))</f>
        <v>27805.200000000001</v>
      </c>
      <c r="I1369" s="6">
        <f>IF('FUENTE NO BORRAR'!I1387="","",IF('FUENTE NO BORRAR'!$A1387&lt;&gt;"Resultado total",('FUENTE NO BORRAR'!I1387),""))</f>
        <v>0</v>
      </c>
    </row>
    <row r="1370" spans="1:9" x14ac:dyDescent="0.2">
      <c r="A1370" s="5" t="str">
        <f>IF('FUENTE NO BORRAR'!A1388="","",(IF('FUENTE NO BORRAR'!A1388&lt;&gt;"Resultado total",'FUENTE NO BORRAR'!A1388,"")))</f>
        <v/>
      </c>
      <c r="B1370" s="5" t="str">
        <f>IF('FUENTE NO BORRAR'!B1388="","",'FUENTE NO BORRAR'!B1388)</f>
        <v/>
      </c>
      <c r="C1370" s="5" t="str">
        <f>IF('FUENTE NO BORRAR'!C1388="","",'FUENTE NO BORRAR'!C1388)</f>
        <v/>
      </c>
      <c r="D1370" s="5" t="str">
        <f>IF('FUENTE NO BORRAR'!D1388="","",'FUENTE NO BORRAR'!D1388)</f>
        <v/>
      </c>
      <c r="E1370" s="5" t="str">
        <f>IF('FUENTE NO BORRAR'!E1388="","",'FUENTE NO BORRAR'!E1388)</f>
        <v/>
      </c>
      <c r="F1370" s="6">
        <f>IF('FUENTE NO BORRAR'!F1388="","",IF('FUENTE NO BORRAR'!$A1388&lt;&gt;"Resultado total",('FUENTE NO BORRAR'!F1388),""))</f>
        <v>2088</v>
      </c>
      <c r="G1370" s="6">
        <f>IF('FUENTE NO BORRAR'!G1388="","",IF('FUENTE NO BORRAR'!$A1388&lt;&gt;"Resultado total",('FUENTE NO BORRAR'!G1388),""))</f>
        <v>2088</v>
      </c>
      <c r="H1370" s="6">
        <f>IF('FUENTE NO BORRAR'!H1388="","",IF('FUENTE NO BORRAR'!$A1388&lt;&gt;"Resultado total",('FUENTE NO BORRAR'!H1388),""))</f>
        <v>2088</v>
      </c>
      <c r="I1370" s="6">
        <f>IF('FUENTE NO BORRAR'!I1388="","",IF('FUENTE NO BORRAR'!$A1388&lt;&gt;"Resultado total",('FUENTE NO BORRAR'!I1388),""))</f>
        <v>0</v>
      </c>
    </row>
    <row r="1371" spans="1:9" x14ac:dyDescent="0.2">
      <c r="A1371" s="5" t="str">
        <f>IF('FUENTE NO BORRAR'!A1389="","",(IF('FUENTE NO BORRAR'!A1389&lt;&gt;"Resultado total",'FUENTE NO BORRAR'!A1389,"")))</f>
        <v/>
      </c>
      <c r="B1371" s="5" t="str">
        <f>IF('FUENTE NO BORRAR'!B1389="","",'FUENTE NO BORRAR'!B1389)</f>
        <v/>
      </c>
      <c r="C1371" s="5" t="str">
        <f>IF('FUENTE NO BORRAR'!C1389="","",'FUENTE NO BORRAR'!C1389)</f>
        <v/>
      </c>
      <c r="D1371" s="5" t="str">
        <f>IF('FUENTE NO BORRAR'!D1389="","",'FUENTE NO BORRAR'!D1389)</f>
        <v/>
      </c>
      <c r="E1371" s="5" t="str">
        <f>IF('FUENTE NO BORRAR'!E1389="","",'FUENTE NO BORRAR'!E1389)</f>
        <v/>
      </c>
      <c r="F1371" s="6">
        <f>IF('FUENTE NO BORRAR'!F1389="","",IF('FUENTE NO BORRAR'!$A1389&lt;&gt;"Resultado total",('FUENTE NO BORRAR'!F1389),""))</f>
        <v>0</v>
      </c>
      <c r="G1371" s="6">
        <f>IF('FUENTE NO BORRAR'!G1389="","",IF('FUENTE NO BORRAR'!$A1389&lt;&gt;"Resultado total",('FUENTE NO BORRAR'!G1389),""))</f>
        <v>0</v>
      </c>
      <c r="H1371" s="6">
        <f>IF('FUENTE NO BORRAR'!H1389="","",IF('FUENTE NO BORRAR'!$A1389&lt;&gt;"Resultado total",('FUENTE NO BORRAR'!H1389),""))</f>
        <v>0</v>
      </c>
      <c r="I1371" s="6">
        <f>IF('FUENTE NO BORRAR'!I1389="","",IF('FUENTE NO BORRAR'!$A1389&lt;&gt;"Resultado total",('FUENTE NO BORRAR'!I1389),""))</f>
        <v>0</v>
      </c>
    </row>
    <row r="1372" spans="1:9" x14ac:dyDescent="0.2">
      <c r="A1372" s="5" t="str">
        <f>IF('FUENTE NO BORRAR'!A1390="","",(IF('FUENTE NO BORRAR'!A1390&lt;&gt;"Resultado total",'FUENTE NO BORRAR'!A1390,"")))</f>
        <v/>
      </c>
      <c r="B1372" s="5" t="str">
        <f>IF('FUENTE NO BORRAR'!B1390="","",'FUENTE NO BORRAR'!B1390)</f>
        <v/>
      </c>
      <c r="C1372" s="5" t="str">
        <f>IF('FUENTE NO BORRAR'!C1390="","",'FUENTE NO BORRAR'!C1390)</f>
        <v/>
      </c>
      <c r="D1372" s="5" t="str">
        <f>IF('FUENTE NO BORRAR'!D1390="","",'FUENTE NO BORRAR'!D1390)</f>
        <v/>
      </c>
      <c r="E1372" s="5" t="str">
        <f>IF('FUENTE NO BORRAR'!E1390="","",'FUENTE NO BORRAR'!E1390)</f>
        <v/>
      </c>
      <c r="F1372" s="6">
        <f>IF('FUENTE NO BORRAR'!F1390="","",IF('FUENTE NO BORRAR'!$A1390&lt;&gt;"Resultado total",('FUENTE NO BORRAR'!F1390),""))</f>
        <v>2630.88</v>
      </c>
      <c r="G1372" s="6">
        <f>IF('FUENTE NO BORRAR'!G1390="","",IF('FUENTE NO BORRAR'!$A1390&lt;&gt;"Resultado total",('FUENTE NO BORRAR'!G1390),""))</f>
        <v>2630.88</v>
      </c>
      <c r="H1372" s="6">
        <f>IF('FUENTE NO BORRAR'!H1390="","",IF('FUENTE NO BORRAR'!$A1390&lt;&gt;"Resultado total",('FUENTE NO BORRAR'!H1390),""))</f>
        <v>2630.88</v>
      </c>
      <c r="I1372" s="6">
        <f>IF('FUENTE NO BORRAR'!I1390="","",IF('FUENTE NO BORRAR'!$A1390&lt;&gt;"Resultado total",('FUENTE NO BORRAR'!I1390),""))</f>
        <v>0</v>
      </c>
    </row>
    <row r="1373" spans="1:9" x14ac:dyDescent="0.2">
      <c r="A1373" s="5" t="str">
        <f>IF('FUENTE NO BORRAR'!A1391="","",(IF('FUENTE NO BORRAR'!A1391&lt;&gt;"Resultado total",'FUENTE NO BORRAR'!A1391,"")))</f>
        <v/>
      </c>
      <c r="B1373" s="5" t="str">
        <f>IF('FUENTE NO BORRAR'!B1391="","",'FUENTE NO BORRAR'!B1391)</f>
        <v/>
      </c>
      <c r="C1373" s="5" t="str">
        <f>IF('FUENTE NO BORRAR'!C1391="","",'FUENTE NO BORRAR'!C1391)</f>
        <v/>
      </c>
      <c r="D1373" s="5" t="str">
        <f>IF('FUENTE NO BORRAR'!D1391="","",'FUENTE NO BORRAR'!D1391)</f>
        <v/>
      </c>
      <c r="E1373" s="5" t="str">
        <f>IF('FUENTE NO BORRAR'!E1391="","",'FUENTE NO BORRAR'!E1391)</f>
        <v/>
      </c>
      <c r="F1373" s="6">
        <f>IF('FUENTE NO BORRAR'!F1391="","",IF('FUENTE NO BORRAR'!$A1391&lt;&gt;"Resultado total",('FUENTE NO BORRAR'!F1391),""))</f>
        <v>30470.12</v>
      </c>
      <c r="G1373" s="6">
        <f>IF('FUENTE NO BORRAR'!G1391="","",IF('FUENTE NO BORRAR'!$A1391&lt;&gt;"Resultado total",('FUENTE NO BORRAR'!G1391),""))</f>
        <v>30470.12</v>
      </c>
      <c r="H1373" s="6">
        <f>IF('FUENTE NO BORRAR'!H1391="","",IF('FUENTE NO BORRAR'!$A1391&lt;&gt;"Resultado total",('FUENTE NO BORRAR'!H1391),""))</f>
        <v>30470.12</v>
      </c>
      <c r="I1373" s="6">
        <f>IF('FUENTE NO BORRAR'!I1391="","",IF('FUENTE NO BORRAR'!$A1391&lt;&gt;"Resultado total",('FUENTE NO BORRAR'!I1391),""))</f>
        <v>0</v>
      </c>
    </row>
    <row r="1374" spans="1:9" x14ac:dyDescent="0.2">
      <c r="A1374" s="5" t="str">
        <f>IF('FUENTE NO BORRAR'!A1392="","",(IF('FUENTE NO BORRAR'!A1392&lt;&gt;"Resultado total",'FUENTE NO BORRAR'!A1392,"")))</f>
        <v/>
      </c>
      <c r="B1374" s="5" t="str">
        <f>IF('FUENTE NO BORRAR'!B1392="","",'FUENTE NO BORRAR'!B1392)</f>
        <v/>
      </c>
      <c r="C1374" s="5" t="str">
        <f>IF('FUENTE NO BORRAR'!C1392="","",'FUENTE NO BORRAR'!C1392)</f>
        <v/>
      </c>
      <c r="D1374" s="5" t="str">
        <f>IF('FUENTE NO BORRAR'!D1392="","",'FUENTE NO BORRAR'!D1392)</f>
        <v/>
      </c>
      <c r="E1374" s="5" t="str">
        <f>IF('FUENTE NO BORRAR'!E1392="","",'FUENTE NO BORRAR'!E1392)</f>
        <v/>
      </c>
      <c r="F1374" s="6">
        <f>IF('FUENTE NO BORRAR'!F1392="","",IF('FUENTE NO BORRAR'!$A1392&lt;&gt;"Resultado total",('FUENTE NO BORRAR'!F1392),""))</f>
        <v>12600</v>
      </c>
      <c r="G1374" s="6">
        <f>IF('FUENTE NO BORRAR'!G1392="","",IF('FUENTE NO BORRAR'!$A1392&lt;&gt;"Resultado total",('FUENTE NO BORRAR'!G1392),""))</f>
        <v>12600</v>
      </c>
      <c r="H1374" s="6">
        <f>IF('FUENTE NO BORRAR'!H1392="","",IF('FUENTE NO BORRAR'!$A1392&lt;&gt;"Resultado total",('FUENTE NO BORRAR'!H1392),""))</f>
        <v>12600</v>
      </c>
      <c r="I1374" s="6">
        <f>IF('FUENTE NO BORRAR'!I1392="","",IF('FUENTE NO BORRAR'!$A1392&lt;&gt;"Resultado total",('FUENTE NO BORRAR'!I1392),""))</f>
        <v>0</v>
      </c>
    </row>
    <row r="1375" spans="1:9" x14ac:dyDescent="0.2">
      <c r="A1375" s="5" t="str">
        <f>IF('FUENTE NO BORRAR'!A1393="","",(IF('FUENTE NO BORRAR'!A1393&lt;&gt;"Resultado total",'FUENTE NO BORRAR'!A1393,"")))</f>
        <v/>
      </c>
      <c r="B1375" s="5" t="str">
        <f>IF('FUENTE NO BORRAR'!B1393="","",'FUENTE NO BORRAR'!B1393)</f>
        <v/>
      </c>
      <c r="C1375" s="5" t="str">
        <f>IF('FUENTE NO BORRAR'!C1393="","",'FUENTE NO BORRAR'!C1393)</f>
        <v/>
      </c>
      <c r="D1375" s="5" t="str">
        <f>IF('FUENTE NO BORRAR'!D1393="","",'FUENTE NO BORRAR'!D1393)</f>
        <v/>
      </c>
      <c r="E1375" s="5" t="str">
        <f>IF('FUENTE NO BORRAR'!E1393="","",'FUENTE NO BORRAR'!E1393)</f>
        <v/>
      </c>
      <c r="F1375" s="6">
        <f>IF('FUENTE NO BORRAR'!F1393="","",IF('FUENTE NO BORRAR'!$A1393&lt;&gt;"Resultado total",('FUENTE NO BORRAR'!F1393),""))</f>
        <v>1323.61</v>
      </c>
      <c r="G1375" s="6">
        <f>IF('FUENTE NO BORRAR'!G1393="","",IF('FUENTE NO BORRAR'!$A1393&lt;&gt;"Resultado total",('FUENTE NO BORRAR'!G1393),""))</f>
        <v>1323.61</v>
      </c>
      <c r="H1375" s="6">
        <f>IF('FUENTE NO BORRAR'!H1393="","",IF('FUENTE NO BORRAR'!$A1393&lt;&gt;"Resultado total",('FUENTE NO BORRAR'!H1393),""))</f>
        <v>1323.61</v>
      </c>
      <c r="I1375" s="6">
        <f>IF('FUENTE NO BORRAR'!I1393="","",IF('FUENTE NO BORRAR'!$A1393&lt;&gt;"Resultado total",('FUENTE NO BORRAR'!I1393),""))</f>
        <v>0</v>
      </c>
    </row>
    <row r="1376" spans="1:9" x14ac:dyDescent="0.2">
      <c r="A1376" s="5" t="str">
        <f>IF('FUENTE NO BORRAR'!A1394="","",(IF('FUENTE NO BORRAR'!A1394&lt;&gt;"Resultado total",'FUENTE NO BORRAR'!A1394,"")))</f>
        <v/>
      </c>
      <c r="B1376" s="5" t="str">
        <f>IF('FUENTE NO BORRAR'!B1394="","",'FUENTE NO BORRAR'!B1394)</f>
        <v/>
      </c>
      <c r="C1376" s="5" t="str">
        <f>IF('FUENTE NO BORRAR'!C1394="","",'FUENTE NO BORRAR'!C1394)</f>
        <v/>
      </c>
      <c r="D1376" s="5" t="str">
        <f>IF('FUENTE NO BORRAR'!D1394="","",'FUENTE NO BORRAR'!D1394)</f>
        <v/>
      </c>
      <c r="E1376" s="5" t="str">
        <f>IF('FUENTE NO BORRAR'!E1394="","",'FUENTE NO BORRAR'!E1394)</f>
        <v/>
      </c>
      <c r="F1376" s="6">
        <f>IF('FUENTE NO BORRAR'!F1394="","",IF('FUENTE NO BORRAR'!$A1394&lt;&gt;"Resultado total",('FUENTE NO BORRAR'!F1394),""))</f>
        <v>974</v>
      </c>
      <c r="G1376" s="6">
        <f>IF('FUENTE NO BORRAR'!G1394="","",IF('FUENTE NO BORRAR'!$A1394&lt;&gt;"Resultado total",('FUENTE NO BORRAR'!G1394),""))</f>
        <v>974</v>
      </c>
      <c r="H1376" s="6">
        <f>IF('FUENTE NO BORRAR'!H1394="","",IF('FUENTE NO BORRAR'!$A1394&lt;&gt;"Resultado total",('FUENTE NO BORRAR'!H1394),""))</f>
        <v>974</v>
      </c>
      <c r="I1376" s="6">
        <f>IF('FUENTE NO BORRAR'!I1394="","",IF('FUENTE NO BORRAR'!$A1394&lt;&gt;"Resultado total",('FUENTE NO BORRAR'!I1394),""))</f>
        <v>0</v>
      </c>
    </row>
    <row r="1377" spans="1:9" x14ac:dyDescent="0.2">
      <c r="A1377" s="5" t="str">
        <f>IF('FUENTE NO BORRAR'!A1395="","",(IF('FUENTE NO BORRAR'!A1395&lt;&gt;"Resultado total",'FUENTE NO BORRAR'!A1395,"")))</f>
        <v/>
      </c>
      <c r="B1377" s="5" t="str">
        <f>IF('FUENTE NO BORRAR'!B1395="","",'FUENTE NO BORRAR'!B1395)</f>
        <v/>
      </c>
      <c r="C1377" s="5" t="str">
        <f>IF('FUENTE NO BORRAR'!C1395="","",'FUENTE NO BORRAR'!C1395)</f>
        <v/>
      </c>
      <c r="D1377" s="5" t="str">
        <f>IF('FUENTE NO BORRAR'!D1395="","",'FUENTE NO BORRAR'!D1395)</f>
        <v/>
      </c>
      <c r="E1377" s="5" t="str">
        <f>IF('FUENTE NO BORRAR'!E1395="","",'FUENTE NO BORRAR'!E1395)</f>
        <v/>
      </c>
      <c r="F1377" s="6">
        <f>IF('FUENTE NO BORRAR'!F1395="","",IF('FUENTE NO BORRAR'!$A1395&lt;&gt;"Resultado total",('FUENTE NO BORRAR'!F1395),""))</f>
        <v>0</v>
      </c>
      <c r="G1377" s="6">
        <f>IF('FUENTE NO BORRAR'!G1395="","",IF('FUENTE NO BORRAR'!$A1395&lt;&gt;"Resultado total",('FUENTE NO BORRAR'!G1395),""))</f>
        <v>0</v>
      </c>
      <c r="H1377" s="6">
        <f>IF('FUENTE NO BORRAR'!H1395="","",IF('FUENTE NO BORRAR'!$A1395&lt;&gt;"Resultado total",('FUENTE NO BORRAR'!H1395),""))</f>
        <v>0</v>
      </c>
      <c r="I1377" s="6">
        <f>IF('FUENTE NO BORRAR'!I1395="","",IF('FUENTE NO BORRAR'!$A1395&lt;&gt;"Resultado total",('FUENTE NO BORRAR'!I1395),""))</f>
        <v>0</v>
      </c>
    </row>
    <row r="1378" spans="1:9" x14ac:dyDescent="0.2">
      <c r="A1378" s="5" t="str">
        <f>IF('FUENTE NO BORRAR'!A1396="","",(IF('FUENTE NO BORRAR'!A1396&lt;&gt;"Resultado total",'FUENTE NO BORRAR'!A1396,"")))</f>
        <v/>
      </c>
      <c r="B1378" s="5" t="str">
        <f>IF('FUENTE NO BORRAR'!B1396="","",'FUENTE NO BORRAR'!B1396)</f>
        <v/>
      </c>
      <c r="C1378" s="5" t="str">
        <f>IF('FUENTE NO BORRAR'!C1396="","",'FUENTE NO BORRAR'!C1396)</f>
        <v/>
      </c>
      <c r="D1378" s="5" t="str">
        <f>IF('FUENTE NO BORRAR'!D1396="","",'FUENTE NO BORRAR'!D1396)</f>
        <v/>
      </c>
      <c r="E1378" s="5" t="str">
        <f>IF('FUENTE NO BORRAR'!E1396="","",'FUENTE NO BORRAR'!E1396)</f>
        <v/>
      </c>
      <c r="F1378" s="6">
        <f>IF('FUENTE NO BORRAR'!F1396="","",IF('FUENTE NO BORRAR'!$A1396&lt;&gt;"Resultado total",('FUENTE NO BORRAR'!F1396),""))</f>
        <v>0</v>
      </c>
      <c r="G1378" s="6">
        <f>IF('FUENTE NO BORRAR'!G1396="","",IF('FUENTE NO BORRAR'!$A1396&lt;&gt;"Resultado total",('FUENTE NO BORRAR'!G1396),""))</f>
        <v>0</v>
      </c>
      <c r="H1378" s="6">
        <f>IF('FUENTE NO BORRAR'!H1396="","",IF('FUENTE NO BORRAR'!$A1396&lt;&gt;"Resultado total",('FUENTE NO BORRAR'!H1396),""))</f>
        <v>0</v>
      </c>
      <c r="I1378" s="6">
        <f>IF('FUENTE NO BORRAR'!I1396="","",IF('FUENTE NO BORRAR'!$A1396&lt;&gt;"Resultado total",('FUENTE NO BORRAR'!I1396),""))</f>
        <v>0</v>
      </c>
    </row>
    <row r="1379" spans="1:9" x14ac:dyDescent="0.2">
      <c r="A1379" s="5" t="str">
        <f>IF('FUENTE NO BORRAR'!A1397="","",(IF('FUENTE NO BORRAR'!A1397&lt;&gt;"Resultado total",'FUENTE NO BORRAR'!A1397,"")))</f>
        <v/>
      </c>
      <c r="B1379" s="5" t="str">
        <f>IF('FUENTE NO BORRAR'!B1397="","",'FUENTE NO BORRAR'!B1397)</f>
        <v/>
      </c>
      <c r="C1379" s="5" t="str">
        <f>IF('FUENTE NO BORRAR'!C1397="","",'FUENTE NO BORRAR'!C1397)</f>
        <v/>
      </c>
      <c r="D1379" s="5" t="str">
        <f>IF('FUENTE NO BORRAR'!D1397="","",'FUENTE NO BORRAR'!D1397)</f>
        <v/>
      </c>
      <c r="E1379" s="5" t="str">
        <f>IF('FUENTE NO BORRAR'!E1397="","",'FUENTE NO BORRAR'!E1397)</f>
        <v/>
      </c>
      <c r="F1379" s="6">
        <f>IF('FUENTE NO BORRAR'!F1397="","",IF('FUENTE NO BORRAR'!$A1397&lt;&gt;"Resultado total",('FUENTE NO BORRAR'!F1397),""))</f>
        <v>18560</v>
      </c>
      <c r="G1379" s="6">
        <f>IF('FUENTE NO BORRAR'!G1397="","",IF('FUENTE NO BORRAR'!$A1397&lt;&gt;"Resultado total",('FUENTE NO BORRAR'!G1397),""))</f>
        <v>18560</v>
      </c>
      <c r="H1379" s="6">
        <f>IF('FUENTE NO BORRAR'!H1397="","",IF('FUENTE NO BORRAR'!$A1397&lt;&gt;"Resultado total",('FUENTE NO BORRAR'!H1397),""))</f>
        <v>18560</v>
      </c>
      <c r="I1379" s="6">
        <f>IF('FUENTE NO BORRAR'!I1397="","",IF('FUENTE NO BORRAR'!$A1397&lt;&gt;"Resultado total",('FUENTE NO BORRAR'!I1397),""))</f>
        <v>0</v>
      </c>
    </row>
    <row r="1380" spans="1:9" x14ac:dyDescent="0.2">
      <c r="A1380" s="5" t="str">
        <f>IF('FUENTE NO BORRAR'!A1398="","",(IF('FUENTE NO BORRAR'!A1398&lt;&gt;"Resultado total",'FUENTE NO BORRAR'!A1398,"")))</f>
        <v/>
      </c>
      <c r="B1380" s="5" t="str">
        <f>IF('FUENTE NO BORRAR'!B1398="","",'FUENTE NO BORRAR'!B1398)</f>
        <v/>
      </c>
      <c r="C1380" s="5" t="str">
        <f>IF('FUENTE NO BORRAR'!C1398="","",'FUENTE NO BORRAR'!C1398)</f>
        <v>22062103E201</v>
      </c>
      <c r="D1380" s="5" t="str">
        <f>IF('FUENTE NO BORRAR'!D1398="","",'FUENTE NO BORRAR'!D1398)</f>
        <v>22062103E201</v>
      </c>
      <c r="E1380" s="5" t="str">
        <f>IF('FUENTE NO BORRAR'!E1398="","",'FUENTE NO BORRAR'!E1398)</f>
        <v/>
      </c>
      <c r="F1380" s="6">
        <f>IF('FUENTE NO BORRAR'!F1398="","",IF('FUENTE NO BORRAR'!$A1398&lt;&gt;"Resultado total",('FUENTE NO BORRAR'!F1398),""))</f>
        <v>35720380.659999996</v>
      </c>
      <c r="G1380" s="6">
        <f>IF('FUENTE NO BORRAR'!G1398="","",IF('FUENTE NO BORRAR'!$A1398&lt;&gt;"Resultado total",('FUENTE NO BORRAR'!G1398),""))</f>
        <v>35720380.659999996</v>
      </c>
      <c r="H1380" s="6">
        <f>IF('FUENTE NO BORRAR'!H1398="","",IF('FUENTE NO BORRAR'!$A1398&lt;&gt;"Resultado total",('FUENTE NO BORRAR'!H1398),""))</f>
        <v>35720380.659999996</v>
      </c>
      <c r="I1380" s="6">
        <f>IF('FUENTE NO BORRAR'!I1398="","",IF('FUENTE NO BORRAR'!$A1398&lt;&gt;"Resultado total",('FUENTE NO BORRAR'!I1398),""))</f>
        <v>0</v>
      </c>
    </row>
    <row r="1381" spans="1:9" x14ac:dyDescent="0.2">
      <c r="A1381" s="5" t="str">
        <f>IF('FUENTE NO BORRAR'!A1399="","",(IF('FUENTE NO BORRAR'!A1399&lt;&gt;"Resultado total",'FUENTE NO BORRAR'!A1399,"")))</f>
        <v/>
      </c>
      <c r="B1381" s="5" t="str">
        <f>IF('FUENTE NO BORRAR'!B1399="","",'FUENTE NO BORRAR'!B1399)</f>
        <v/>
      </c>
      <c r="C1381" s="5" t="str">
        <f>IF('FUENTE NO BORRAR'!C1399="","",'FUENTE NO BORRAR'!C1399)</f>
        <v/>
      </c>
      <c r="D1381" s="5" t="str">
        <f>IF('FUENTE NO BORRAR'!D1399="","",'FUENTE NO BORRAR'!D1399)</f>
        <v/>
      </c>
      <c r="E1381" s="5" t="str">
        <f>IF('FUENTE NO BORRAR'!E1399="","",'FUENTE NO BORRAR'!E1399)</f>
        <v/>
      </c>
      <c r="F1381" s="6">
        <f>IF('FUENTE NO BORRAR'!F1399="","",IF('FUENTE NO BORRAR'!$A1399&lt;&gt;"Resultado total",('FUENTE NO BORRAR'!F1399),""))</f>
        <v>2261707.56</v>
      </c>
      <c r="G1381" s="6">
        <f>IF('FUENTE NO BORRAR'!G1399="","",IF('FUENTE NO BORRAR'!$A1399&lt;&gt;"Resultado total",('FUENTE NO BORRAR'!G1399),""))</f>
        <v>2261707.56</v>
      </c>
      <c r="H1381" s="6">
        <f>IF('FUENTE NO BORRAR'!H1399="","",IF('FUENTE NO BORRAR'!$A1399&lt;&gt;"Resultado total",('FUENTE NO BORRAR'!H1399),""))</f>
        <v>2261707.56</v>
      </c>
      <c r="I1381" s="6">
        <f>IF('FUENTE NO BORRAR'!I1399="","",IF('FUENTE NO BORRAR'!$A1399&lt;&gt;"Resultado total",('FUENTE NO BORRAR'!I1399),""))</f>
        <v>0</v>
      </c>
    </row>
    <row r="1382" spans="1:9" x14ac:dyDescent="0.2">
      <c r="A1382" s="5" t="str">
        <f>IF('FUENTE NO BORRAR'!A1400="","",(IF('FUENTE NO BORRAR'!A1400&lt;&gt;"Resultado total",'FUENTE NO BORRAR'!A1400,"")))</f>
        <v/>
      </c>
      <c r="B1382" s="5" t="str">
        <f>IF('FUENTE NO BORRAR'!B1400="","",'FUENTE NO BORRAR'!B1400)</f>
        <v/>
      </c>
      <c r="C1382" s="5" t="str">
        <f>IF('FUENTE NO BORRAR'!C1400="","",'FUENTE NO BORRAR'!C1400)</f>
        <v/>
      </c>
      <c r="D1382" s="5" t="str">
        <f>IF('FUENTE NO BORRAR'!D1400="","",'FUENTE NO BORRAR'!D1400)</f>
        <v/>
      </c>
      <c r="E1382" s="5" t="str">
        <f>IF('FUENTE NO BORRAR'!E1400="","",'FUENTE NO BORRAR'!E1400)</f>
        <v/>
      </c>
      <c r="F1382" s="6">
        <f>IF('FUENTE NO BORRAR'!F1400="","",IF('FUENTE NO BORRAR'!$A1400&lt;&gt;"Resultado total",('FUENTE NO BORRAR'!F1400),""))</f>
        <v>1091231.6000000001</v>
      </c>
      <c r="G1382" s="6">
        <f>IF('FUENTE NO BORRAR'!G1400="","",IF('FUENTE NO BORRAR'!$A1400&lt;&gt;"Resultado total",('FUENTE NO BORRAR'!G1400),""))</f>
        <v>1091231.6000000001</v>
      </c>
      <c r="H1382" s="6">
        <f>IF('FUENTE NO BORRAR'!H1400="","",IF('FUENTE NO BORRAR'!$A1400&lt;&gt;"Resultado total",('FUENTE NO BORRAR'!H1400),""))</f>
        <v>1015225.51</v>
      </c>
      <c r="I1382" s="6">
        <f>IF('FUENTE NO BORRAR'!I1400="","",IF('FUENTE NO BORRAR'!$A1400&lt;&gt;"Resultado total",('FUENTE NO BORRAR'!I1400),""))</f>
        <v>0</v>
      </c>
    </row>
    <row r="1383" spans="1:9" x14ac:dyDescent="0.2">
      <c r="A1383" s="5" t="str">
        <f>IF('FUENTE NO BORRAR'!A1401="","",(IF('FUENTE NO BORRAR'!A1401&lt;&gt;"Resultado total",'FUENTE NO BORRAR'!A1401,"")))</f>
        <v/>
      </c>
      <c r="B1383" s="5" t="str">
        <f>IF('FUENTE NO BORRAR'!B1401="","",'FUENTE NO BORRAR'!B1401)</f>
        <v/>
      </c>
      <c r="C1383" s="5" t="str">
        <f>IF('FUENTE NO BORRAR'!C1401="","",'FUENTE NO BORRAR'!C1401)</f>
        <v/>
      </c>
      <c r="D1383" s="5" t="str">
        <f>IF('FUENTE NO BORRAR'!D1401="","",'FUENTE NO BORRAR'!D1401)</f>
        <v/>
      </c>
      <c r="E1383" s="5" t="str">
        <f>IF('FUENTE NO BORRAR'!E1401="","",'FUENTE NO BORRAR'!E1401)</f>
        <v/>
      </c>
      <c r="F1383" s="6">
        <f>IF('FUENTE NO BORRAR'!F1401="","",IF('FUENTE NO BORRAR'!$A1401&lt;&gt;"Resultado total",('FUENTE NO BORRAR'!F1401),""))</f>
        <v>536550.30000000005</v>
      </c>
      <c r="G1383" s="6">
        <f>IF('FUENTE NO BORRAR'!G1401="","",IF('FUENTE NO BORRAR'!$A1401&lt;&gt;"Resultado total",('FUENTE NO BORRAR'!G1401),""))</f>
        <v>536550.30000000005</v>
      </c>
      <c r="H1383" s="6">
        <f>IF('FUENTE NO BORRAR'!H1401="","",IF('FUENTE NO BORRAR'!$A1401&lt;&gt;"Resultado total",('FUENTE NO BORRAR'!H1401),""))</f>
        <v>536550.30000000005</v>
      </c>
      <c r="I1383" s="6">
        <f>IF('FUENTE NO BORRAR'!I1401="","",IF('FUENTE NO BORRAR'!$A1401&lt;&gt;"Resultado total",('FUENTE NO BORRAR'!I1401),""))</f>
        <v>0</v>
      </c>
    </row>
    <row r="1384" spans="1:9" x14ac:dyDescent="0.2">
      <c r="A1384" s="5" t="str">
        <f>IF('FUENTE NO BORRAR'!A1402="","",(IF('FUENTE NO BORRAR'!A1402&lt;&gt;"Resultado total",'FUENTE NO BORRAR'!A1402,"")))</f>
        <v/>
      </c>
      <c r="B1384" s="5" t="str">
        <f>IF('FUENTE NO BORRAR'!B1402="","",'FUENTE NO BORRAR'!B1402)</f>
        <v/>
      </c>
      <c r="C1384" s="5" t="str">
        <f>IF('FUENTE NO BORRAR'!C1402="","",'FUENTE NO BORRAR'!C1402)</f>
        <v/>
      </c>
      <c r="D1384" s="5" t="str">
        <f>IF('FUENTE NO BORRAR'!D1402="","",'FUENTE NO BORRAR'!D1402)</f>
        <v/>
      </c>
      <c r="E1384" s="5" t="str">
        <f>IF('FUENTE NO BORRAR'!E1402="","",'FUENTE NO BORRAR'!E1402)</f>
        <v/>
      </c>
      <c r="F1384" s="6">
        <f>IF('FUENTE NO BORRAR'!F1402="","",IF('FUENTE NO BORRAR'!$A1402&lt;&gt;"Resultado total",('FUENTE NO BORRAR'!F1402),""))</f>
        <v>5039827</v>
      </c>
      <c r="G1384" s="6">
        <f>IF('FUENTE NO BORRAR'!G1402="","",IF('FUENTE NO BORRAR'!$A1402&lt;&gt;"Resultado total",('FUENTE NO BORRAR'!G1402),""))</f>
        <v>5039827</v>
      </c>
      <c r="H1384" s="6">
        <f>IF('FUENTE NO BORRAR'!H1402="","",IF('FUENTE NO BORRAR'!$A1402&lt;&gt;"Resultado total",('FUENTE NO BORRAR'!H1402),""))</f>
        <v>5039827</v>
      </c>
      <c r="I1384" s="6">
        <f>IF('FUENTE NO BORRAR'!I1402="","",IF('FUENTE NO BORRAR'!$A1402&lt;&gt;"Resultado total",('FUENTE NO BORRAR'!I1402),""))</f>
        <v>1.0000000000000001E-9</v>
      </c>
    </row>
    <row r="1385" spans="1:9" x14ac:dyDescent="0.2">
      <c r="A1385" s="5" t="str">
        <f>IF('FUENTE NO BORRAR'!A1403="","",(IF('FUENTE NO BORRAR'!A1403&lt;&gt;"Resultado total",'FUENTE NO BORRAR'!A1403,"")))</f>
        <v/>
      </c>
      <c r="B1385" s="5" t="str">
        <f>IF('FUENTE NO BORRAR'!B1403="","",'FUENTE NO BORRAR'!B1403)</f>
        <v/>
      </c>
      <c r="C1385" s="5" t="str">
        <f>IF('FUENTE NO BORRAR'!C1403="","",'FUENTE NO BORRAR'!C1403)</f>
        <v/>
      </c>
      <c r="D1385" s="5" t="str">
        <f>IF('FUENTE NO BORRAR'!D1403="","",'FUENTE NO BORRAR'!D1403)</f>
        <v/>
      </c>
      <c r="E1385" s="5" t="str">
        <f>IF('FUENTE NO BORRAR'!E1403="","",'FUENTE NO BORRAR'!E1403)</f>
        <v/>
      </c>
      <c r="F1385" s="6">
        <f>IF('FUENTE NO BORRAR'!F1403="","",IF('FUENTE NO BORRAR'!$A1403&lt;&gt;"Resultado total",('FUENTE NO BORRAR'!F1403),""))</f>
        <v>55027.78</v>
      </c>
      <c r="G1385" s="6">
        <f>IF('FUENTE NO BORRAR'!G1403="","",IF('FUENTE NO BORRAR'!$A1403&lt;&gt;"Resultado total",('FUENTE NO BORRAR'!G1403),""))</f>
        <v>55027.78</v>
      </c>
      <c r="H1385" s="6">
        <f>IF('FUENTE NO BORRAR'!H1403="","",IF('FUENTE NO BORRAR'!$A1403&lt;&gt;"Resultado total",('FUENTE NO BORRAR'!H1403),""))</f>
        <v>55027.78</v>
      </c>
      <c r="I1385" s="6">
        <f>IF('FUENTE NO BORRAR'!I1403="","",IF('FUENTE NO BORRAR'!$A1403&lt;&gt;"Resultado total",('FUENTE NO BORRAR'!I1403),""))</f>
        <v>0</v>
      </c>
    </row>
    <row r="1386" spans="1:9" x14ac:dyDescent="0.2">
      <c r="A1386" s="5" t="str">
        <f>IF('FUENTE NO BORRAR'!A1404="","",(IF('FUENTE NO BORRAR'!A1404&lt;&gt;"Resultado total",'FUENTE NO BORRAR'!A1404,"")))</f>
        <v/>
      </c>
      <c r="B1386" s="5" t="str">
        <f>IF('FUENTE NO BORRAR'!B1404="","",'FUENTE NO BORRAR'!B1404)</f>
        <v/>
      </c>
      <c r="C1386" s="5" t="str">
        <f>IF('FUENTE NO BORRAR'!C1404="","",'FUENTE NO BORRAR'!C1404)</f>
        <v/>
      </c>
      <c r="D1386" s="5" t="str">
        <f>IF('FUENTE NO BORRAR'!D1404="","",'FUENTE NO BORRAR'!D1404)</f>
        <v/>
      </c>
      <c r="E1386" s="5" t="str">
        <f>IF('FUENTE NO BORRAR'!E1404="","",'FUENTE NO BORRAR'!E1404)</f>
        <v/>
      </c>
      <c r="F1386" s="6">
        <f>IF('FUENTE NO BORRAR'!F1404="","",IF('FUENTE NO BORRAR'!$A1404&lt;&gt;"Resultado total",('FUENTE NO BORRAR'!F1404),""))</f>
        <v>2072369.89</v>
      </c>
      <c r="G1386" s="6">
        <f>IF('FUENTE NO BORRAR'!G1404="","",IF('FUENTE NO BORRAR'!$A1404&lt;&gt;"Resultado total",('FUENTE NO BORRAR'!G1404),""))</f>
        <v>2072369.89</v>
      </c>
      <c r="H1386" s="6">
        <f>IF('FUENTE NO BORRAR'!H1404="","",IF('FUENTE NO BORRAR'!$A1404&lt;&gt;"Resultado total",('FUENTE NO BORRAR'!H1404),""))</f>
        <v>2072369.89</v>
      </c>
      <c r="I1386" s="6">
        <f>IF('FUENTE NO BORRAR'!I1404="","",IF('FUENTE NO BORRAR'!$A1404&lt;&gt;"Resultado total",('FUENTE NO BORRAR'!I1404),""))</f>
        <v>-1.0000000000000001E-9</v>
      </c>
    </row>
    <row r="1387" spans="1:9" x14ac:dyDescent="0.2">
      <c r="A1387" s="5" t="str">
        <f>IF('FUENTE NO BORRAR'!A1405="","",(IF('FUENTE NO BORRAR'!A1405&lt;&gt;"Resultado total",'FUENTE NO BORRAR'!A1405,"")))</f>
        <v/>
      </c>
      <c r="B1387" s="5" t="str">
        <f>IF('FUENTE NO BORRAR'!B1405="","",'FUENTE NO BORRAR'!B1405)</f>
        <v/>
      </c>
      <c r="C1387" s="5" t="str">
        <f>IF('FUENTE NO BORRAR'!C1405="","",'FUENTE NO BORRAR'!C1405)</f>
        <v/>
      </c>
      <c r="D1387" s="5" t="str">
        <f>IF('FUENTE NO BORRAR'!D1405="","",'FUENTE NO BORRAR'!D1405)</f>
        <v/>
      </c>
      <c r="E1387" s="5" t="str">
        <f>IF('FUENTE NO BORRAR'!E1405="","",'FUENTE NO BORRAR'!E1405)</f>
        <v/>
      </c>
      <c r="F1387" s="6">
        <f>IF('FUENTE NO BORRAR'!F1405="","",IF('FUENTE NO BORRAR'!$A1405&lt;&gt;"Resultado total",('FUENTE NO BORRAR'!F1405),""))</f>
        <v>8853830.5700000003</v>
      </c>
      <c r="G1387" s="6">
        <f>IF('FUENTE NO BORRAR'!G1405="","",IF('FUENTE NO BORRAR'!$A1405&lt;&gt;"Resultado total",('FUENTE NO BORRAR'!G1405),""))</f>
        <v>8853830.5700000003</v>
      </c>
      <c r="H1387" s="6">
        <f>IF('FUENTE NO BORRAR'!H1405="","",IF('FUENTE NO BORRAR'!$A1405&lt;&gt;"Resultado total",('FUENTE NO BORRAR'!H1405),""))</f>
        <v>8853830.5700000003</v>
      </c>
      <c r="I1387" s="6">
        <f>IF('FUENTE NO BORRAR'!I1405="","",IF('FUENTE NO BORRAR'!$A1405&lt;&gt;"Resultado total",('FUENTE NO BORRAR'!I1405),""))</f>
        <v>2.0000000000000001E-9</v>
      </c>
    </row>
    <row r="1388" spans="1:9" x14ac:dyDescent="0.2">
      <c r="A1388" s="5" t="str">
        <f>IF('FUENTE NO BORRAR'!A1406="","",(IF('FUENTE NO BORRAR'!A1406&lt;&gt;"Resultado total",'FUENTE NO BORRAR'!A1406,"")))</f>
        <v/>
      </c>
      <c r="B1388" s="5" t="str">
        <f>IF('FUENTE NO BORRAR'!B1406="","",'FUENTE NO BORRAR'!B1406)</f>
        <v/>
      </c>
      <c r="C1388" s="5" t="str">
        <f>IF('FUENTE NO BORRAR'!C1406="","",'FUENTE NO BORRAR'!C1406)</f>
        <v/>
      </c>
      <c r="D1388" s="5" t="str">
        <f>IF('FUENTE NO BORRAR'!D1406="","",'FUENTE NO BORRAR'!D1406)</f>
        <v/>
      </c>
      <c r="E1388" s="5" t="str">
        <f>IF('FUENTE NO BORRAR'!E1406="","",'FUENTE NO BORRAR'!E1406)</f>
        <v/>
      </c>
      <c r="F1388" s="6">
        <f>IF('FUENTE NO BORRAR'!F1406="","",IF('FUENTE NO BORRAR'!$A1406&lt;&gt;"Resultado total",('FUENTE NO BORRAR'!F1406),""))</f>
        <v>37311580.740000002</v>
      </c>
      <c r="G1388" s="6">
        <f>IF('FUENTE NO BORRAR'!G1406="","",IF('FUENTE NO BORRAR'!$A1406&lt;&gt;"Resultado total",('FUENTE NO BORRAR'!G1406),""))</f>
        <v>37311580.740000002</v>
      </c>
      <c r="H1388" s="6">
        <f>IF('FUENTE NO BORRAR'!H1406="","",IF('FUENTE NO BORRAR'!$A1406&lt;&gt;"Resultado total",('FUENTE NO BORRAR'!H1406),""))</f>
        <v>37311580.740000002</v>
      </c>
      <c r="I1388" s="6">
        <f>IF('FUENTE NO BORRAR'!I1406="","",IF('FUENTE NO BORRAR'!$A1406&lt;&gt;"Resultado total",('FUENTE NO BORRAR'!I1406),""))</f>
        <v>6.9999999999999998E-9</v>
      </c>
    </row>
    <row r="1389" spans="1:9" x14ac:dyDescent="0.2">
      <c r="A1389" s="5" t="str">
        <f>IF('FUENTE NO BORRAR'!A1407="","",(IF('FUENTE NO BORRAR'!A1407&lt;&gt;"Resultado total",'FUENTE NO BORRAR'!A1407,"")))</f>
        <v/>
      </c>
      <c r="B1389" s="5" t="str">
        <f>IF('FUENTE NO BORRAR'!B1407="","",'FUENTE NO BORRAR'!B1407)</f>
        <v/>
      </c>
      <c r="C1389" s="5" t="str">
        <f>IF('FUENTE NO BORRAR'!C1407="","",'FUENTE NO BORRAR'!C1407)</f>
        <v/>
      </c>
      <c r="D1389" s="5" t="str">
        <f>IF('FUENTE NO BORRAR'!D1407="","",'FUENTE NO BORRAR'!D1407)</f>
        <v/>
      </c>
      <c r="E1389" s="5" t="str">
        <f>IF('FUENTE NO BORRAR'!E1407="","",'FUENTE NO BORRAR'!E1407)</f>
        <v/>
      </c>
      <c r="F1389" s="6">
        <f>IF('FUENTE NO BORRAR'!F1407="","",IF('FUENTE NO BORRAR'!$A1407&lt;&gt;"Resultado total",('FUENTE NO BORRAR'!F1407),""))</f>
        <v>2086700.79</v>
      </c>
      <c r="G1389" s="6">
        <f>IF('FUENTE NO BORRAR'!G1407="","",IF('FUENTE NO BORRAR'!$A1407&lt;&gt;"Resultado total",('FUENTE NO BORRAR'!G1407),""))</f>
        <v>2086700.79</v>
      </c>
      <c r="H1389" s="6">
        <f>IF('FUENTE NO BORRAR'!H1407="","",IF('FUENTE NO BORRAR'!$A1407&lt;&gt;"Resultado total",('FUENTE NO BORRAR'!H1407),""))</f>
        <v>2116938.9</v>
      </c>
      <c r="I1389" s="6">
        <f>IF('FUENTE NO BORRAR'!I1407="","",IF('FUENTE NO BORRAR'!$A1407&lt;&gt;"Resultado total",('FUENTE NO BORRAR'!I1407),""))</f>
        <v>1.0000000000000001E-9</v>
      </c>
    </row>
    <row r="1390" spans="1:9" x14ac:dyDescent="0.2">
      <c r="A1390" s="5" t="str">
        <f>IF('FUENTE NO BORRAR'!A1408="","",(IF('FUENTE NO BORRAR'!A1408&lt;&gt;"Resultado total",'FUENTE NO BORRAR'!A1408,"")))</f>
        <v/>
      </c>
      <c r="B1390" s="5" t="str">
        <f>IF('FUENTE NO BORRAR'!B1408="","",'FUENTE NO BORRAR'!B1408)</f>
        <v/>
      </c>
      <c r="C1390" s="5" t="str">
        <f>IF('FUENTE NO BORRAR'!C1408="","",'FUENTE NO BORRAR'!C1408)</f>
        <v/>
      </c>
      <c r="D1390" s="5" t="str">
        <f>IF('FUENTE NO BORRAR'!D1408="","",'FUENTE NO BORRAR'!D1408)</f>
        <v/>
      </c>
      <c r="E1390" s="5" t="str">
        <f>IF('FUENTE NO BORRAR'!E1408="","",'FUENTE NO BORRAR'!E1408)</f>
        <v/>
      </c>
      <c r="F1390" s="6">
        <f>IF('FUENTE NO BORRAR'!F1408="","",IF('FUENTE NO BORRAR'!$A1408&lt;&gt;"Resultado total",('FUENTE NO BORRAR'!F1408),""))</f>
        <v>5589398.9400000004</v>
      </c>
      <c r="G1390" s="6">
        <f>IF('FUENTE NO BORRAR'!G1408="","",IF('FUENTE NO BORRAR'!$A1408&lt;&gt;"Resultado total",('FUENTE NO BORRAR'!G1408),""))</f>
        <v>5589398.9400000004</v>
      </c>
      <c r="H1390" s="6">
        <f>IF('FUENTE NO BORRAR'!H1408="","",IF('FUENTE NO BORRAR'!$A1408&lt;&gt;"Resultado total",('FUENTE NO BORRAR'!H1408),""))</f>
        <v>5589398.9400000004</v>
      </c>
      <c r="I1390" s="6">
        <f>IF('FUENTE NO BORRAR'!I1408="","",IF('FUENTE NO BORRAR'!$A1408&lt;&gt;"Resultado total",('FUENTE NO BORRAR'!I1408),""))</f>
        <v>0</v>
      </c>
    </row>
    <row r="1391" spans="1:9" x14ac:dyDescent="0.2">
      <c r="A1391" s="5" t="str">
        <f>IF('FUENTE NO BORRAR'!A1409="","",(IF('FUENTE NO BORRAR'!A1409&lt;&gt;"Resultado total",'FUENTE NO BORRAR'!A1409,"")))</f>
        <v/>
      </c>
      <c r="B1391" s="5" t="str">
        <f>IF('FUENTE NO BORRAR'!B1409="","",'FUENTE NO BORRAR'!B1409)</f>
        <v/>
      </c>
      <c r="C1391" s="5" t="str">
        <f>IF('FUENTE NO BORRAR'!C1409="","",'FUENTE NO BORRAR'!C1409)</f>
        <v/>
      </c>
      <c r="D1391" s="5" t="str">
        <f>IF('FUENTE NO BORRAR'!D1409="","",'FUENTE NO BORRAR'!D1409)</f>
        <v/>
      </c>
      <c r="E1391" s="5" t="str">
        <f>IF('FUENTE NO BORRAR'!E1409="","",'FUENTE NO BORRAR'!E1409)</f>
        <v/>
      </c>
      <c r="F1391" s="6">
        <f>IF('FUENTE NO BORRAR'!F1409="","",IF('FUENTE NO BORRAR'!$A1409&lt;&gt;"Resultado total",('FUENTE NO BORRAR'!F1409),""))</f>
        <v>8057337.3700000001</v>
      </c>
      <c r="G1391" s="6">
        <f>IF('FUENTE NO BORRAR'!G1409="","",IF('FUENTE NO BORRAR'!$A1409&lt;&gt;"Resultado total",('FUENTE NO BORRAR'!G1409),""))</f>
        <v>8057337.3700000001</v>
      </c>
      <c r="H1391" s="6">
        <f>IF('FUENTE NO BORRAR'!H1409="","",IF('FUENTE NO BORRAR'!$A1409&lt;&gt;"Resultado total",('FUENTE NO BORRAR'!H1409),""))</f>
        <v>8057337.3700000001</v>
      </c>
      <c r="I1391" s="6">
        <f>IF('FUENTE NO BORRAR'!I1409="","",IF('FUENTE NO BORRAR'!$A1409&lt;&gt;"Resultado total",('FUENTE NO BORRAR'!I1409),""))</f>
        <v>0</v>
      </c>
    </row>
    <row r="1392" spans="1:9" x14ac:dyDescent="0.2">
      <c r="A1392" s="5" t="str">
        <f>IF('FUENTE NO BORRAR'!A1410="","",(IF('FUENTE NO BORRAR'!A1410&lt;&gt;"Resultado total",'FUENTE NO BORRAR'!A1410,"")))</f>
        <v/>
      </c>
      <c r="B1392" s="5" t="str">
        <f>IF('FUENTE NO BORRAR'!B1410="","",'FUENTE NO BORRAR'!B1410)</f>
        <v/>
      </c>
      <c r="C1392" s="5" t="str">
        <f>IF('FUENTE NO BORRAR'!C1410="","",'FUENTE NO BORRAR'!C1410)</f>
        <v/>
      </c>
      <c r="D1392" s="5" t="str">
        <f>IF('FUENTE NO BORRAR'!D1410="","",'FUENTE NO BORRAR'!D1410)</f>
        <v/>
      </c>
      <c r="E1392" s="5" t="str">
        <f>IF('FUENTE NO BORRAR'!E1410="","",'FUENTE NO BORRAR'!E1410)</f>
        <v/>
      </c>
      <c r="F1392" s="6">
        <f>IF('FUENTE NO BORRAR'!F1410="","",IF('FUENTE NO BORRAR'!$A1410&lt;&gt;"Resultado total",('FUENTE NO BORRAR'!F1410),""))</f>
        <v>2592922.2200000002</v>
      </c>
      <c r="G1392" s="6">
        <f>IF('FUENTE NO BORRAR'!G1410="","",IF('FUENTE NO BORRAR'!$A1410&lt;&gt;"Resultado total",('FUENTE NO BORRAR'!G1410),""))</f>
        <v>2592922.2200000002</v>
      </c>
      <c r="H1392" s="6">
        <f>IF('FUENTE NO BORRAR'!H1410="","",IF('FUENTE NO BORRAR'!$A1410&lt;&gt;"Resultado total",('FUENTE NO BORRAR'!H1410),""))</f>
        <v>2592922.2200000002</v>
      </c>
      <c r="I1392" s="6">
        <f>IF('FUENTE NO BORRAR'!I1410="","",IF('FUENTE NO BORRAR'!$A1410&lt;&gt;"Resultado total",('FUENTE NO BORRAR'!I1410),""))</f>
        <v>0</v>
      </c>
    </row>
    <row r="1393" spans="1:9" x14ac:dyDescent="0.2">
      <c r="A1393" s="5" t="str">
        <f>IF('FUENTE NO BORRAR'!A1411="","",(IF('FUENTE NO BORRAR'!A1411&lt;&gt;"Resultado total",'FUENTE NO BORRAR'!A1411,"")))</f>
        <v/>
      </c>
      <c r="B1393" s="5" t="str">
        <f>IF('FUENTE NO BORRAR'!B1411="","",'FUENTE NO BORRAR'!B1411)</f>
        <v/>
      </c>
      <c r="C1393" s="5" t="str">
        <f>IF('FUENTE NO BORRAR'!C1411="","",'FUENTE NO BORRAR'!C1411)</f>
        <v/>
      </c>
      <c r="D1393" s="5" t="str">
        <f>IF('FUENTE NO BORRAR'!D1411="","",'FUENTE NO BORRAR'!D1411)</f>
        <v/>
      </c>
      <c r="E1393" s="5" t="str">
        <f>IF('FUENTE NO BORRAR'!E1411="","",'FUENTE NO BORRAR'!E1411)</f>
        <v/>
      </c>
      <c r="F1393" s="6">
        <f>IF('FUENTE NO BORRAR'!F1411="","",IF('FUENTE NO BORRAR'!$A1411&lt;&gt;"Resultado total",('FUENTE NO BORRAR'!F1411),""))</f>
        <v>1225074.22</v>
      </c>
      <c r="G1393" s="6">
        <f>IF('FUENTE NO BORRAR'!G1411="","",IF('FUENTE NO BORRAR'!$A1411&lt;&gt;"Resultado total",('FUENTE NO BORRAR'!G1411),""))</f>
        <v>1225074.22</v>
      </c>
      <c r="H1393" s="6">
        <f>IF('FUENTE NO BORRAR'!H1411="","",IF('FUENTE NO BORRAR'!$A1411&lt;&gt;"Resultado total",('FUENTE NO BORRAR'!H1411),""))</f>
        <v>1225074.22</v>
      </c>
      <c r="I1393" s="6">
        <f>IF('FUENTE NO BORRAR'!I1411="","",IF('FUENTE NO BORRAR'!$A1411&lt;&gt;"Resultado total",('FUENTE NO BORRAR'!I1411),""))</f>
        <v>0</v>
      </c>
    </row>
    <row r="1394" spans="1:9" x14ac:dyDescent="0.2">
      <c r="A1394" s="5" t="str">
        <f>IF('FUENTE NO BORRAR'!A1412="","",(IF('FUENTE NO BORRAR'!A1412&lt;&gt;"Resultado total",'FUENTE NO BORRAR'!A1412,"")))</f>
        <v/>
      </c>
      <c r="B1394" s="5" t="str">
        <f>IF('FUENTE NO BORRAR'!B1412="","",'FUENTE NO BORRAR'!B1412)</f>
        <v/>
      </c>
      <c r="C1394" s="5" t="str">
        <f>IF('FUENTE NO BORRAR'!C1412="","",'FUENTE NO BORRAR'!C1412)</f>
        <v/>
      </c>
      <c r="D1394" s="5" t="str">
        <f>IF('FUENTE NO BORRAR'!D1412="","",'FUENTE NO BORRAR'!D1412)</f>
        <v/>
      </c>
      <c r="E1394" s="5" t="str">
        <f>IF('FUENTE NO BORRAR'!E1412="","",'FUENTE NO BORRAR'!E1412)</f>
        <v/>
      </c>
      <c r="F1394" s="6">
        <f>IF('FUENTE NO BORRAR'!F1412="","",IF('FUENTE NO BORRAR'!$A1412&lt;&gt;"Resultado total",('FUENTE NO BORRAR'!F1412),""))</f>
        <v>4557370.4400000004</v>
      </c>
      <c r="G1394" s="6">
        <f>IF('FUENTE NO BORRAR'!G1412="","",IF('FUENTE NO BORRAR'!$A1412&lt;&gt;"Resultado total",('FUENTE NO BORRAR'!G1412),""))</f>
        <v>4557370.4400000004</v>
      </c>
      <c r="H1394" s="6">
        <f>IF('FUENTE NO BORRAR'!H1412="","",IF('FUENTE NO BORRAR'!$A1412&lt;&gt;"Resultado total",('FUENTE NO BORRAR'!H1412),""))</f>
        <v>4557370.4400000004</v>
      </c>
      <c r="I1394" s="6">
        <f>IF('FUENTE NO BORRAR'!I1412="","",IF('FUENTE NO BORRAR'!$A1412&lt;&gt;"Resultado total",('FUENTE NO BORRAR'!I1412),""))</f>
        <v>1.0000000000000001E-9</v>
      </c>
    </row>
    <row r="1395" spans="1:9" x14ac:dyDescent="0.2">
      <c r="A1395" s="5" t="str">
        <f>IF('FUENTE NO BORRAR'!A1413="","",(IF('FUENTE NO BORRAR'!A1413&lt;&gt;"Resultado total",'FUENTE NO BORRAR'!A1413,"")))</f>
        <v/>
      </c>
      <c r="B1395" s="5" t="str">
        <f>IF('FUENTE NO BORRAR'!B1413="","",'FUENTE NO BORRAR'!B1413)</f>
        <v/>
      </c>
      <c r="C1395" s="5" t="str">
        <f>IF('FUENTE NO BORRAR'!C1413="","",'FUENTE NO BORRAR'!C1413)</f>
        <v/>
      </c>
      <c r="D1395" s="5" t="str">
        <f>IF('FUENTE NO BORRAR'!D1413="","",'FUENTE NO BORRAR'!D1413)</f>
        <v/>
      </c>
      <c r="E1395" s="5" t="str">
        <f>IF('FUENTE NO BORRAR'!E1413="","",'FUENTE NO BORRAR'!E1413)</f>
        <v/>
      </c>
      <c r="F1395" s="6">
        <f>IF('FUENTE NO BORRAR'!F1413="","",IF('FUENTE NO BORRAR'!$A1413&lt;&gt;"Resultado total",('FUENTE NO BORRAR'!F1413),""))</f>
        <v>23733480.579999998</v>
      </c>
      <c r="G1395" s="6">
        <f>IF('FUENTE NO BORRAR'!G1413="","",IF('FUENTE NO BORRAR'!$A1413&lt;&gt;"Resultado total",('FUENTE NO BORRAR'!G1413),""))</f>
        <v>23733480.579999998</v>
      </c>
      <c r="H1395" s="6">
        <f>IF('FUENTE NO BORRAR'!H1413="","",IF('FUENTE NO BORRAR'!$A1413&lt;&gt;"Resultado total",('FUENTE NO BORRAR'!H1413),""))</f>
        <v>23713450.579999998</v>
      </c>
      <c r="I1395" s="6">
        <f>IF('FUENTE NO BORRAR'!I1413="","",IF('FUENTE NO BORRAR'!$A1413&lt;&gt;"Resultado total",('FUENTE NO BORRAR'!I1413),""))</f>
        <v>-4.0000000000000002E-9</v>
      </c>
    </row>
    <row r="1396" spans="1:9" x14ac:dyDescent="0.2">
      <c r="A1396" s="5" t="str">
        <f>IF('FUENTE NO BORRAR'!A1414="","",(IF('FUENTE NO BORRAR'!A1414&lt;&gt;"Resultado total",'FUENTE NO BORRAR'!A1414,"")))</f>
        <v/>
      </c>
      <c r="B1396" s="5" t="str">
        <f>IF('FUENTE NO BORRAR'!B1414="","",'FUENTE NO BORRAR'!B1414)</f>
        <v/>
      </c>
      <c r="C1396" s="5" t="str">
        <f>IF('FUENTE NO BORRAR'!C1414="","",'FUENTE NO BORRAR'!C1414)</f>
        <v/>
      </c>
      <c r="D1396" s="5" t="str">
        <f>IF('FUENTE NO BORRAR'!D1414="","",'FUENTE NO BORRAR'!D1414)</f>
        <v/>
      </c>
      <c r="E1396" s="5" t="str">
        <f>IF('FUENTE NO BORRAR'!E1414="","",'FUENTE NO BORRAR'!E1414)</f>
        <v/>
      </c>
      <c r="F1396" s="6">
        <f>IF('FUENTE NO BORRAR'!F1414="","",IF('FUENTE NO BORRAR'!$A1414&lt;&gt;"Resultado total",('FUENTE NO BORRAR'!F1414),""))</f>
        <v>136535.07</v>
      </c>
      <c r="G1396" s="6">
        <f>IF('FUENTE NO BORRAR'!G1414="","",IF('FUENTE NO BORRAR'!$A1414&lt;&gt;"Resultado total",('FUENTE NO BORRAR'!G1414),""))</f>
        <v>136535.07</v>
      </c>
      <c r="H1396" s="6">
        <f>IF('FUENTE NO BORRAR'!H1414="","",IF('FUENTE NO BORRAR'!$A1414&lt;&gt;"Resultado total",('FUENTE NO BORRAR'!H1414),""))</f>
        <v>136535.07</v>
      </c>
      <c r="I1396" s="6">
        <f>IF('FUENTE NO BORRAR'!I1414="","",IF('FUENTE NO BORRAR'!$A1414&lt;&gt;"Resultado total",('FUENTE NO BORRAR'!I1414),""))</f>
        <v>0</v>
      </c>
    </row>
    <row r="1397" spans="1:9" x14ac:dyDescent="0.2">
      <c r="A1397" s="5" t="str">
        <f>IF('FUENTE NO BORRAR'!A1415="","",(IF('FUENTE NO BORRAR'!A1415&lt;&gt;"Resultado total",'FUENTE NO BORRAR'!A1415,"")))</f>
        <v/>
      </c>
      <c r="B1397" s="5" t="str">
        <f>IF('FUENTE NO BORRAR'!B1415="","",'FUENTE NO BORRAR'!B1415)</f>
        <v/>
      </c>
      <c r="C1397" s="5" t="str">
        <f>IF('FUENTE NO BORRAR'!C1415="","",'FUENTE NO BORRAR'!C1415)</f>
        <v/>
      </c>
      <c r="D1397" s="5" t="str">
        <f>IF('FUENTE NO BORRAR'!D1415="","",'FUENTE NO BORRAR'!D1415)</f>
        <v/>
      </c>
      <c r="E1397" s="5" t="str">
        <f>IF('FUENTE NO BORRAR'!E1415="","",'FUENTE NO BORRAR'!E1415)</f>
        <v/>
      </c>
      <c r="F1397" s="6">
        <f>IF('FUENTE NO BORRAR'!F1415="","",IF('FUENTE NO BORRAR'!$A1415&lt;&gt;"Resultado total",('FUENTE NO BORRAR'!F1415),""))</f>
        <v>17496.240000000002</v>
      </c>
      <c r="G1397" s="6">
        <f>IF('FUENTE NO BORRAR'!G1415="","",IF('FUENTE NO BORRAR'!$A1415&lt;&gt;"Resultado total",('FUENTE NO BORRAR'!G1415),""))</f>
        <v>17496.240000000002</v>
      </c>
      <c r="H1397" s="6">
        <f>IF('FUENTE NO BORRAR'!H1415="","",IF('FUENTE NO BORRAR'!$A1415&lt;&gt;"Resultado total",('FUENTE NO BORRAR'!H1415),""))</f>
        <v>17496.240000000002</v>
      </c>
      <c r="I1397" s="6">
        <f>IF('FUENTE NO BORRAR'!I1415="","",IF('FUENTE NO BORRAR'!$A1415&lt;&gt;"Resultado total",('FUENTE NO BORRAR'!I1415),""))</f>
        <v>0</v>
      </c>
    </row>
    <row r="1398" spans="1:9" x14ac:dyDescent="0.2">
      <c r="A1398" s="5" t="str">
        <f>IF('FUENTE NO BORRAR'!A1416="","",(IF('FUENTE NO BORRAR'!A1416&lt;&gt;"Resultado total",'FUENTE NO BORRAR'!A1416,"")))</f>
        <v/>
      </c>
      <c r="B1398" s="5" t="str">
        <f>IF('FUENTE NO BORRAR'!B1416="","",'FUENTE NO BORRAR'!B1416)</f>
        <v/>
      </c>
      <c r="C1398" s="5" t="str">
        <f>IF('FUENTE NO BORRAR'!C1416="","",'FUENTE NO BORRAR'!C1416)</f>
        <v/>
      </c>
      <c r="D1398" s="5" t="str">
        <f>IF('FUENTE NO BORRAR'!D1416="","",'FUENTE NO BORRAR'!D1416)</f>
        <v/>
      </c>
      <c r="E1398" s="5" t="str">
        <f>IF('FUENTE NO BORRAR'!E1416="","",'FUENTE NO BORRAR'!E1416)</f>
        <v/>
      </c>
      <c r="F1398" s="6">
        <f>IF('FUENTE NO BORRAR'!F1416="","",IF('FUENTE NO BORRAR'!$A1416&lt;&gt;"Resultado total",('FUENTE NO BORRAR'!F1416),""))</f>
        <v>2379.9499999999998</v>
      </c>
      <c r="G1398" s="6">
        <f>IF('FUENTE NO BORRAR'!G1416="","",IF('FUENTE NO BORRAR'!$A1416&lt;&gt;"Resultado total",('FUENTE NO BORRAR'!G1416),""))</f>
        <v>2379.9499999999998</v>
      </c>
      <c r="H1398" s="6">
        <f>IF('FUENTE NO BORRAR'!H1416="","",IF('FUENTE NO BORRAR'!$A1416&lt;&gt;"Resultado total",('FUENTE NO BORRAR'!H1416),""))</f>
        <v>2379.9499999999998</v>
      </c>
      <c r="I1398" s="6">
        <f>IF('FUENTE NO BORRAR'!I1416="","",IF('FUENTE NO BORRAR'!$A1416&lt;&gt;"Resultado total",('FUENTE NO BORRAR'!I1416),""))</f>
        <v>0</v>
      </c>
    </row>
    <row r="1399" spans="1:9" x14ac:dyDescent="0.2">
      <c r="A1399" s="5" t="str">
        <f>IF('FUENTE NO BORRAR'!A1417="","",(IF('FUENTE NO BORRAR'!A1417&lt;&gt;"Resultado total",'FUENTE NO BORRAR'!A1417,"")))</f>
        <v/>
      </c>
      <c r="B1399" s="5" t="str">
        <f>IF('FUENTE NO BORRAR'!B1417="","",'FUENTE NO BORRAR'!B1417)</f>
        <v/>
      </c>
      <c r="C1399" s="5" t="str">
        <f>IF('FUENTE NO BORRAR'!C1417="","",'FUENTE NO BORRAR'!C1417)</f>
        <v/>
      </c>
      <c r="D1399" s="5" t="str">
        <f>IF('FUENTE NO BORRAR'!D1417="","",'FUENTE NO BORRAR'!D1417)</f>
        <v/>
      </c>
      <c r="E1399" s="5" t="str">
        <f>IF('FUENTE NO BORRAR'!E1417="","",'FUENTE NO BORRAR'!E1417)</f>
        <v/>
      </c>
      <c r="F1399" s="6">
        <f>IF('FUENTE NO BORRAR'!F1417="","",IF('FUENTE NO BORRAR'!$A1417&lt;&gt;"Resultado total",('FUENTE NO BORRAR'!F1417),""))</f>
        <v>141321.54999999999</v>
      </c>
      <c r="G1399" s="6">
        <f>IF('FUENTE NO BORRAR'!G1417="","",IF('FUENTE NO BORRAR'!$A1417&lt;&gt;"Resultado total",('FUENTE NO BORRAR'!G1417),""))</f>
        <v>141321.54999999999</v>
      </c>
      <c r="H1399" s="6">
        <f>IF('FUENTE NO BORRAR'!H1417="","",IF('FUENTE NO BORRAR'!$A1417&lt;&gt;"Resultado total",('FUENTE NO BORRAR'!H1417),""))</f>
        <v>130963.76</v>
      </c>
      <c r="I1399" s="6">
        <f>IF('FUENTE NO BORRAR'!I1417="","",IF('FUENTE NO BORRAR'!$A1417&lt;&gt;"Resultado total",('FUENTE NO BORRAR'!I1417),""))</f>
        <v>0</v>
      </c>
    </row>
    <row r="1400" spans="1:9" x14ac:dyDescent="0.2">
      <c r="A1400" s="5" t="str">
        <f>IF('FUENTE NO BORRAR'!A1418="","",(IF('FUENTE NO BORRAR'!A1418&lt;&gt;"Resultado total",'FUENTE NO BORRAR'!A1418,"")))</f>
        <v/>
      </c>
      <c r="B1400" s="5" t="str">
        <f>IF('FUENTE NO BORRAR'!B1418="","",'FUENTE NO BORRAR'!B1418)</f>
        <v/>
      </c>
      <c r="C1400" s="5" t="str">
        <f>IF('FUENTE NO BORRAR'!C1418="","",'FUENTE NO BORRAR'!C1418)</f>
        <v/>
      </c>
      <c r="D1400" s="5" t="str">
        <f>IF('FUENTE NO BORRAR'!D1418="","",'FUENTE NO BORRAR'!D1418)</f>
        <v/>
      </c>
      <c r="E1400" s="5" t="str">
        <f>IF('FUENTE NO BORRAR'!E1418="","",'FUENTE NO BORRAR'!E1418)</f>
        <v/>
      </c>
      <c r="F1400" s="6">
        <f>IF('FUENTE NO BORRAR'!F1418="","",IF('FUENTE NO BORRAR'!$A1418&lt;&gt;"Resultado total",('FUENTE NO BORRAR'!F1418),""))</f>
        <v>16564.8</v>
      </c>
      <c r="G1400" s="6">
        <f>IF('FUENTE NO BORRAR'!G1418="","",IF('FUENTE NO BORRAR'!$A1418&lt;&gt;"Resultado total",('FUENTE NO BORRAR'!G1418),""))</f>
        <v>16564.8</v>
      </c>
      <c r="H1400" s="6">
        <f>IF('FUENTE NO BORRAR'!H1418="","",IF('FUENTE NO BORRAR'!$A1418&lt;&gt;"Resultado total",('FUENTE NO BORRAR'!H1418),""))</f>
        <v>16564.8</v>
      </c>
      <c r="I1400" s="6">
        <f>IF('FUENTE NO BORRAR'!I1418="","",IF('FUENTE NO BORRAR'!$A1418&lt;&gt;"Resultado total",('FUENTE NO BORRAR'!I1418),""))</f>
        <v>0</v>
      </c>
    </row>
    <row r="1401" spans="1:9" x14ac:dyDescent="0.2">
      <c r="A1401" s="5" t="str">
        <f>IF('FUENTE NO BORRAR'!A1419="","",(IF('FUENTE NO BORRAR'!A1419&lt;&gt;"Resultado total",'FUENTE NO BORRAR'!A1419,"")))</f>
        <v/>
      </c>
      <c r="B1401" s="5" t="str">
        <f>IF('FUENTE NO BORRAR'!B1419="","",'FUENTE NO BORRAR'!B1419)</f>
        <v/>
      </c>
      <c r="C1401" s="5" t="str">
        <f>IF('FUENTE NO BORRAR'!C1419="","",'FUENTE NO BORRAR'!C1419)</f>
        <v/>
      </c>
      <c r="D1401" s="5" t="str">
        <f>IF('FUENTE NO BORRAR'!D1419="","",'FUENTE NO BORRAR'!D1419)</f>
        <v/>
      </c>
      <c r="E1401" s="5" t="str">
        <f>IF('FUENTE NO BORRAR'!E1419="","",'FUENTE NO BORRAR'!E1419)</f>
        <v/>
      </c>
      <c r="F1401" s="6">
        <f>IF('FUENTE NO BORRAR'!F1419="","",IF('FUENTE NO BORRAR'!$A1419&lt;&gt;"Resultado total",('FUENTE NO BORRAR'!F1419),""))</f>
        <v>245671.93</v>
      </c>
      <c r="G1401" s="6">
        <f>IF('FUENTE NO BORRAR'!G1419="","",IF('FUENTE NO BORRAR'!$A1419&lt;&gt;"Resultado total",('FUENTE NO BORRAR'!G1419),""))</f>
        <v>245671.93</v>
      </c>
      <c r="H1401" s="6">
        <f>IF('FUENTE NO BORRAR'!H1419="","",IF('FUENTE NO BORRAR'!$A1419&lt;&gt;"Resultado total",('FUENTE NO BORRAR'!H1419),""))</f>
        <v>245671.93</v>
      </c>
      <c r="I1401" s="6">
        <f>IF('FUENTE NO BORRAR'!I1419="","",IF('FUENTE NO BORRAR'!$A1419&lt;&gt;"Resultado total",('FUENTE NO BORRAR'!I1419),""))</f>
        <v>0</v>
      </c>
    </row>
    <row r="1402" spans="1:9" x14ac:dyDescent="0.2">
      <c r="A1402" s="5" t="str">
        <f>IF('FUENTE NO BORRAR'!A1420="","",(IF('FUENTE NO BORRAR'!A1420&lt;&gt;"Resultado total",'FUENTE NO BORRAR'!A1420,"")))</f>
        <v/>
      </c>
      <c r="B1402" s="5" t="str">
        <f>IF('FUENTE NO BORRAR'!B1420="","",'FUENTE NO BORRAR'!B1420)</f>
        <v/>
      </c>
      <c r="C1402" s="5" t="str">
        <f>IF('FUENTE NO BORRAR'!C1420="","",'FUENTE NO BORRAR'!C1420)</f>
        <v/>
      </c>
      <c r="D1402" s="5" t="str">
        <f>IF('FUENTE NO BORRAR'!D1420="","",'FUENTE NO BORRAR'!D1420)</f>
        <v/>
      </c>
      <c r="E1402" s="5" t="str">
        <f>IF('FUENTE NO BORRAR'!E1420="","",'FUENTE NO BORRAR'!E1420)</f>
        <v/>
      </c>
      <c r="F1402" s="6">
        <f>IF('FUENTE NO BORRAR'!F1420="","",IF('FUENTE NO BORRAR'!$A1420&lt;&gt;"Resultado total",('FUENTE NO BORRAR'!F1420),""))</f>
        <v>7450783.5700000003</v>
      </c>
      <c r="G1402" s="6">
        <f>IF('FUENTE NO BORRAR'!G1420="","",IF('FUENTE NO BORRAR'!$A1420&lt;&gt;"Resultado total",('FUENTE NO BORRAR'!G1420),""))</f>
        <v>7450783.5700000003</v>
      </c>
      <c r="H1402" s="6">
        <f>IF('FUENTE NO BORRAR'!H1420="","",IF('FUENTE NO BORRAR'!$A1420&lt;&gt;"Resultado total",('FUENTE NO BORRAR'!H1420),""))</f>
        <v>7227914.5700000003</v>
      </c>
      <c r="I1402" s="6">
        <f>IF('FUENTE NO BORRAR'!I1420="","",IF('FUENTE NO BORRAR'!$A1420&lt;&gt;"Resultado total",('FUENTE NO BORRAR'!I1420),""))</f>
        <v>0</v>
      </c>
    </row>
    <row r="1403" spans="1:9" x14ac:dyDescent="0.2">
      <c r="A1403" s="5" t="str">
        <f>IF('FUENTE NO BORRAR'!A1421="","",(IF('FUENTE NO BORRAR'!A1421&lt;&gt;"Resultado total",'FUENTE NO BORRAR'!A1421,"")))</f>
        <v/>
      </c>
      <c r="B1403" s="5" t="str">
        <f>IF('FUENTE NO BORRAR'!B1421="","",'FUENTE NO BORRAR'!B1421)</f>
        <v/>
      </c>
      <c r="C1403" s="5" t="str">
        <f>IF('FUENTE NO BORRAR'!C1421="","",'FUENTE NO BORRAR'!C1421)</f>
        <v/>
      </c>
      <c r="D1403" s="5" t="str">
        <f>IF('FUENTE NO BORRAR'!D1421="","",'FUENTE NO BORRAR'!D1421)</f>
        <v/>
      </c>
      <c r="E1403" s="5" t="str">
        <f>IF('FUENTE NO BORRAR'!E1421="","",'FUENTE NO BORRAR'!E1421)</f>
        <v/>
      </c>
      <c r="F1403" s="6">
        <f>IF('FUENTE NO BORRAR'!F1421="","",IF('FUENTE NO BORRAR'!$A1421&lt;&gt;"Resultado total",('FUENTE NO BORRAR'!F1421),""))</f>
        <v>3188.61</v>
      </c>
      <c r="G1403" s="6">
        <f>IF('FUENTE NO BORRAR'!G1421="","",IF('FUENTE NO BORRAR'!$A1421&lt;&gt;"Resultado total",('FUENTE NO BORRAR'!G1421),""))</f>
        <v>3188.61</v>
      </c>
      <c r="H1403" s="6">
        <f>IF('FUENTE NO BORRAR'!H1421="","",IF('FUENTE NO BORRAR'!$A1421&lt;&gt;"Resultado total",('FUENTE NO BORRAR'!H1421),""))</f>
        <v>3188.61</v>
      </c>
      <c r="I1403" s="6">
        <f>IF('FUENTE NO BORRAR'!I1421="","",IF('FUENTE NO BORRAR'!$A1421&lt;&gt;"Resultado total",('FUENTE NO BORRAR'!I1421),""))</f>
        <v>0</v>
      </c>
    </row>
    <row r="1404" spans="1:9" x14ac:dyDescent="0.2">
      <c r="A1404" s="5" t="str">
        <f>IF('FUENTE NO BORRAR'!A1422="","",(IF('FUENTE NO BORRAR'!A1422&lt;&gt;"Resultado total",'FUENTE NO BORRAR'!A1422,"")))</f>
        <v/>
      </c>
      <c r="B1404" s="5" t="str">
        <f>IF('FUENTE NO BORRAR'!B1422="","",'FUENTE NO BORRAR'!B1422)</f>
        <v/>
      </c>
      <c r="C1404" s="5" t="str">
        <f>IF('FUENTE NO BORRAR'!C1422="","",'FUENTE NO BORRAR'!C1422)</f>
        <v/>
      </c>
      <c r="D1404" s="5" t="str">
        <f>IF('FUENTE NO BORRAR'!D1422="","",'FUENTE NO BORRAR'!D1422)</f>
        <v/>
      </c>
      <c r="E1404" s="5" t="str">
        <f>IF('FUENTE NO BORRAR'!E1422="","",'FUENTE NO BORRAR'!E1422)</f>
        <v/>
      </c>
      <c r="F1404" s="6">
        <f>IF('FUENTE NO BORRAR'!F1422="","",IF('FUENTE NO BORRAR'!$A1422&lt;&gt;"Resultado total",('FUENTE NO BORRAR'!F1422),""))</f>
        <v>20080.2</v>
      </c>
      <c r="G1404" s="6">
        <f>IF('FUENTE NO BORRAR'!G1422="","",IF('FUENTE NO BORRAR'!$A1422&lt;&gt;"Resultado total",('FUENTE NO BORRAR'!G1422),""))</f>
        <v>20080.2</v>
      </c>
      <c r="H1404" s="6">
        <f>IF('FUENTE NO BORRAR'!H1422="","",IF('FUENTE NO BORRAR'!$A1422&lt;&gt;"Resultado total",('FUENTE NO BORRAR'!H1422),""))</f>
        <v>20080.2</v>
      </c>
      <c r="I1404" s="6">
        <f>IF('FUENTE NO BORRAR'!I1422="","",IF('FUENTE NO BORRAR'!$A1422&lt;&gt;"Resultado total",('FUENTE NO BORRAR'!I1422),""))</f>
        <v>0</v>
      </c>
    </row>
    <row r="1405" spans="1:9" x14ac:dyDescent="0.2">
      <c r="A1405" s="5" t="str">
        <f>IF('FUENTE NO BORRAR'!A1423="","",(IF('FUENTE NO BORRAR'!A1423&lt;&gt;"Resultado total",'FUENTE NO BORRAR'!A1423,"")))</f>
        <v/>
      </c>
      <c r="B1405" s="5" t="str">
        <f>IF('FUENTE NO BORRAR'!B1423="","",'FUENTE NO BORRAR'!B1423)</f>
        <v/>
      </c>
      <c r="C1405" s="5" t="str">
        <f>IF('FUENTE NO BORRAR'!C1423="","",'FUENTE NO BORRAR'!C1423)</f>
        <v/>
      </c>
      <c r="D1405" s="5" t="str">
        <f>IF('FUENTE NO BORRAR'!D1423="","",'FUENTE NO BORRAR'!D1423)</f>
        <v/>
      </c>
      <c r="E1405" s="5" t="str">
        <f>IF('FUENTE NO BORRAR'!E1423="","",'FUENTE NO BORRAR'!E1423)</f>
        <v/>
      </c>
      <c r="F1405" s="6">
        <f>IF('FUENTE NO BORRAR'!F1423="","",IF('FUENTE NO BORRAR'!$A1423&lt;&gt;"Resultado total",('FUENTE NO BORRAR'!F1423),""))</f>
        <v>29900</v>
      </c>
      <c r="G1405" s="6">
        <f>IF('FUENTE NO BORRAR'!G1423="","",IF('FUENTE NO BORRAR'!$A1423&lt;&gt;"Resultado total",('FUENTE NO BORRAR'!G1423),""))</f>
        <v>29900</v>
      </c>
      <c r="H1405" s="6">
        <f>IF('FUENTE NO BORRAR'!H1423="","",IF('FUENTE NO BORRAR'!$A1423&lt;&gt;"Resultado total",('FUENTE NO BORRAR'!H1423),""))</f>
        <v>29900</v>
      </c>
      <c r="I1405" s="6">
        <f>IF('FUENTE NO BORRAR'!I1423="","",IF('FUENTE NO BORRAR'!$A1423&lt;&gt;"Resultado total",('FUENTE NO BORRAR'!I1423),""))</f>
        <v>0</v>
      </c>
    </row>
    <row r="1406" spans="1:9" x14ac:dyDescent="0.2">
      <c r="A1406" s="5" t="str">
        <f>IF('FUENTE NO BORRAR'!A1424="","",(IF('FUENTE NO BORRAR'!A1424&lt;&gt;"Resultado total",'FUENTE NO BORRAR'!A1424,"")))</f>
        <v/>
      </c>
      <c r="B1406" s="5" t="str">
        <f>IF('FUENTE NO BORRAR'!B1424="","",'FUENTE NO BORRAR'!B1424)</f>
        <v/>
      </c>
      <c r="C1406" s="5" t="str">
        <f>IF('FUENTE NO BORRAR'!C1424="","",'FUENTE NO BORRAR'!C1424)</f>
        <v/>
      </c>
      <c r="D1406" s="5" t="str">
        <f>IF('FUENTE NO BORRAR'!D1424="","",'FUENTE NO BORRAR'!D1424)</f>
        <v/>
      </c>
      <c r="E1406" s="5" t="str">
        <f>IF('FUENTE NO BORRAR'!E1424="","",'FUENTE NO BORRAR'!E1424)</f>
        <v/>
      </c>
      <c r="F1406" s="6">
        <f>IF('FUENTE NO BORRAR'!F1424="","",IF('FUENTE NO BORRAR'!$A1424&lt;&gt;"Resultado total",('FUENTE NO BORRAR'!F1424),""))</f>
        <v>51931.839999999997</v>
      </c>
      <c r="G1406" s="6">
        <f>IF('FUENTE NO BORRAR'!G1424="","",IF('FUENTE NO BORRAR'!$A1424&lt;&gt;"Resultado total",('FUENTE NO BORRAR'!G1424),""))</f>
        <v>51931.839999999997</v>
      </c>
      <c r="H1406" s="6">
        <f>IF('FUENTE NO BORRAR'!H1424="","",IF('FUENTE NO BORRAR'!$A1424&lt;&gt;"Resultado total",('FUENTE NO BORRAR'!H1424),""))</f>
        <v>7851.84</v>
      </c>
      <c r="I1406" s="6">
        <f>IF('FUENTE NO BORRAR'!I1424="","",IF('FUENTE NO BORRAR'!$A1424&lt;&gt;"Resultado total",('FUENTE NO BORRAR'!I1424),""))</f>
        <v>0</v>
      </c>
    </row>
    <row r="1407" spans="1:9" x14ac:dyDescent="0.2">
      <c r="A1407" s="5" t="str">
        <f>IF('FUENTE NO BORRAR'!A1425="","",(IF('FUENTE NO BORRAR'!A1425&lt;&gt;"Resultado total",'FUENTE NO BORRAR'!A1425,"")))</f>
        <v/>
      </c>
      <c r="B1407" s="5" t="str">
        <f>IF('FUENTE NO BORRAR'!B1425="","",'FUENTE NO BORRAR'!B1425)</f>
        <v/>
      </c>
      <c r="C1407" s="5" t="str">
        <f>IF('FUENTE NO BORRAR'!C1425="","",'FUENTE NO BORRAR'!C1425)</f>
        <v/>
      </c>
      <c r="D1407" s="5" t="str">
        <f>IF('FUENTE NO BORRAR'!D1425="","",'FUENTE NO BORRAR'!D1425)</f>
        <v/>
      </c>
      <c r="E1407" s="5" t="str">
        <f>IF('FUENTE NO BORRAR'!E1425="","",'FUENTE NO BORRAR'!E1425)</f>
        <v/>
      </c>
      <c r="F1407" s="6">
        <f>IF('FUENTE NO BORRAR'!F1425="","",IF('FUENTE NO BORRAR'!$A1425&lt;&gt;"Resultado total",('FUENTE NO BORRAR'!F1425),""))</f>
        <v>287.52999999999997</v>
      </c>
      <c r="G1407" s="6">
        <f>IF('FUENTE NO BORRAR'!G1425="","",IF('FUENTE NO BORRAR'!$A1425&lt;&gt;"Resultado total",('FUENTE NO BORRAR'!G1425),""))</f>
        <v>287.52999999999997</v>
      </c>
      <c r="H1407" s="6">
        <f>IF('FUENTE NO BORRAR'!H1425="","",IF('FUENTE NO BORRAR'!$A1425&lt;&gt;"Resultado total",('FUENTE NO BORRAR'!H1425),""))</f>
        <v>287.52999999999997</v>
      </c>
      <c r="I1407" s="6">
        <f>IF('FUENTE NO BORRAR'!I1425="","",IF('FUENTE NO BORRAR'!$A1425&lt;&gt;"Resultado total",('FUENTE NO BORRAR'!I1425),""))</f>
        <v>0</v>
      </c>
    </row>
    <row r="1408" spans="1:9" x14ac:dyDescent="0.2">
      <c r="A1408" s="5" t="str">
        <f>IF('FUENTE NO BORRAR'!A1426="","",(IF('FUENTE NO BORRAR'!A1426&lt;&gt;"Resultado total",'FUENTE NO BORRAR'!A1426,"")))</f>
        <v/>
      </c>
      <c r="B1408" s="5" t="str">
        <f>IF('FUENTE NO BORRAR'!B1426="","",'FUENTE NO BORRAR'!B1426)</f>
        <v/>
      </c>
      <c r="C1408" s="5" t="str">
        <f>IF('FUENTE NO BORRAR'!C1426="","",'FUENTE NO BORRAR'!C1426)</f>
        <v/>
      </c>
      <c r="D1408" s="5" t="str">
        <f>IF('FUENTE NO BORRAR'!D1426="","",'FUENTE NO BORRAR'!D1426)</f>
        <v/>
      </c>
      <c r="E1408" s="5" t="str">
        <f>IF('FUENTE NO BORRAR'!E1426="","",'FUENTE NO BORRAR'!E1426)</f>
        <v/>
      </c>
      <c r="F1408" s="6">
        <f>IF('FUENTE NO BORRAR'!F1426="","",IF('FUENTE NO BORRAR'!$A1426&lt;&gt;"Resultado total",('FUENTE NO BORRAR'!F1426),""))</f>
        <v>48684.2</v>
      </c>
      <c r="G1408" s="6">
        <f>IF('FUENTE NO BORRAR'!G1426="","",IF('FUENTE NO BORRAR'!$A1426&lt;&gt;"Resultado total",('FUENTE NO BORRAR'!G1426),""))</f>
        <v>48684.2</v>
      </c>
      <c r="H1408" s="6">
        <f>IF('FUENTE NO BORRAR'!H1426="","",IF('FUENTE NO BORRAR'!$A1426&lt;&gt;"Resultado total",('FUENTE NO BORRAR'!H1426),""))</f>
        <v>48684.2</v>
      </c>
      <c r="I1408" s="6">
        <f>IF('FUENTE NO BORRAR'!I1426="","",IF('FUENTE NO BORRAR'!$A1426&lt;&gt;"Resultado total",('FUENTE NO BORRAR'!I1426),""))</f>
        <v>0</v>
      </c>
    </row>
    <row r="1409" spans="1:9" x14ac:dyDescent="0.2">
      <c r="A1409" s="5" t="str">
        <f>IF('FUENTE NO BORRAR'!A1427="","",(IF('FUENTE NO BORRAR'!A1427&lt;&gt;"Resultado total",'FUENTE NO BORRAR'!A1427,"")))</f>
        <v/>
      </c>
      <c r="B1409" s="5" t="str">
        <f>IF('FUENTE NO BORRAR'!B1427="","",'FUENTE NO BORRAR'!B1427)</f>
        <v/>
      </c>
      <c r="C1409" s="5" t="str">
        <f>IF('FUENTE NO BORRAR'!C1427="","",'FUENTE NO BORRAR'!C1427)</f>
        <v/>
      </c>
      <c r="D1409" s="5" t="str">
        <f>IF('FUENTE NO BORRAR'!D1427="","",'FUENTE NO BORRAR'!D1427)</f>
        <v/>
      </c>
      <c r="E1409" s="5" t="str">
        <f>IF('FUENTE NO BORRAR'!E1427="","",'FUENTE NO BORRAR'!E1427)</f>
        <v/>
      </c>
      <c r="F1409" s="6">
        <f>IF('FUENTE NO BORRAR'!F1427="","",IF('FUENTE NO BORRAR'!$A1427&lt;&gt;"Resultado total",('FUENTE NO BORRAR'!F1427),""))</f>
        <v>17863.990000000002</v>
      </c>
      <c r="G1409" s="6">
        <f>IF('FUENTE NO BORRAR'!G1427="","",IF('FUENTE NO BORRAR'!$A1427&lt;&gt;"Resultado total",('FUENTE NO BORRAR'!G1427),""))</f>
        <v>17863.990000000002</v>
      </c>
      <c r="H1409" s="6">
        <f>IF('FUENTE NO BORRAR'!H1427="","",IF('FUENTE NO BORRAR'!$A1427&lt;&gt;"Resultado total",('FUENTE NO BORRAR'!H1427),""))</f>
        <v>17863.990000000002</v>
      </c>
      <c r="I1409" s="6">
        <f>IF('FUENTE NO BORRAR'!I1427="","",IF('FUENTE NO BORRAR'!$A1427&lt;&gt;"Resultado total",('FUENTE NO BORRAR'!I1427),""))</f>
        <v>0</v>
      </c>
    </row>
    <row r="1410" spans="1:9" x14ac:dyDescent="0.2">
      <c r="A1410" s="5" t="str">
        <f>IF('FUENTE NO BORRAR'!A1428="","",(IF('FUENTE NO BORRAR'!A1428&lt;&gt;"Resultado total",'FUENTE NO BORRAR'!A1428,"")))</f>
        <v/>
      </c>
      <c r="B1410" s="5" t="str">
        <f>IF('FUENTE NO BORRAR'!B1428="","",'FUENTE NO BORRAR'!B1428)</f>
        <v/>
      </c>
      <c r="C1410" s="5" t="str">
        <f>IF('FUENTE NO BORRAR'!C1428="","",'FUENTE NO BORRAR'!C1428)</f>
        <v/>
      </c>
      <c r="D1410" s="5" t="str">
        <f>IF('FUENTE NO BORRAR'!D1428="","",'FUENTE NO BORRAR'!D1428)</f>
        <v/>
      </c>
      <c r="E1410" s="5" t="str">
        <f>IF('FUENTE NO BORRAR'!E1428="","",'FUENTE NO BORRAR'!E1428)</f>
        <v/>
      </c>
      <c r="F1410" s="6">
        <f>IF('FUENTE NO BORRAR'!F1428="","",IF('FUENTE NO BORRAR'!$A1428&lt;&gt;"Resultado total",('FUENTE NO BORRAR'!F1428),""))</f>
        <v>86104.46</v>
      </c>
      <c r="G1410" s="6">
        <f>IF('FUENTE NO BORRAR'!G1428="","",IF('FUENTE NO BORRAR'!$A1428&lt;&gt;"Resultado total",('FUENTE NO BORRAR'!G1428),""))</f>
        <v>86104.46</v>
      </c>
      <c r="H1410" s="6">
        <f>IF('FUENTE NO BORRAR'!H1428="","",IF('FUENTE NO BORRAR'!$A1428&lt;&gt;"Resultado total",('FUENTE NO BORRAR'!H1428),""))</f>
        <v>86104.46</v>
      </c>
      <c r="I1410" s="6">
        <f>IF('FUENTE NO BORRAR'!I1428="","",IF('FUENTE NO BORRAR'!$A1428&lt;&gt;"Resultado total",('FUENTE NO BORRAR'!I1428),""))</f>
        <v>0</v>
      </c>
    </row>
    <row r="1411" spans="1:9" x14ac:dyDescent="0.2">
      <c r="A1411" s="5" t="str">
        <f>IF('FUENTE NO BORRAR'!A1429="","",(IF('FUENTE NO BORRAR'!A1429&lt;&gt;"Resultado total",'FUENTE NO BORRAR'!A1429,"")))</f>
        <v/>
      </c>
      <c r="B1411" s="5" t="str">
        <f>IF('FUENTE NO BORRAR'!B1429="","",'FUENTE NO BORRAR'!B1429)</f>
        <v/>
      </c>
      <c r="C1411" s="5" t="str">
        <f>IF('FUENTE NO BORRAR'!C1429="","",'FUENTE NO BORRAR'!C1429)</f>
        <v/>
      </c>
      <c r="D1411" s="5" t="str">
        <f>IF('FUENTE NO BORRAR'!D1429="","",'FUENTE NO BORRAR'!D1429)</f>
        <v/>
      </c>
      <c r="E1411" s="5" t="str">
        <f>IF('FUENTE NO BORRAR'!E1429="","",'FUENTE NO BORRAR'!E1429)</f>
        <v/>
      </c>
      <c r="F1411" s="6">
        <f>IF('FUENTE NO BORRAR'!F1429="","",IF('FUENTE NO BORRAR'!$A1429&lt;&gt;"Resultado total",('FUENTE NO BORRAR'!F1429),""))</f>
        <v>39037.870000000003</v>
      </c>
      <c r="G1411" s="6">
        <f>IF('FUENTE NO BORRAR'!G1429="","",IF('FUENTE NO BORRAR'!$A1429&lt;&gt;"Resultado total",('FUENTE NO BORRAR'!G1429),""))</f>
        <v>39037.870000000003</v>
      </c>
      <c r="H1411" s="6">
        <f>IF('FUENTE NO BORRAR'!H1429="","",IF('FUENTE NO BORRAR'!$A1429&lt;&gt;"Resultado total",('FUENTE NO BORRAR'!H1429),""))</f>
        <v>39037.870000000003</v>
      </c>
      <c r="I1411" s="6">
        <f>IF('FUENTE NO BORRAR'!I1429="","",IF('FUENTE NO BORRAR'!$A1429&lt;&gt;"Resultado total",('FUENTE NO BORRAR'!I1429),""))</f>
        <v>0</v>
      </c>
    </row>
    <row r="1412" spans="1:9" x14ac:dyDescent="0.2">
      <c r="A1412" s="5" t="str">
        <f>IF('FUENTE NO BORRAR'!A1430="","",(IF('FUENTE NO BORRAR'!A1430&lt;&gt;"Resultado total",'FUENTE NO BORRAR'!A1430,"")))</f>
        <v/>
      </c>
      <c r="B1412" s="5" t="str">
        <f>IF('FUENTE NO BORRAR'!B1430="","",'FUENTE NO BORRAR'!B1430)</f>
        <v/>
      </c>
      <c r="C1412" s="5" t="str">
        <f>IF('FUENTE NO BORRAR'!C1430="","",'FUENTE NO BORRAR'!C1430)</f>
        <v/>
      </c>
      <c r="D1412" s="5" t="str">
        <f>IF('FUENTE NO BORRAR'!D1430="","",'FUENTE NO BORRAR'!D1430)</f>
        <v/>
      </c>
      <c r="E1412" s="5" t="str">
        <f>IF('FUENTE NO BORRAR'!E1430="","",'FUENTE NO BORRAR'!E1430)</f>
        <v/>
      </c>
      <c r="F1412" s="6">
        <f>IF('FUENTE NO BORRAR'!F1430="","",IF('FUENTE NO BORRAR'!$A1430&lt;&gt;"Resultado total",('FUENTE NO BORRAR'!F1430),""))</f>
        <v>49140</v>
      </c>
      <c r="G1412" s="6">
        <f>IF('FUENTE NO BORRAR'!G1430="","",IF('FUENTE NO BORRAR'!$A1430&lt;&gt;"Resultado total",('FUENTE NO BORRAR'!G1430),""))</f>
        <v>49140</v>
      </c>
      <c r="H1412" s="6">
        <f>IF('FUENTE NO BORRAR'!H1430="","",IF('FUENTE NO BORRAR'!$A1430&lt;&gt;"Resultado total",('FUENTE NO BORRAR'!H1430),""))</f>
        <v>0</v>
      </c>
      <c r="I1412" s="6">
        <f>IF('FUENTE NO BORRAR'!I1430="","",IF('FUENTE NO BORRAR'!$A1430&lt;&gt;"Resultado total",('FUENTE NO BORRAR'!I1430),""))</f>
        <v>0</v>
      </c>
    </row>
    <row r="1413" spans="1:9" x14ac:dyDescent="0.2">
      <c r="A1413" s="5" t="str">
        <f>IF('FUENTE NO BORRAR'!A1431="","",(IF('FUENTE NO BORRAR'!A1431&lt;&gt;"Resultado total",'FUENTE NO BORRAR'!A1431,"")))</f>
        <v/>
      </c>
      <c r="B1413" s="5" t="str">
        <f>IF('FUENTE NO BORRAR'!B1431="","",'FUENTE NO BORRAR'!B1431)</f>
        <v/>
      </c>
      <c r="C1413" s="5" t="str">
        <f>IF('FUENTE NO BORRAR'!C1431="","",'FUENTE NO BORRAR'!C1431)</f>
        <v/>
      </c>
      <c r="D1413" s="5" t="str">
        <f>IF('FUENTE NO BORRAR'!D1431="","",'FUENTE NO BORRAR'!D1431)</f>
        <v/>
      </c>
      <c r="E1413" s="5" t="str">
        <f>IF('FUENTE NO BORRAR'!E1431="","",'FUENTE NO BORRAR'!E1431)</f>
        <v/>
      </c>
      <c r="F1413" s="6">
        <f>IF('FUENTE NO BORRAR'!F1431="","",IF('FUENTE NO BORRAR'!$A1431&lt;&gt;"Resultado total",('FUENTE NO BORRAR'!F1431),""))</f>
        <v>107854.7</v>
      </c>
      <c r="G1413" s="6">
        <f>IF('FUENTE NO BORRAR'!G1431="","",IF('FUENTE NO BORRAR'!$A1431&lt;&gt;"Resultado total",('FUENTE NO BORRAR'!G1431),""))</f>
        <v>107854.7</v>
      </c>
      <c r="H1413" s="6">
        <f>IF('FUENTE NO BORRAR'!H1431="","",IF('FUENTE NO BORRAR'!$A1431&lt;&gt;"Resultado total",('FUENTE NO BORRAR'!H1431),""))</f>
        <v>107854.7</v>
      </c>
      <c r="I1413" s="6">
        <f>IF('FUENTE NO BORRAR'!I1431="","",IF('FUENTE NO BORRAR'!$A1431&lt;&gt;"Resultado total",('FUENTE NO BORRAR'!I1431),""))</f>
        <v>0</v>
      </c>
    </row>
    <row r="1414" spans="1:9" x14ac:dyDescent="0.2">
      <c r="A1414" s="5" t="str">
        <f>IF('FUENTE NO BORRAR'!A1432="","",(IF('FUENTE NO BORRAR'!A1432&lt;&gt;"Resultado total",'FUENTE NO BORRAR'!A1432,"")))</f>
        <v/>
      </c>
      <c r="B1414" s="5" t="str">
        <f>IF('FUENTE NO BORRAR'!B1432="","",'FUENTE NO BORRAR'!B1432)</f>
        <v/>
      </c>
      <c r="C1414" s="5" t="str">
        <f>IF('FUENTE NO BORRAR'!C1432="","",'FUENTE NO BORRAR'!C1432)</f>
        <v/>
      </c>
      <c r="D1414" s="5" t="str">
        <f>IF('FUENTE NO BORRAR'!D1432="","",'FUENTE NO BORRAR'!D1432)</f>
        <v/>
      </c>
      <c r="E1414" s="5" t="str">
        <f>IF('FUENTE NO BORRAR'!E1432="","",'FUENTE NO BORRAR'!E1432)</f>
        <v/>
      </c>
      <c r="F1414" s="6">
        <f>IF('FUENTE NO BORRAR'!F1432="","",IF('FUENTE NO BORRAR'!$A1432&lt;&gt;"Resultado total",('FUENTE NO BORRAR'!F1432),""))</f>
        <v>522</v>
      </c>
      <c r="G1414" s="6">
        <f>IF('FUENTE NO BORRAR'!G1432="","",IF('FUENTE NO BORRAR'!$A1432&lt;&gt;"Resultado total",('FUENTE NO BORRAR'!G1432),""))</f>
        <v>522</v>
      </c>
      <c r="H1414" s="6">
        <f>IF('FUENTE NO BORRAR'!H1432="","",IF('FUENTE NO BORRAR'!$A1432&lt;&gt;"Resultado total",('FUENTE NO BORRAR'!H1432),""))</f>
        <v>522</v>
      </c>
      <c r="I1414" s="6">
        <f>IF('FUENTE NO BORRAR'!I1432="","",IF('FUENTE NO BORRAR'!$A1432&lt;&gt;"Resultado total",('FUENTE NO BORRAR'!I1432),""))</f>
        <v>0</v>
      </c>
    </row>
    <row r="1415" spans="1:9" x14ac:dyDescent="0.2">
      <c r="A1415" s="5" t="str">
        <f>IF('FUENTE NO BORRAR'!A1433="","",(IF('FUENTE NO BORRAR'!A1433&lt;&gt;"Resultado total",'FUENTE NO BORRAR'!A1433,"")))</f>
        <v/>
      </c>
      <c r="B1415" s="5" t="str">
        <f>IF('FUENTE NO BORRAR'!B1433="","",'FUENTE NO BORRAR'!B1433)</f>
        <v/>
      </c>
      <c r="C1415" s="5" t="str">
        <f>IF('FUENTE NO BORRAR'!C1433="","",'FUENTE NO BORRAR'!C1433)</f>
        <v/>
      </c>
      <c r="D1415" s="5" t="str">
        <f>IF('FUENTE NO BORRAR'!D1433="","",'FUENTE NO BORRAR'!D1433)</f>
        <v/>
      </c>
      <c r="E1415" s="5" t="str">
        <f>IF('FUENTE NO BORRAR'!E1433="","",'FUENTE NO BORRAR'!E1433)</f>
        <v/>
      </c>
      <c r="F1415" s="6">
        <f>IF('FUENTE NO BORRAR'!F1433="","",IF('FUENTE NO BORRAR'!$A1433&lt;&gt;"Resultado total",('FUENTE NO BORRAR'!F1433),""))</f>
        <v>12035</v>
      </c>
      <c r="G1415" s="6">
        <f>IF('FUENTE NO BORRAR'!G1433="","",IF('FUENTE NO BORRAR'!$A1433&lt;&gt;"Resultado total",('FUENTE NO BORRAR'!G1433),""))</f>
        <v>12035</v>
      </c>
      <c r="H1415" s="6">
        <f>IF('FUENTE NO BORRAR'!H1433="","",IF('FUENTE NO BORRAR'!$A1433&lt;&gt;"Resultado total",('FUENTE NO BORRAR'!H1433),""))</f>
        <v>0</v>
      </c>
      <c r="I1415" s="6">
        <f>IF('FUENTE NO BORRAR'!I1433="","",IF('FUENTE NO BORRAR'!$A1433&lt;&gt;"Resultado total",('FUENTE NO BORRAR'!I1433),""))</f>
        <v>0</v>
      </c>
    </row>
    <row r="1416" spans="1:9" x14ac:dyDescent="0.2">
      <c r="A1416" s="5" t="str">
        <f>IF('FUENTE NO BORRAR'!A1434="","",(IF('FUENTE NO BORRAR'!A1434&lt;&gt;"Resultado total",'FUENTE NO BORRAR'!A1434,"")))</f>
        <v/>
      </c>
      <c r="B1416" s="5" t="str">
        <f>IF('FUENTE NO BORRAR'!B1434="","",'FUENTE NO BORRAR'!B1434)</f>
        <v/>
      </c>
      <c r="C1416" s="5" t="str">
        <f>IF('FUENTE NO BORRAR'!C1434="","",'FUENTE NO BORRAR'!C1434)</f>
        <v/>
      </c>
      <c r="D1416" s="5" t="str">
        <f>IF('FUENTE NO BORRAR'!D1434="","",'FUENTE NO BORRAR'!D1434)</f>
        <v/>
      </c>
      <c r="E1416" s="5" t="str">
        <f>IF('FUENTE NO BORRAR'!E1434="","",'FUENTE NO BORRAR'!E1434)</f>
        <v/>
      </c>
      <c r="F1416" s="6">
        <f>IF('FUENTE NO BORRAR'!F1434="","",IF('FUENTE NO BORRAR'!$A1434&lt;&gt;"Resultado total",('FUENTE NO BORRAR'!F1434),""))</f>
        <v>699.59</v>
      </c>
      <c r="G1416" s="6">
        <f>IF('FUENTE NO BORRAR'!G1434="","",IF('FUENTE NO BORRAR'!$A1434&lt;&gt;"Resultado total",('FUENTE NO BORRAR'!G1434),""))</f>
        <v>699.59</v>
      </c>
      <c r="H1416" s="6">
        <f>IF('FUENTE NO BORRAR'!H1434="","",IF('FUENTE NO BORRAR'!$A1434&lt;&gt;"Resultado total",('FUENTE NO BORRAR'!H1434),""))</f>
        <v>699.59</v>
      </c>
      <c r="I1416" s="6">
        <f>IF('FUENTE NO BORRAR'!I1434="","",IF('FUENTE NO BORRAR'!$A1434&lt;&gt;"Resultado total",('FUENTE NO BORRAR'!I1434),""))</f>
        <v>0</v>
      </c>
    </row>
    <row r="1417" spans="1:9" x14ac:dyDescent="0.2">
      <c r="A1417" s="5" t="str">
        <f>IF('FUENTE NO BORRAR'!A1435="","",(IF('FUENTE NO BORRAR'!A1435&lt;&gt;"Resultado total",'FUENTE NO BORRAR'!A1435,"")))</f>
        <v/>
      </c>
      <c r="B1417" s="5" t="str">
        <f>IF('FUENTE NO BORRAR'!B1435="","",'FUENTE NO BORRAR'!B1435)</f>
        <v/>
      </c>
      <c r="C1417" s="5" t="str">
        <f>IF('FUENTE NO BORRAR'!C1435="","",'FUENTE NO BORRAR'!C1435)</f>
        <v/>
      </c>
      <c r="D1417" s="5" t="str">
        <f>IF('FUENTE NO BORRAR'!D1435="","",'FUENTE NO BORRAR'!D1435)</f>
        <v/>
      </c>
      <c r="E1417" s="5" t="str">
        <f>IF('FUENTE NO BORRAR'!E1435="","",'FUENTE NO BORRAR'!E1435)</f>
        <v/>
      </c>
      <c r="F1417" s="6">
        <f>IF('FUENTE NO BORRAR'!F1435="","",IF('FUENTE NO BORRAR'!$A1435&lt;&gt;"Resultado total",('FUENTE NO BORRAR'!F1435),""))</f>
        <v>1115.78</v>
      </c>
      <c r="G1417" s="6">
        <f>IF('FUENTE NO BORRAR'!G1435="","",IF('FUENTE NO BORRAR'!$A1435&lt;&gt;"Resultado total",('FUENTE NO BORRAR'!G1435),""))</f>
        <v>1115.78</v>
      </c>
      <c r="H1417" s="6">
        <f>IF('FUENTE NO BORRAR'!H1435="","",IF('FUENTE NO BORRAR'!$A1435&lt;&gt;"Resultado total",('FUENTE NO BORRAR'!H1435),""))</f>
        <v>1115.78</v>
      </c>
      <c r="I1417" s="6">
        <f>IF('FUENTE NO BORRAR'!I1435="","",IF('FUENTE NO BORRAR'!$A1435&lt;&gt;"Resultado total",('FUENTE NO BORRAR'!I1435),""))</f>
        <v>0</v>
      </c>
    </row>
    <row r="1418" spans="1:9" x14ac:dyDescent="0.2">
      <c r="A1418" s="5" t="str">
        <f>IF('FUENTE NO BORRAR'!A1436="","",(IF('FUENTE NO BORRAR'!A1436&lt;&gt;"Resultado total",'FUENTE NO BORRAR'!A1436,"")))</f>
        <v/>
      </c>
      <c r="B1418" s="5" t="str">
        <f>IF('FUENTE NO BORRAR'!B1436="","",'FUENTE NO BORRAR'!B1436)</f>
        <v/>
      </c>
      <c r="C1418" s="5" t="str">
        <f>IF('FUENTE NO BORRAR'!C1436="","",'FUENTE NO BORRAR'!C1436)</f>
        <v/>
      </c>
      <c r="D1418" s="5" t="str">
        <f>IF('FUENTE NO BORRAR'!D1436="","",'FUENTE NO BORRAR'!D1436)</f>
        <v/>
      </c>
      <c r="E1418" s="5" t="str">
        <f>IF('FUENTE NO BORRAR'!E1436="","",'FUENTE NO BORRAR'!E1436)</f>
        <v/>
      </c>
      <c r="F1418" s="6">
        <f>IF('FUENTE NO BORRAR'!F1436="","",IF('FUENTE NO BORRAR'!$A1436&lt;&gt;"Resultado total",('FUENTE NO BORRAR'!F1436),""))</f>
        <v>31389.82</v>
      </c>
      <c r="G1418" s="6">
        <f>IF('FUENTE NO BORRAR'!G1436="","",IF('FUENTE NO BORRAR'!$A1436&lt;&gt;"Resultado total",('FUENTE NO BORRAR'!G1436),""))</f>
        <v>31389.82</v>
      </c>
      <c r="H1418" s="6">
        <f>IF('FUENTE NO BORRAR'!H1436="","",IF('FUENTE NO BORRAR'!$A1436&lt;&gt;"Resultado total",('FUENTE NO BORRAR'!H1436),""))</f>
        <v>18417.830000000002</v>
      </c>
      <c r="I1418" s="6">
        <f>IF('FUENTE NO BORRAR'!I1436="","",IF('FUENTE NO BORRAR'!$A1436&lt;&gt;"Resultado total",('FUENTE NO BORRAR'!I1436),""))</f>
        <v>0</v>
      </c>
    </row>
    <row r="1419" spans="1:9" x14ac:dyDescent="0.2">
      <c r="A1419" s="5" t="str">
        <f>IF('FUENTE NO BORRAR'!A1437="","",(IF('FUENTE NO BORRAR'!A1437&lt;&gt;"Resultado total",'FUENTE NO BORRAR'!A1437,"")))</f>
        <v/>
      </c>
      <c r="B1419" s="5" t="str">
        <f>IF('FUENTE NO BORRAR'!B1437="","",'FUENTE NO BORRAR'!B1437)</f>
        <v/>
      </c>
      <c r="C1419" s="5" t="str">
        <f>IF('FUENTE NO BORRAR'!C1437="","",'FUENTE NO BORRAR'!C1437)</f>
        <v/>
      </c>
      <c r="D1419" s="5" t="str">
        <f>IF('FUENTE NO BORRAR'!D1437="","",'FUENTE NO BORRAR'!D1437)</f>
        <v/>
      </c>
      <c r="E1419" s="5" t="str">
        <f>IF('FUENTE NO BORRAR'!E1437="","",'FUENTE NO BORRAR'!E1437)</f>
        <v/>
      </c>
      <c r="F1419" s="6">
        <f>IF('FUENTE NO BORRAR'!F1437="","",IF('FUENTE NO BORRAR'!$A1437&lt;&gt;"Resultado total",('FUENTE NO BORRAR'!F1437),""))</f>
        <v>20176194.260000002</v>
      </c>
      <c r="G1419" s="6">
        <f>IF('FUENTE NO BORRAR'!G1437="","",IF('FUENTE NO BORRAR'!$A1437&lt;&gt;"Resultado total",('FUENTE NO BORRAR'!G1437),""))</f>
        <v>20176194.260000002</v>
      </c>
      <c r="H1419" s="6">
        <f>IF('FUENTE NO BORRAR'!H1437="","",IF('FUENTE NO BORRAR'!$A1437&lt;&gt;"Resultado total",('FUENTE NO BORRAR'!H1437),""))</f>
        <v>20176194.260000002</v>
      </c>
      <c r="I1419" s="6">
        <f>IF('FUENTE NO BORRAR'!I1437="","",IF('FUENTE NO BORRAR'!$A1437&lt;&gt;"Resultado total",('FUENTE NO BORRAR'!I1437),""))</f>
        <v>0</v>
      </c>
    </row>
    <row r="1420" spans="1:9" x14ac:dyDescent="0.2">
      <c r="A1420" s="5" t="str">
        <f>IF('FUENTE NO BORRAR'!A1438="","",(IF('FUENTE NO BORRAR'!A1438&lt;&gt;"Resultado total",'FUENTE NO BORRAR'!A1438,"")))</f>
        <v/>
      </c>
      <c r="B1420" s="5" t="str">
        <f>IF('FUENTE NO BORRAR'!B1438="","",'FUENTE NO BORRAR'!B1438)</f>
        <v/>
      </c>
      <c r="C1420" s="5" t="str">
        <f>IF('FUENTE NO BORRAR'!C1438="","",'FUENTE NO BORRAR'!C1438)</f>
        <v/>
      </c>
      <c r="D1420" s="5" t="str">
        <f>IF('FUENTE NO BORRAR'!D1438="","",'FUENTE NO BORRAR'!D1438)</f>
        <v/>
      </c>
      <c r="E1420" s="5" t="str">
        <f>IF('FUENTE NO BORRAR'!E1438="","",'FUENTE NO BORRAR'!E1438)</f>
        <v/>
      </c>
      <c r="F1420" s="6">
        <f>IF('FUENTE NO BORRAR'!F1438="","",IF('FUENTE NO BORRAR'!$A1438&lt;&gt;"Resultado total",('FUENTE NO BORRAR'!F1438),""))</f>
        <v>381368.19</v>
      </c>
      <c r="G1420" s="6">
        <f>IF('FUENTE NO BORRAR'!G1438="","",IF('FUENTE NO BORRAR'!$A1438&lt;&gt;"Resultado total",('FUENTE NO BORRAR'!G1438),""))</f>
        <v>381368.19</v>
      </c>
      <c r="H1420" s="6">
        <f>IF('FUENTE NO BORRAR'!H1438="","",IF('FUENTE NO BORRAR'!$A1438&lt;&gt;"Resultado total",('FUENTE NO BORRAR'!H1438),""))</f>
        <v>150468.57999999999</v>
      </c>
      <c r="I1420" s="6">
        <f>IF('FUENTE NO BORRAR'!I1438="","",IF('FUENTE NO BORRAR'!$A1438&lt;&gt;"Resultado total",('FUENTE NO BORRAR'!I1438),""))</f>
        <v>0</v>
      </c>
    </row>
    <row r="1421" spans="1:9" x14ac:dyDescent="0.2">
      <c r="A1421" s="5" t="str">
        <f>IF('FUENTE NO BORRAR'!A1439="","",(IF('FUENTE NO BORRAR'!A1439&lt;&gt;"Resultado total",'FUENTE NO BORRAR'!A1439,"")))</f>
        <v/>
      </c>
      <c r="B1421" s="5" t="str">
        <f>IF('FUENTE NO BORRAR'!B1439="","",'FUENTE NO BORRAR'!B1439)</f>
        <v/>
      </c>
      <c r="C1421" s="5" t="str">
        <f>IF('FUENTE NO BORRAR'!C1439="","",'FUENTE NO BORRAR'!C1439)</f>
        <v/>
      </c>
      <c r="D1421" s="5" t="str">
        <f>IF('FUENTE NO BORRAR'!D1439="","",'FUENTE NO BORRAR'!D1439)</f>
        <v/>
      </c>
      <c r="E1421" s="5" t="str">
        <f>IF('FUENTE NO BORRAR'!E1439="","",'FUENTE NO BORRAR'!E1439)</f>
        <v/>
      </c>
      <c r="F1421" s="6">
        <f>IF('FUENTE NO BORRAR'!F1439="","",IF('FUENTE NO BORRAR'!$A1439&lt;&gt;"Resultado total",('FUENTE NO BORRAR'!F1439),""))</f>
        <v>5238.57</v>
      </c>
      <c r="G1421" s="6">
        <f>IF('FUENTE NO BORRAR'!G1439="","",IF('FUENTE NO BORRAR'!$A1439&lt;&gt;"Resultado total",('FUENTE NO BORRAR'!G1439),""))</f>
        <v>5238.57</v>
      </c>
      <c r="H1421" s="6">
        <f>IF('FUENTE NO BORRAR'!H1439="","",IF('FUENTE NO BORRAR'!$A1439&lt;&gt;"Resultado total",('FUENTE NO BORRAR'!H1439),""))</f>
        <v>5238.57</v>
      </c>
      <c r="I1421" s="6">
        <f>IF('FUENTE NO BORRAR'!I1439="","",IF('FUENTE NO BORRAR'!$A1439&lt;&gt;"Resultado total",('FUENTE NO BORRAR'!I1439),""))</f>
        <v>0</v>
      </c>
    </row>
    <row r="1422" spans="1:9" x14ac:dyDescent="0.2">
      <c r="A1422" s="5" t="str">
        <f>IF('FUENTE NO BORRAR'!A1440="","",(IF('FUENTE NO BORRAR'!A1440&lt;&gt;"Resultado total",'FUENTE NO BORRAR'!A1440,"")))</f>
        <v/>
      </c>
      <c r="B1422" s="5" t="str">
        <f>IF('FUENTE NO BORRAR'!B1440="","",'FUENTE NO BORRAR'!B1440)</f>
        <v/>
      </c>
      <c r="C1422" s="5" t="str">
        <f>IF('FUENTE NO BORRAR'!C1440="","",'FUENTE NO BORRAR'!C1440)</f>
        <v/>
      </c>
      <c r="D1422" s="5" t="str">
        <f>IF('FUENTE NO BORRAR'!D1440="","",'FUENTE NO BORRAR'!D1440)</f>
        <v/>
      </c>
      <c r="E1422" s="5" t="str">
        <f>IF('FUENTE NO BORRAR'!E1440="","",'FUENTE NO BORRAR'!E1440)</f>
        <v/>
      </c>
      <c r="F1422" s="6">
        <f>IF('FUENTE NO BORRAR'!F1440="","",IF('FUENTE NO BORRAR'!$A1440&lt;&gt;"Resultado total",('FUENTE NO BORRAR'!F1440),""))</f>
        <v>106652.43</v>
      </c>
      <c r="G1422" s="6">
        <f>IF('FUENTE NO BORRAR'!G1440="","",IF('FUENTE NO BORRAR'!$A1440&lt;&gt;"Resultado total",('FUENTE NO BORRAR'!G1440),""))</f>
        <v>106652.43</v>
      </c>
      <c r="H1422" s="6">
        <f>IF('FUENTE NO BORRAR'!H1440="","",IF('FUENTE NO BORRAR'!$A1440&lt;&gt;"Resultado total",('FUENTE NO BORRAR'!H1440),""))</f>
        <v>406</v>
      </c>
      <c r="I1422" s="6">
        <f>IF('FUENTE NO BORRAR'!I1440="","",IF('FUENTE NO BORRAR'!$A1440&lt;&gt;"Resultado total",('FUENTE NO BORRAR'!I1440),""))</f>
        <v>0</v>
      </c>
    </row>
    <row r="1423" spans="1:9" x14ac:dyDescent="0.2">
      <c r="A1423" s="5" t="str">
        <f>IF('FUENTE NO BORRAR'!A1441="","",(IF('FUENTE NO BORRAR'!A1441&lt;&gt;"Resultado total",'FUENTE NO BORRAR'!A1441,"")))</f>
        <v/>
      </c>
      <c r="B1423" s="5" t="str">
        <f>IF('FUENTE NO BORRAR'!B1441="","",'FUENTE NO BORRAR'!B1441)</f>
        <v/>
      </c>
      <c r="C1423" s="5" t="str">
        <f>IF('FUENTE NO BORRAR'!C1441="","",'FUENTE NO BORRAR'!C1441)</f>
        <v/>
      </c>
      <c r="D1423" s="5" t="str">
        <f>IF('FUENTE NO BORRAR'!D1441="","",'FUENTE NO BORRAR'!D1441)</f>
        <v/>
      </c>
      <c r="E1423" s="5" t="str">
        <f>IF('FUENTE NO BORRAR'!E1441="","",'FUENTE NO BORRAR'!E1441)</f>
        <v/>
      </c>
      <c r="F1423" s="6">
        <f>IF('FUENTE NO BORRAR'!F1441="","",IF('FUENTE NO BORRAR'!$A1441&lt;&gt;"Resultado total",('FUENTE NO BORRAR'!F1441),""))</f>
        <v>168852.82</v>
      </c>
      <c r="G1423" s="6">
        <f>IF('FUENTE NO BORRAR'!G1441="","",IF('FUENTE NO BORRAR'!$A1441&lt;&gt;"Resultado total",('FUENTE NO BORRAR'!G1441),""))</f>
        <v>168852.82</v>
      </c>
      <c r="H1423" s="6">
        <f>IF('FUENTE NO BORRAR'!H1441="","",IF('FUENTE NO BORRAR'!$A1441&lt;&gt;"Resultado total",('FUENTE NO BORRAR'!H1441),""))</f>
        <v>168852.82</v>
      </c>
      <c r="I1423" s="6">
        <f>IF('FUENTE NO BORRAR'!I1441="","",IF('FUENTE NO BORRAR'!$A1441&lt;&gt;"Resultado total",('FUENTE NO BORRAR'!I1441),""))</f>
        <v>0</v>
      </c>
    </row>
    <row r="1424" spans="1:9" x14ac:dyDescent="0.2">
      <c r="A1424" s="5" t="str">
        <f>IF('FUENTE NO BORRAR'!A1442="","",(IF('FUENTE NO BORRAR'!A1442&lt;&gt;"Resultado total",'FUENTE NO BORRAR'!A1442,"")))</f>
        <v/>
      </c>
      <c r="B1424" s="5" t="str">
        <f>IF('FUENTE NO BORRAR'!B1442="","",'FUENTE NO BORRAR'!B1442)</f>
        <v/>
      </c>
      <c r="C1424" s="5" t="str">
        <f>IF('FUENTE NO BORRAR'!C1442="","",'FUENTE NO BORRAR'!C1442)</f>
        <v/>
      </c>
      <c r="D1424" s="5" t="str">
        <f>IF('FUENTE NO BORRAR'!D1442="","",'FUENTE NO BORRAR'!D1442)</f>
        <v/>
      </c>
      <c r="E1424" s="5" t="str">
        <f>IF('FUENTE NO BORRAR'!E1442="","",'FUENTE NO BORRAR'!E1442)</f>
        <v/>
      </c>
      <c r="F1424" s="6">
        <f>IF('FUENTE NO BORRAR'!F1442="","",IF('FUENTE NO BORRAR'!$A1442&lt;&gt;"Resultado total",('FUENTE NO BORRAR'!F1442),""))</f>
        <v>9516.59</v>
      </c>
      <c r="G1424" s="6">
        <f>IF('FUENTE NO BORRAR'!G1442="","",IF('FUENTE NO BORRAR'!$A1442&lt;&gt;"Resultado total",('FUENTE NO BORRAR'!G1442),""))</f>
        <v>9516.59</v>
      </c>
      <c r="H1424" s="6">
        <f>IF('FUENTE NO BORRAR'!H1442="","",IF('FUENTE NO BORRAR'!$A1442&lt;&gt;"Resultado total",('FUENTE NO BORRAR'!H1442),""))</f>
        <v>9516.59</v>
      </c>
      <c r="I1424" s="6">
        <f>IF('FUENTE NO BORRAR'!I1442="","",IF('FUENTE NO BORRAR'!$A1442&lt;&gt;"Resultado total",('FUENTE NO BORRAR'!I1442),""))</f>
        <v>0</v>
      </c>
    </row>
    <row r="1425" spans="1:9" x14ac:dyDescent="0.2">
      <c r="A1425" s="5" t="str">
        <f>IF('FUENTE NO BORRAR'!A1443="","",(IF('FUENTE NO BORRAR'!A1443&lt;&gt;"Resultado total",'FUENTE NO BORRAR'!A1443,"")))</f>
        <v/>
      </c>
      <c r="B1425" s="5" t="str">
        <f>IF('FUENTE NO BORRAR'!B1443="","",'FUENTE NO BORRAR'!B1443)</f>
        <v/>
      </c>
      <c r="C1425" s="5" t="str">
        <f>IF('FUENTE NO BORRAR'!C1443="","",'FUENTE NO BORRAR'!C1443)</f>
        <v/>
      </c>
      <c r="D1425" s="5" t="str">
        <f>IF('FUENTE NO BORRAR'!D1443="","",'FUENTE NO BORRAR'!D1443)</f>
        <v/>
      </c>
      <c r="E1425" s="5" t="str">
        <f>IF('FUENTE NO BORRAR'!E1443="","",'FUENTE NO BORRAR'!E1443)</f>
        <v/>
      </c>
      <c r="F1425" s="6">
        <f>IF('FUENTE NO BORRAR'!F1443="","",IF('FUENTE NO BORRAR'!$A1443&lt;&gt;"Resultado total",('FUENTE NO BORRAR'!F1443),""))</f>
        <v>0</v>
      </c>
      <c r="G1425" s="6">
        <f>IF('FUENTE NO BORRAR'!G1443="","",IF('FUENTE NO BORRAR'!$A1443&lt;&gt;"Resultado total",('FUENTE NO BORRAR'!G1443),""))</f>
        <v>0</v>
      </c>
      <c r="H1425" s="6">
        <f>IF('FUENTE NO BORRAR'!H1443="","",IF('FUENTE NO BORRAR'!$A1443&lt;&gt;"Resultado total",('FUENTE NO BORRAR'!H1443),""))</f>
        <v>0</v>
      </c>
      <c r="I1425" s="6">
        <f>IF('FUENTE NO BORRAR'!I1443="","",IF('FUENTE NO BORRAR'!$A1443&lt;&gt;"Resultado total",('FUENTE NO BORRAR'!I1443),""))</f>
        <v>0</v>
      </c>
    </row>
    <row r="1426" spans="1:9" x14ac:dyDescent="0.2">
      <c r="A1426" s="5" t="str">
        <f>IF('FUENTE NO BORRAR'!A1444="","",(IF('FUENTE NO BORRAR'!A1444&lt;&gt;"Resultado total",'FUENTE NO BORRAR'!A1444,"")))</f>
        <v/>
      </c>
      <c r="B1426" s="5" t="str">
        <f>IF('FUENTE NO BORRAR'!B1444="","",'FUENTE NO BORRAR'!B1444)</f>
        <v/>
      </c>
      <c r="C1426" s="5" t="str">
        <f>IF('FUENTE NO BORRAR'!C1444="","",'FUENTE NO BORRAR'!C1444)</f>
        <v/>
      </c>
      <c r="D1426" s="5" t="str">
        <f>IF('FUENTE NO BORRAR'!D1444="","",'FUENTE NO BORRAR'!D1444)</f>
        <v/>
      </c>
      <c r="E1426" s="5" t="str">
        <f>IF('FUENTE NO BORRAR'!E1444="","",'FUENTE NO BORRAR'!E1444)</f>
        <v/>
      </c>
      <c r="F1426" s="6">
        <f>IF('FUENTE NO BORRAR'!F1444="","",IF('FUENTE NO BORRAR'!$A1444&lt;&gt;"Resultado total",('FUENTE NO BORRAR'!F1444),""))</f>
        <v>1700566.08</v>
      </c>
      <c r="G1426" s="6">
        <f>IF('FUENTE NO BORRAR'!G1444="","",IF('FUENTE NO BORRAR'!$A1444&lt;&gt;"Resultado total",('FUENTE NO BORRAR'!G1444),""))</f>
        <v>1700566.08</v>
      </c>
      <c r="H1426" s="6">
        <f>IF('FUENTE NO BORRAR'!H1444="","",IF('FUENTE NO BORRAR'!$A1444&lt;&gt;"Resultado total",('FUENTE NO BORRAR'!H1444),""))</f>
        <v>1218789.1499999999</v>
      </c>
      <c r="I1426" s="6">
        <f>IF('FUENTE NO BORRAR'!I1444="","",IF('FUENTE NO BORRAR'!$A1444&lt;&gt;"Resultado total",('FUENTE NO BORRAR'!I1444),""))</f>
        <v>0</v>
      </c>
    </row>
    <row r="1427" spans="1:9" x14ac:dyDescent="0.2">
      <c r="A1427" s="5" t="str">
        <f>IF('FUENTE NO BORRAR'!A1445="","",(IF('FUENTE NO BORRAR'!A1445&lt;&gt;"Resultado total",'FUENTE NO BORRAR'!A1445,"")))</f>
        <v/>
      </c>
      <c r="B1427" s="5" t="str">
        <f>IF('FUENTE NO BORRAR'!B1445="","",'FUENTE NO BORRAR'!B1445)</f>
        <v/>
      </c>
      <c r="C1427" s="5" t="str">
        <f>IF('FUENTE NO BORRAR'!C1445="","",'FUENTE NO BORRAR'!C1445)</f>
        <v/>
      </c>
      <c r="D1427" s="5" t="str">
        <f>IF('FUENTE NO BORRAR'!D1445="","",'FUENTE NO BORRAR'!D1445)</f>
        <v/>
      </c>
      <c r="E1427" s="5" t="str">
        <f>IF('FUENTE NO BORRAR'!E1445="","",'FUENTE NO BORRAR'!E1445)</f>
        <v/>
      </c>
      <c r="F1427" s="6">
        <f>IF('FUENTE NO BORRAR'!F1445="","",IF('FUENTE NO BORRAR'!$A1445&lt;&gt;"Resultado total",('FUENTE NO BORRAR'!F1445),""))</f>
        <v>60401.26</v>
      </c>
      <c r="G1427" s="6">
        <f>IF('FUENTE NO BORRAR'!G1445="","",IF('FUENTE NO BORRAR'!$A1445&lt;&gt;"Resultado total",('FUENTE NO BORRAR'!G1445),""))</f>
        <v>60401.26</v>
      </c>
      <c r="H1427" s="6">
        <f>IF('FUENTE NO BORRAR'!H1445="","",IF('FUENTE NO BORRAR'!$A1445&lt;&gt;"Resultado total",('FUENTE NO BORRAR'!H1445),""))</f>
        <v>60401.26</v>
      </c>
      <c r="I1427" s="6">
        <f>IF('FUENTE NO BORRAR'!I1445="","",IF('FUENTE NO BORRAR'!$A1445&lt;&gt;"Resultado total",('FUENTE NO BORRAR'!I1445),""))</f>
        <v>0</v>
      </c>
    </row>
    <row r="1428" spans="1:9" x14ac:dyDescent="0.2">
      <c r="A1428" s="5" t="str">
        <f>IF('FUENTE NO BORRAR'!A1446="","",(IF('FUENTE NO BORRAR'!A1446&lt;&gt;"Resultado total",'FUENTE NO BORRAR'!A1446,"")))</f>
        <v/>
      </c>
      <c r="B1428" s="5" t="str">
        <f>IF('FUENTE NO BORRAR'!B1446="","",'FUENTE NO BORRAR'!B1446)</f>
        <v/>
      </c>
      <c r="C1428" s="5" t="str">
        <f>IF('FUENTE NO BORRAR'!C1446="","",'FUENTE NO BORRAR'!C1446)</f>
        <v/>
      </c>
      <c r="D1428" s="5" t="str">
        <f>IF('FUENTE NO BORRAR'!D1446="","",'FUENTE NO BORRAR'!D1446)</f>
        <v/>
      </c>
      <c r="E1428" s="5" t="str">
        <f>IF('FUENTE NO BORRAR'!E1446="","",'FUENTE NO BORRAR'!E1446)</f>
        <v/>
      </c>
      <c r="F1428" s="6">
        <f>IF('FUENTE NO BORRAR'!F1446="","",IF('FUENTE NO BORRAR'!$A1446&lt;&gt;"Resultado total",('FUENTE NO BORRAR'!F1446),""))</f>
        <v>7624.18</v>
      </c>
      <c r="G1428" s="6">
        <f>IF('FUENTE NO BORRAR'!G1446="","",IF('FUENTE NO BORRAR'!$A1446&lt;&gt;"Resultado total",('FUENTE NO BORRAR'!G1446),""))</f>
        <v>7624.18</v>
      </c>
      <c r="H1428" s="6">
        <f>IF('FUENTE NO BORRAR'!H1446="","",IF('FUENTE NO BORRAR'!$A1446&lt;&gt;"Resultado total",('FUENTE NO BORRAR'!H1446),""))</f>
        <v>7624.18</v>
      </c>
      <c r="I1428" s="6">
        <f>IF('FUENTE NO BORRAR'!I1446="","",IF('FUENTE NO BORRAR'!$A1446&lt;&gt;"Resultado total",('FUENTE NO BORRAR'!I1446),""))</f>
        <v>0</v>
      </c>
    </row>
    <row r="1429" spans="1:9" x14ac:dyDescent="0.2">
      <c r="A1429" s="5" t="str">
        <f>IF('FUENTE NO BORRAR'!A1447="","",(IF('FUENTE NO BORRAR'!A1447&lt;&gt;"Resultado total",'FUENTE NO BORRAR'!A1447,"")))</f>
        <v/>
      </c>
      <c r="B1429" s="5" t="str">
        <f>IF('FUENTE NO BORRAR'!B1447="","",'FUENTE NO BORRAR'!B1447)</f>
        <v/>
      </c>
      <c r="C1429" s="5" t="str">
        <f>IF('FUENTE NO BORRAR'!C1447="","",'FUENTE NO BORRAR'!C1447)</f>
        <v/>
      </c>
      <c r="D1429" s="5" t="str">
        <f>IF('FUENTE NO BORRAR'!D1447="","",'FUENTE NO BORRAR'!D1447)</f>
        <v/>
      </c>
      <c r="E1429" s="5" t="str">
        <f>IF('FUENTE NO BORRAR'!E1447="","",'FUENTE NO BORRAR'!E1447)</f>
        <v/>
      </c>
      <c r="F1429" s="6">
        <f>IF('FUENTE NO BORRAR'!F1447="","",IF('FUENTE NO BORRAR'!$A1447&lt;&gt;"Resultado total",('FUENTE NO BORRAR'!F1447),""))</f>
        <v>0</v>
      </c>
      <c r="G1429" s="6">
        <f>IF('FUENTE NO BORRAR'!G1447="","",IF('FUENTE NO BORRAR'!$A1447&lt;&gt;"Resultado total",('FUENTE NO BORRAR'!G1447),""))</f>
        <v>0</v>
      </c>
      <c r="H1429" s="6">
        <f>IF('FUENTE NO BORRAR'!H1447="","",IF('FUENTE NO BORRAR'!$A1447&lt;&gt;"Resultado total",('FUENTE NO BORRAR'!H1447),""))</f>
        <v>0</v>
      </c>
      <c r="I1429" s="6">
        <f>IF('FUENTE NO BORRAR'!I1447="","",IF('FUENTE NO BORRAR'!$A1447&lt;&gt;"Resultado total",('FUENTE NO BORRAR'!I1447),""))</f>
        <v>0</v>
      </c>
    </row>
    <row r="1430" spans="1:9" x14ac:dyDescent="0.2">
      <c r="A1430" s="5" t="str">
        <f>IF('FUENTE NO BORRAR'!A1448="","",(IF('FUENTE NO BORRAR'!A1448&lt;&gt;"Resultado total",'FUENTE NO BORRAR'!A1448,"")))</f>
        <v/>
      </c>
      <c r="B1430" s="5" t="str">
        <f>IF('FUENTE NO BORRAR'!B1448="","",'FUENTE NO BORRAR'!B1448)</f>
        <v/>
      </c>
      <c r="C1430" s="5" t="str">
        <f>IF('FUENTE NO BORRAR'!C1448="","",'FUENTE NO BORRAR'!C1448)</f>
        <v/>
      </c>
      <c r="D1430" s="5" t="str">
        <f>IF('FUENTE NO BORRAR'!D1448="","",'FUENTE NO BORRAR'!D1448)</f>
        <v/>
      </c>
      <c r="E1430" s="5" t="str">
        <f>IF('FUENTE NO BORRAR'!E1448="","",'FUENTE NO BORRAR'!E1448)</f>
        <v/>
      </c>
      <c r="F1430" s="6">
        <f>IF('FUENTE NO BORRAR'!F1448="","",IF('FUENTE NO BORRAR'!$A1448&lt;&gt;"Resultado total",('FUENTE NO BORRAR'!F1448),""))</f>
        <v>133659.81</v>
      </c>
      <c r="G1430" s="6">
        <f>IF('FUENTE NO BORRAR'!G1448="","",IF('FUENTE NO BORRAR'!$A1448&lt;&gt;"Resultado total",('FUENTE NO BORRAR'!G1448),""))</f>
        <v>133659.81</v>
      </c>
      <c r="H1430" s="6">
        <f>IF('FUENTE NO BORRAR'!H1448="","",IF('FUENTE NO BORRAR'!$A1448&lt;&gt;"Resultado total",('FUENTE NO BORRAR'!H1448),""))</f>
        <v>133489.81</v>
      </c>
      <c r="I1430" s="6">
        <f>IF('FUENTE NO BORRAR'!I1448="","",IF('FUENTE NO BORRAR'!$A1448&lt;&gt;"Resultado total",('FUENTE NO BORRAR'!I1448),""))</f>
        <v>0</v>
      </c>
    </row>
    <row r="1431" spans="1:9" x14ac:dyDescent="0.2">
      <c r="A1431" s="5" t="str">
        <f>IF('FUENTE NO BORRAR'!A1449="","",(IF('FUENTE NO BORRAR'!A1449&lt;&gt;"Resultado total",'FUENTE NO BORRAR'!A1449,"")))</f>
        <v/>
      </c>
      <c r="B1431" s="5" t="str">
        <f>IF('FUENTE NO BORRAR'!B1449="","",'FUENTE NO BORRAR'!B1449)</f>
        <v/>
      </c>
      <c r="C1431" s="5" t="str">
        <f>IF('FUENTE NO BORRAR'!C1449="","",'FUENTE NO BORRAR'!C1449)</f>
        <v/>
      </c>
      <c r="D1431" s="5" t="str">
        <f>IF('FUENTE NO BORRAR'!D1449="","",'FUENTE NO BORRAR'!D1449)</f>
        <v/>
      </c>
      <c r="E1431" s="5" t="str">
        <f>IF('FUENTE NO BORRAR'!E1449="","",'FUENTE NO BORRAR'!E1449)</f>
        <v/>
      </c>
      <c r="F1431" s="6">
        <f>IF('FUENTE NO BORRAR'!F1449="","",IF('FUENTE NO BORRAR'!$A1449&lt;&gt;"Resultado total",('FUENTE NO BORRAR'!F1449),""))</f>
        <v>0</v>
      </c>
      <c r="G1431" s="6">
        <f>IF('FUENTE NO BORRAR'!G1449="","",IF('FUENTE NO BORRAR'!$A1449&lt;&gt;"Resultado total",('FUENTE NO BORRAR'!G1449),""))</f>
        <v>0</v>
      </c>
      <c r="H1431" s="6">
        <f>IF('FUENTE NO BORRAR'!H1449="","",IF('FUENTE NO BORRAR'!$A1449&lt;&gt;"Resultado total",('FUENTE NO BORRAR'!H1449),""))</f>
        <v>0</v>
      </c>
      <c r="I1431" s="6">
        <f>IF('FUENTE NO BORRAR'!I1449="","",IF('FUENTE NO BORRAR'!$A1449&lt;&gt;"Resultado total",('FUENTE NO BORRAR'!I1449),""))</f>
        <v>0</v>
      </c>
    </row>
    <row r="1432" spans="1:9" x14ac:dyDescent="0.2">
      <c r="A1432" s="5" t="str">
        <f>IF('FUENTE NO BORRAR'!A1450="","",(IF('FUENTE NO BORRAR'!A1450&lt;&gt;"Resultado total",'FUENTE NO BORRAR'!A1450,"")))</f>
        <v/>
      </c>
      <c r="B1432" s="5" t="str">
        <f>IF('FUENTE NO BORRAR'!B1450="","",'FUENTE NO BORRAR'!B1450)</f>
        <v/>
      </c>
      <c r="C1432" s="5" t="str">
        <f>IF('FUENTE NO BORRAR'!C1450="","",'FUENTE NO BORRAR'!C1450)</f>
        <v/>
      </c>
      <c r="D1432" s="5" t="str">
        <f>IF('FUENTE NO BORRAR'!D1450="","",'FUENTE NO BORRAR'!D1450)</f>
        <v/>
      </c>
      <c r="E1432" s="5" t="str">
        <f>IF('FUENTE NO BORRAR'!E1450="","",'FUENTE NO BORRAR'!E1450)</f>
        <v/>
      </c>
      <c r="F1432" s="6">
        <f>IF('FUENTE NO BORRAR'!F1450="","",IF('FUENTE NO BORRAR'!$A1450&lt;&gt;"Resultado total",('FUENTE NO BORRAR'!F1450),""))</f>
        <v>11212</v>
      </c>
      <c r="G1432" s="6">
        <f>IF('FUENTE NO BORRAR'!G1450="","",IF('FUENTE NO BORRAR'!$A1450&lt;&gt;"Resultado total",('FUENTE NO BORRAR'!G1450),""))</f>
        <v>11212</v>
      </c>
      <c r="H1432" s="6">
        <f>IF('FUENTE NO BORRAR'!H1450="","",IF('FUENTE NO BORRAR'!$A1450&lt;&gt;"Resultado total",('FUENTE NO BORRAR'!H1450),""))</f>
        <v>11212</v>
      </c>
      <c r="I1432" s="6">
        <f>IF('FUENTE NO BORRAR'!I1450="","",IF('FUENTE NO BORRAR'!$A1450&lt;&gt;"Resultado total",('FUENTE NO BORRAR'!I1450),""))</f>
        <v>0</v>
      </c>
    </row>
    <row r="1433" spans="1:9" x14ac:dyDescent="0.2">
      <c r="A1433" s="5" t="str">
        <f>IF('FUENTE NO BORRAR'!A1451="","",(IF('FUENTE NO BORRAR'!A1451&lt;&gt;"Resultado total",'FUENTE NO BORRAR'!A1451,"")))</f>
        <v/>
      </c>
      <c r="B1433" s="5" t="str">
        <f>IF('FUENTE NO BORRAR'!B1451="","",'FUENTE NO BORRAR'!B1451)</f>
        <v/>
      </c>
      <c r="C1433" s="5" t="str">
        <f>IF('FUENTE NO BORRAR'!C1451="","",'FUENTE NO BORRAR'!C1451)</f>
        <v/>
      </c>
      <c r="D1433" s="5" t="str">
        <f>IF('FUENTE NO BORRAR'!D1451="","",'FUENTE NO BORRAR'!D1451)</f>
        <v/>
      </c>
      <c r="E1433" s="5" t="str">
        <f>IF('FUENTE NO BORRAR'!E1451="","",'FUENTE NO BORRAR'!E1451)</f>
        <v/>
      </c>
      <c r="F1433" s="6">
        <f>IF('FUENTE NO BORRAR'!F1451="","",IF('FUENTE NO BORRAR'!$A1451&lt;&gt;"Resultado total",('FUENTE NO BORRAR'!F1451),""))</f>
        <v>27971.55</v>
      </c>
      <c r="G1433" s="6">
        <f>IF('FUENTE NO BORRAR'!G1451="","",IF('FUENTE NO BORRAR'!$A1451&lt;&gt;"Resultado total",('FUENTE NO BORRAR'!G1451),""))</f>
        <v>27971.55</v>
      </c>
      <c r="H1433" s="6">
        <f>IF('FUENTE NO BORRAR'!H1451="","",IF('FUENTE NO BORRAR'!$A1451&lt;&gt;"Resultado total",('FUENTE NO BORRAR'!H1451),""))</f>
        <v>27971.55</v>
      </c>
      <c r="I1433" s="6">
        <f>IF('FUENTE NO BORRAR'!I1451="","",IF('FUENTE NO BORRAR'!$A1451&lt;&gt;"Resultado total",('FUENTE NO BORRAR'!I1451),""))</f>
        <v>0</v>
      </c>
    </row>
    <row r="1434" spans="1:9" x14ac:dyDescent="0.2">
      <c r="A1434" s="5" t="str">
        <f>IF('FUENTE NO BORRAR'!A1452="","",(IF('FUENTE NO BORRAR'!A1452&lt;&gt;"Resultado total",'FUENTE NO BORRAR'!A1452,"")))</f>
        <v/>
      </c>
      <c r="B1434" s="5" t="str">
        <f>IF('FUENTE NO BORRAR'!B1452="","",'FUENTE NO BORRAR'!B1452)</f>
        <v/>
      </c>
      <c r="C1434" s="5" t="str">
        <f>IF('FUENTE NO BORRAR'!C1452="","",'FUENTE NO BORRAR'!C1452)</f>
        <v/>
      </c>
      <c r="D1434" s="5" t="str">
        <f>IF('FUENTE NO BORRAR'!D1452="","",'FUENTE NO BORRAR'!D1452)</f>
        <v/>
      </c>
      <c r="E1434" s="5" t="str">
        <f>IF('FUENTE NO BORRAR'!E1452="","",'FUENTE NO BORRAR'!E1452)</f>
        <v/>
      </c>
      <c r="F1434" s="6">
        <f>IF('FUENTE NO BORRAR'!F1452="","",IF('FUENTE NO BORRAR'!$A1452&lt;&gt;"Resultado total",('FUENTE NO BORRAR'!F1452),""))</f>
        <v>0</v>
      </c>
      <c r="G1434" s="6">
        <f>IF('FUENTE NO BORRAR'!G1452="","",IF('FUENTE NO BORRAR'!$A1452&lt;&gt;"Resultado total",('FUENTE NO BORRAR'!G1452),""))</f>
        <v>0</v>
      </c>
      <c r="H1434" s="6">
        <f>IF('FUENTE NO BORRAR'!H1452="","",IF('FUENTE NO BORRAR'!$A1452&lt;&gt;"Resultado total",('FUENTE NO BORRAR'!H1452),""))</f>
        <v>0</v>
      </c>
      <c r="I1434" s="6">
        <f>IF('FUENTE NO BORRAR'!I1452="","",IF('FUENTE NO BORRAR'!$A1452&lt;&gt;"Resultado total",('FUENTE NO BORRAR'!I1452),""))</f>
        <v>0</v>
      </c>
    </row>
    <row r="1435" spans="1:9" x14ac:dyDescent="0.2">
      <c r="A1435" s="5" t="str">
        <f>IF('FUENTE NO BORRAR'!A1453="","",(IF('FUENTE NO BORRAR'!A1453&lt;&gt;"Resultado total",'FUENTE NO BORRAR'!A1453,"")))</f>
        <v/>
      </c>
      <c r="B1435" s="5" t="str">
        <f>IF('FUENTE NO BORRAR'!B1453="","",'FUENTE NO BORRAR'!B1453)</f>
        <v/>
      </c>
      <c r="C1435" s="5" t="str">
        <f>IF('FUENTE NO BORRAR'!C1453="","",'FUENTE NO BORRAR'!C1453)</f>
        <v/>
      </c>
      <c r="D1435" s="5" t="str">
        <f>IF('FUENTE NO BORRAR'!D1453="","",'FUENTE NO BORRAR'!D1453)</f>
        <v/>
      </c>
      <c r="E1435" s="5" t="str">
        <f>IF('FUENTE NO BORRAR'!E1453="","",'FUENTE NO BORRAR'!E1453)</f>
        <v/>
      </c>
      <c r="F1435" s="6">
        <f>IF('FUENTE NO BORRAR'!F1453="","",IF('FUENTE NO BORRAR'!$A1453&lt;&gt;"Resultado total",('FUENTE NO BORRAR'!F1453),""))</f>
        <v>0</v>
      </c>
      <c r="G1435" s="6">
        <f>IF('FUENTE NO BORRAR'!G1453="","",IF('FUENTE NO BORRAR'!$A1453&lt;&gt;"Resultado total",('FUENTE NO BORRAR'!G1453),""))</f>
        <v>0</v>
      </c>
      <c r="H1435" s="6">
        <f>IF('FUENTE NO BORRAR'!H1453="","",IF('FUENTE NO BORRAR'!$A1453&lt;&gt;"Resultado total",('FUENTE NO BORRAR'!H1453),""))</f>
        <v>0</v>
      </c>
      <c r="I1435" s="6">
        <f>IF('FUENTE NO BORRAR'!I1453="","",IF('FUENTE NO BORRAR'!$A1453&lt;&gt;"Resultado total",('FUENTE NO BORRAR'!I1453),""))</f>
        <v>0</v>
      </c>
    </row>
    <row r="1436" spans="1:9" x14ac:dyDescent="0.2">
      <c r="A1436" s="5" t="str">
        <f>IF('FUENTE NO BORRAR'!A1454="","",(IF('FUENTE NO BORRAR'!A1454&lt;&gt;"Resultado total",'FUENTE NO BORRAR'!A1454,"")))</f>
        <v/>
      </c>
      <c r="B1436" s="5" t="str">
        <f>IF('FUENTE NO BORRAR'!B1454="","",'FUENTE NO BORRAR'!B1454)</f>
        <v/>
      </c>
      <c r="C1436" s="5" t="str">
        <f>IF('FUENTE NO BORRAR'!C1454="","",'FUENTE NO BORRAR'!C1454)</f>
        <v/>
      </c>
      <c r="D1436" s="5" t="str">
        <f>IF('FUENTE NO BORRAR'!D1454="","",'FUENTE NO BORRAR'!D1454)</f>
        <v/>
      </c>
      <c r="E1436" s="5" t="str">
        <f>IF('FUENTE NO BORRAR'!E1454="","",'FUENTE NO BORRAR'!E1454)</f>
        <v/>
      </c>
      <c r="F1436" s="6">
        <f>IF('FUENTE NO BORRAR'!F1454="","",IF('FUENTE NO BORRAR'!$A1454&lt;&gt;"Resultado total",('FUENTE NO BORRAR'!F1454),""))</f>
        <v>0</v>
      </c>
      <c r="G1436" s="6">
        <f>IF('FUENTE NO BORRAR'!G1454="","",IF('FUENTE NO BORRAR'!$A1454&lt;&gt;"Resultado total",('FUENTE NO BORRAR'!G1454),""))</f>
        <v>0</v>
      </c>
      <c r="H1436" s="6">
        <f>IF('FUENTE NO BORRAR'!H1454="","",IF('FUENTE NO BORRAR'!$A1454&lt;&gt;"Resultado total",('FUENTE NO BORRAR'!H1454),""))</f>
        <v>0</v>
      </c>
      <c r="I1436" s="6">
        <f>IF('FUENTE NO BORRAR'!I1454="","",IF('FUENTE NO BORRAR'!$A1454&lt;&gt;"Resultado total",('FUENTE NO BORRAR'!I1454),""))</f>
        <v>0</v>
      </c>
    </row>
    <row r="1437" spans="1:9" x14ac:dyDescent="0.2">
      <c r="A1437" s="5" t="str">
        <f>IF('FUENTE NO BORRAR'!A1455="","",(IF('FUENTE NO BORRAR'!A1455&lt;&gt;"Resultado total",'FUENTE NO BORRAR'!A1455,"")))</f>
        <v/>
      </c>
      <c r="B1437" s="5" t="str">
        <f>IF('FUENTE NO BORRAR'!B1455="","",'FUENTE NO BORRAR'!B1455)</f>
        <v/>
      </c>
      <c r="C1437" s="5" t="str">
        <f>IF('FUENTE NO BORRAR'!C1455="","",'FUENTE NO BORRAR'!C1455)</f>
        <v/>
      </c>
      <c r="D1437" s="5" t="str">
        <f>IF('FUENTE NO BORRAR'!D1455="","",'FUENTE NO BORRAR'!D1455)</f>
        <v/>
      </c>
      <c r="E1437" s="5" t="str">
        <f>IF('FUENTE NO BORRAR'!E1455="","",'FUENTE NO BORRAR'!E1455)</f>
        <v/>
      </c>
      <c r="F1437" s="6">
        <f>IF('FUENTE NO BORRAR'!F1455="","",IF('FUENTE NO BORRAR'!$A1455&lt;&gt;"Resultado total",('FUENTE NO BORRAR'!F1455),""))</f>
        <v>1246633.68</v>
      </c>
      <c r="G1437" s="6">
        <f>IF('FUENTE NO BORRAR'!G1455="","",IF('FUENTE NO BORRAR'!$A1455&lt;&gt;"Resultado total",('FUENTE NO BORRAR'!G1455),""))</f>
        <v>1246633.68</v>
      </c>
      <c r="H1437" s="6">
        <f>IF('FUENTE NO BORRAR'!H1455="","",IF('FUENTE NO BORRAR'!$A1455&lt;&gt;"Resultado total",('FUENTE NO BORRAR'!H1455),""))</f>
        <v>1142747.54</v>
      </c>
      <c r="I1437" s="6">
        <f>IF('FUENTE NO BORRAR'!I1455="","",IF('FUENTE NO BORRAR'!$A1455&lt;&gt;"Resultado total",('FUENTE NO BORRAR'!I1455),""))</f>
        <v>0</v>
      </c>
    </row>
    <row r="1438" spans="1:9" x14ac:dyDescent="0.2">
      <c r="A1438" s="5" t="str">
        <f>IF('FUENTE NO BORRAR'!A1456="","",(IF('FUENTE NO BORRAR'!A1456&lt;&gt;"Resultado total",'FUENTE NO BORRAR'!A1456,"")))</f>
        <v/>
      </c>
      <c r="B1438" s="5" t="str">
        <f>IF('FUENTE NO BORRAR'!B1456="","",'FUENTE NO BORRAR'!B1456)</f>
        <v/>
      </c>
      <c r="C1438" s="5" t="str">
        <f>IF('FUENTE NO BORRAR'!C1456="","",'FUENTE NO BORRAR'!C1456)</f>
        <v/>
      </c>
      <c r="D1438" s="5" t="str">
        <f>IF('FUENTE NO BORRAR'!D1456="","",'FUENTE NO BORRAR'!D1456)</f>
        <v/>
      </c>
      <c r="E1438" s="5" t="str">
        <f>IF('FUENTE NO BORRAR'!E1456="","",'FUENTE NO BORRAR'!E1456)</f>
        <v/>
      </c>
      <c r="F1438" s="6">
        <f>IF('FUENTE NO BORRAR'!F1456="","",IF('FUENTE NO BORRAR'!$A1456&lt;&gt;"Resultado total",('FUENTE NO BORRAR'!F1456),""))</f>
        <v>552300</v>
      </c>
      <c r="G1438" s="6">
        <f>IF('FUENTE NO BORRAR'!G1456="","",IF('FUENTE NO BORRAR'!$A1456&lt;&gt;"Resultado total",('FUENTE NO BORRAR'!G1456),""))</f>
        <v>552300</v>
      </c>
      <c r="H1438" s="6">
        <f>IF('FUENTE NO BORRAR'!H1456="","",IF('FUENTE NO BORRAR'!$A1456&lt;&gt;"Resultado total",('FUENTE NO BORRAR'!H1456),""))</f>
        <v>552300</v>
      </c>
      <c r="I1438" s="6">
        <f>IF('FUENTE NO BORRAR'!I1456="","",IF('FUENTE NO BORRAR'!$A1456&lt;&gt;"Resultado total",('FUENTE NO BORRAR'!I1456),""))</f>
        <v>0</v>
      </c>
    </row>
    <row r="1439" spans="1:9" x14ac:dyDescent="0.2">
      <c r="A1439" s="5" t="str">
        <f>IF('FUENTE NO BORRAR'!A1457="","",(IF('FUENTE NO BORRAR'!A1457&lt;&gt;"Resultado total",'FUENTE NO BORRAR'!A1457,"")))</f>
        <v/>
      </c>
      <c r="B1439" s="5" t="str">
        <f>IF('FUENTE NO BORRAR'!B1457="","",'FUENTE NO BORRAR'!B1457)</f>
        <v/>
      </c>
      <c r="C1439" s="5" t="str">
        <f>IF('FUENTE NO BORRAR'!C1457="","",'FUENTE NO BORRAR'!C1457)</f>
        <v/>
      </c>
      <c r="D1439" s="5" t="str">
        <f>IF('FUENTE NO BORRAR'!D1457="","",'FUENTE NO BORRAR'!D1457)</f>
        <v/>
      </c>
      <c r="E1439" s="5" t="str">
        <f>IF('FUENTE NO BORRAR'!E1457="","",'FUENTE NO BORRAR'!E1457)</f>
        <v/>
      </c>
      <c r="F1439" s="6">
        <f>IF('FUENTE NO BORRAR'!F1457="","",IF('FUENTE NO BORRAR'!$A1457&lt;&gt;"Resultado total",('FUENTE NO BORRAR'!F1457),""))</f>
        <v>104.4</v>
      </c>
      <c r="G1439" s="6">
        <f>IF('FUENTE NO BORRAR'!G1457="","",IF('FUENTE NO BORRAR'!$A1457&lt;&gt;"Resultado total",('FUENTE NO BORRAR'!G1457),""))</f>
        <v>104.4</v>
      </c>
      <c r="H1439" s="6">
        <f>IF('FUENTE NO BORRAR'!H1457="","",IF('FUENTE NO BORRAR'!$A1457&lt;&gt;"Resultado total",('FUENTE NO BORRAR'!H1457),""))</f>
        <v>104.4</v>
      </c>
      <c r="I1439" s="6">
        <f>IF('FUENTE NO BORRAR'!I1457="","",IF('FUENTE NO BORRAR'!$A1457&lt;&gt;"Resultado total",('FUENTE NO BORRAR'!I1457),""))</f>
        <v>0</v>
      </c>
    </row>
    <row r="1440" spans="1:9" x14ac:dyDescent="0.2">
      <c r="A1440" s="5" t="str">
        <f>IF('FUENTE NO BORRAR'!A1458="","",(IF('FUENTE NO BORRAR'!A1458&lt;&gt;"Resultado total",'FUENTE NO BORRAR'!A1458,"")))</f>
        <v/>
      </c>
      <c r="B1440" s="5" t="str">
        <f>IF('FUENTE NO BORRAR'!B1458="","",'FUENTE NO BORRAR'!B1458)</f>
        <v/>
      </c>
      <c r="C1440" s="5" t="str">
        <f>IF('FUENTE NO BORRAR'!C1458="","",'FUENTE NO BORRAR'!C1458)</f>
        <v/>
      </c>
      <c r="D1440" s="5" t="str">
        <f>IF('FUENTE NO BORRAR'!D1458="","",'FUENTE NO BORRAR'!D1458)</f>
        <v/>
      </c>
      <c r="E1440" s="5" t="str">
        <f>IF('FUENTE NO BORRAR'!E1458="","",'FUENTE NO BORRAR'!E1458)</f>
        <v/>
      </c>
      <c r="F1440" s="6">
        <f>IF('FUENTE NO BORRAR'!F1458="","",IF('FUENTE NO BORRAR'!$A1458&lt;&gt;"Resultado total",('FUENTE NO BORRAR'!F1458),""))</f>
        <v>154440.03</v>
      </c>
      <c r="G1440" s="6">
        <f>IF('FUENTE NO BORRAR'!G1458="","",IF('FUENTE NO BORRAR'!$A1458&lt;&gt;"Resultado total",('FUENTE NO BORRAR'!G1458),""))</f>
        <v>154440.03</v>
      </c>
      <c r="H1440" s="6">
        <f>IF('FUENTE NO BORRAR'!H1458="","",IF('FUENTE NO BORRAR'!$A1458&lt;&gt;"Resultado total",('FUENTE NO BORRAR'!H1458),""))</f>
        <v>138755.67000000001</v>
      </c>
      <c r="I1440" s="6">
        <f>IF('FUENTE NO BORRAR'!I1458="","",IF('FUENTE NO BORRAR'!$A1458&lt;&gt;"Resultado total",('FUENTE NO BORRAR'!I1458),""))</f>
        <v>0</v>
      </c>
    </row>
    <row r="1441" spans="1:9" x14ac:dyDescent="0.2">
      <c r="A1441" s="5" t="str">
        <f>IF('FUENTE NO BORRAR'!A1459="","",(IF('FUENTE NO BORRAR'!A1459&lt;&gt;"Resultado total",'FUENTE NO BORRAR'!A1459,"")))</f>
        <v/>
      </c>
      <c r="B1441" s="5" t="str">
        <f>IF('FUENTE NO BORRAR'!B1459="","",'FUENTE NO BORRAR'!B1459)</f>
        <v/>
      </c>
      <c r="C1441" s="5" t="str">
        <f>IF('FUENTE NO BORRAR'!C1459="","",'FUENTE NO BORRAR'!C1459)</f>
        <v/>
      </c>
      <c r="D1441" s="5" t="str">
        <f>IF('FUENTE NO BORRAR'!D1459="","",'FUENTE NO BORRAR'!D1459)</f>
        <v/>
      </c>
      <c r="E1441" s="5" t="str">
        <f>IF('FUENTE NO BORRAR'!E1459="","",'FUENTE NO BORRAR'!E1459)</f>
        <v/>
      </c>
      <c r="F1441" s="6">
        <f>IF('FUENTE NO BORRAR'!F1459="","",IF('FUENTE NO BORRAR'!$A1459&lt;&gt;"Resultado total",('FUENTE NO BORRAR'!F1459),""))</f>
        <v>15950</v>
      </c>
      <c r="G1441" s="6">
        <f>IF('FUENTE NO BORRAR'!G1459="","",IF('FUENTE NO BORRAR'!$A1459&lt;&gt;"Resultado total",('FUENTE NO BORRAR'!G1459),""))</f>
        <v>15950</v>
      </c>
      <c r="H1441" s="6">
        <f>IF('FUENTE NO BORRAR'!H1459="","",IF('FUENTE NO BORRAR'!$A1459&lt;&gt;"Resultado total",('FUENTE NO BORRAR'!H1459),""))</f>
        <v>1740</v>
      </c>
      <c r="I1441" s="6">
        <f>IF('FUENTE NO BORRAR'!I1459="","",IF('FUENTE NO BORRAR'!$A1459&lt;&gt;"Resultado total",('FUENTE NO BORRAR'!I1459),""))</f>
        <v>0</v>
      </c>
    </row>
    <row r="1442" spans="1:9" x14ac:dyDescent="0.2">
      <c r="A1442" s="5" t="str">
        <f>IF('FUENTE NO BORRAR'!A1460="","",(IF('FUENTE NO BORRAR'!A1460&lt;&gt;"Resultado total",'FUENTE NO BORRAR'!A1460,"")))</f>
        <v/>
      </c>
      <c r="B1442" s="5" t="str">
        <f>IF('FUENTE NO BORRAR'!B1460="","",'FUENTE NO BORRAR'!B1460)</f>
        <v/>
      </c>
      <c r="C1442" s="5" t="str">
        <f>IF('FUENTE NO BORRAR'!C1460="","",'FUENTE NO BORRAR'!C1460)</f>
        <v/>
      </c>
      <c r="D1442" s="5" t="str">
        <f>IF('FUENTE NO BORRAR'!D1460="","",'FUENTE NO BORRAR'!D1460)</f>
        <v/>
      </c>
      <c r="E1442" s="5" t="str">
        <f>IF('FUENTE NO BORRAR'!E1460="","",'FUENTE NO BORRAR'!E1460)</f>
        <v/>
      </c>
      <c r="F1442" s="6">
        <f>IF('FUENTE NO BORRAR'!F1460="","",IF('FUENTE NO BORRAR'!$A1460&lt;&gt;"Resultado total",('FUENTE NO BORRAR'!F1460),""))</f>
        <v>2784</v>
      </c>
      <c r="G1442" s="6">
        <f>IF('FUENTE NO BORRAR'!G1460="","",IF('FUENTE NO BORRAR'!$A1460&lt;&gt;"Resultado total",('FUENTE NO BORRAR'!G1460),""))</f>
        <v>2784</v>
      </c>
      <c r="H1442" s="6">
        <f>IF('FUENTE NO BORRAR'!H1460="","",IF('FUENTE NO BORRAR'!$A1460&lt;&gt;"Resultado total",('FUENTE NO BORRAR'!H1460),""))</f>
        <v>2784</v>
      </c>
      <c r="I1442" s="6">
        <f>IF('FUENTE NO BORRAR'!I1460="","",IF('FUENTE NO BORRAR'!$A1460&lt;&gt;"Resultado total",('FUENTE NO BORRAR'!I1460),""))</f>
        <v>0</v>
      </c>
    </row>
    <row r="1443" spans="1:9" x14ac:dyDescent="0.2">
      <c r="A1443" s="5" t="str">
        <f>IF('FUENTE NO BORRAR'!A1461="","",(IF('FUENTE NO BORRAR'!A1461&lt;&gt;"Resultado total",'FUENTE NO BORRAR'!A1461,"")))</f>
        <v/>
      </c>
      <c r="B1443" s="5" t="str">
        <f>IF('FUENTE NO BORRAR'!B1461="","",'FUENTE NO BORRAR'!B1461)</f>
        <v/>
      </c>
      <c r="C1443" s="5" t="str">
        <f>IF('FUENTE NO BORRAR'!C1461="","",'FUENTE NO BORRAR'!C1461)</f>
        <v/>
      </c>
      <c r="D1443" s="5" t="str">
        <f>IF('FUENTE NO BORRAR'!D1461="","",'FUENTE NO BORRAR'!D1461)</f>
        <v/>
      </c>
      <c r="E1443" s="5" t="str">
        <f>IF('FUENTE NO BORRAR'!E1461="","",'FUENTE NO BORRAR'!E1461)</f>
        <v/>
      </c>
      <c r="F1443" s="6">
        <f>IF('FUENTE NO BORRAR'!F1461="","",IF('FUENTE NO BORRAR'!$A1461&lt;&gt;"Resultado total",('FUENTE NO BORRAR'!F1461),""))</f>
        <v>55013</v>
      </c>
      <c r="G1443" s="6">
        <f>IF('FUENTE NO BORRAR'!G1461="","",IF('FUENTE NO BORRAR'!$A1461&lt;&gt;"Resultado total",('FUENTE NO BORRAR'!G1461),""))</f>
        <v>55013</v>
      </c>
      <c r="H1443" s="6">
        <f>IF('FUENTE NO BORRAR'!H1461="","",IF('FUENTE NO BORRAR'!$A1461&lt;&gt;"Resultado total",('FUENTE NO BORRAR'!H1461),""))</f>
        <v>0</v>
      </c>
      <c r="I1443" s="6">
        <f>IF('FUENTE NO BORRAR'!I1461="","",IF('FUENTE NO BORRAR'!$A1461&lt;&gt;"Resultado total",('FUENTE NO BORRAR'!I1461),""))</f>
        <v>0</v>
      </c>
    </row>
    <row r="1444" spans="1:9" x14ac:dyDescent="0.2">
      <c r="A1444" s="5" t="str">
        <f>IF('FUENTE NO BORRAR'!A1462="","",(IF('FUENTE NO BORRAR'!A1462&lt;&gt;"Resultado total",'FUENTE NO BORRAR'!A1462,"")))</f>
        <v/>
      </c>
      <c r="B1444" s="5" t="str">
        <f>IF('FUENTE NO BORRAR'!B1462="","",'FUENTE NO BORRAR'!B1462)</f>
        <v/>
      </c>
      <c r="C1444" s="5" t="str">
        <f>IF('FUENTE NO BORRAR'!C1462="","",'FUENTE NO BORRAR'!C1462)</f>
        <v/>
      </c>
      <c r="D1444" s="5" t="str">
        <f>IF('FUENTE NO BORRAR'!D1462="","",'FUENTE NO BORRAR'!D1462)</f>
        <v/>
      </c>
      <c r="E1444" s="5" t="str">
        <f>IF('FUENTE NO BORRAR'!E1462="","",'FUENTE NO BORRAR'!E1462)</f>
        <v/>
      </c>
      <c r="F1444" s="6">
        <f>IF('FUENTE NO BORRAR'!F1462="","",IF('FUENTE NO BORRAR'!$A1462&lt;&gt;"Resultado total",('FUENTE NO BORRAR'!F1462),""))</f>
        <v>3584.4</v>
      </c>
      <c r="G1444" s="6">
        <f>IF('FUENTE NO BORRAR'!G1462="","",IF('FUENTE NO BORRAR'!$A1462&lt;&gt;"Resultado total",('FUENTE NO BORRAR'!G1462),""))</f>
        <v>3584.4</v>
      </c>
      <c r="H1444" s="6">
        <f>IF('FUENTE NO BORRAR'!H1462="","",IF('FUENTE NO BORRAR'!$A1462&lt;&gt;"Resultado total",('FUENTE NO BORRAR'!H1462),""))</f>
        <v>3584.4</v>
      </c>
      <c r="I1444" s="6">
        <f>IF('FUENTE NO BORRAR'!I1462="","",IF('FUENTE NO BORRAR'!$A1462&lt;&gt;"Resultado total",('FUENTE NO BORRAR'!I1462),""))</f>
        <v>0</v>
      </c>
    </row>
    <row r="1445" spans="1:9" x14ac:dyDescent="0.2">
      <c r="A1445" s="5" t="str">
        <f>IF('FUENTE NO BORRAR'!A1463="","",(IF('FUENTE NO BORRAR'!A1463&lt;&gt;"Resultado total",'FUENTE NO BORRAR'!A1463,"")))</f>
        <v/>
      </c>
      <c r="B1445" s="5" t="str">
        <f>IF('FUENTE NO BORRAR'!B1463="","",'FUENTE NO BORRAR'!B1463)</f>
        <v/>
      </c>
      <c r="C1445" s="5" t="str">
        <f>IF('FUENTE NO BORRAR'!C1463="","",'FUENTE NO BORRAR'!C1463)</f>
        <v/>
      </c>
      <c r="D1445" s="5" t="str">
        <f>IF('FUENTE NO BORRAR'!D1463="","",'FUENTE NO BORRAR'!D1463)</f>
        <v/>
      </c>
      <c r="E1445" s="5" t="str">
        <f>IF('FUENTE NO BORRAR'!E1463="","",'FUENTE NO BORRAR'!E1463)</f>
        <v/>
      </c>
      <c r="F1445" s="6">
        <f>IF('FUENTE NO BORRAR'!F1463="","",IF('FUENTE NO BORRAR'!$A1463&lt;&gt;"Resultado total",('FUENTE NO BORRAR'!F1463),""))</f>
        <v>4952216.55</v>
      </c>
      <c r="G1445" s="6">
        <f>IF('FUENTE NO BORRAR'!G1463="","",IF('FUENTE NO BORRAR'!$A1463&lt;&gt;"Resultado total",('FUENTE NO BORRAR'!G1463),""))</f>
        <v>4952216.55</v>
      </c>
      <c r="H1445" s="6">
        <f>IF('FUENTE NO BORRAR'!H1463="","",IF('FUENTE NO BORRAR'!$A1463&lt;&gt;"Resultado total",('FUENTE NO BORRAR'!H1463),""))</f>
        <v>3999094.88</v>
      </c>
      <c r="I1445" s="6">
        <f>IF('FUENTE NO BORRAR'!I1463="","",IF('FUENTE NO BORRAR'!$A1463&lt;&gt;"Resultado total",('FUENTE NO BORRAR'!I1463),""))</f>
        <v>0</v>
      </c>
    </row>
    <row r="1446" spans="1:9" x14ac:dyDescent="0.2">
      <c r="A1446" s="5" t="str">
        <f>IF('FUENTE NO BORRAR'!A1464="","",(IF('FUENTE NO BORRAR'!A1464&lt;&gt;"Resultado total",'FUENTE NO BORRAR'!A1464,"")))</f>
        <v/>
      </c>
      <c r="B1446" s="5" t="str">
        <f>IF('FUENTE NO BORRAR'!B1464="","",'FUENTE NO BORRAR'!B1464)</f>
        <v/>
      </c>
      <c r="C1446" s="5" t="str">
        <f>IF('FUENTE NO BORRAR'!C1464="","",'FUENTE NO BORRAR'!C1464)</f>
        <v/>
      </c>
      <c r="D1446" s="5" t="str">
        <f>IF('FUENTE NO BORRAR'!D1464="","",'FUENTE NO BORRAR'!D1464)</f>
        <v/>
      </c>
      <c r="E1446" s="5" t="str">
        <f>IF('FUENTE NO BORRAR'!E1464="","",'FUENTE NO BORRAR'!E1464)</f>
        <v/>
      </c>
      <c r="F1446" s="6">
        <f>IF('FUENTE NO BORRAR'!F1464="","",IF('FUENTE NO BORRAR'!$A1464&lt;&gt;"Resultado total",('FUENTE NO BORRAR'!F1464),""))</f>
        <v>371367.79</v>
      </c>
      <c r="G1446" s="6">
        <f>IF('FUENTE NO BORRAR'!G1464="","",IF('FUENTE NO BORRAR'!$A1464&lt;&gt;"Resultado total",('FUENTE NO BORRAR'!G1464),""))</f>
        <v>371367.79</v>
      </c>
      <c r="H1446" s="6">
        <f>IF('FUENTE NO BORRAR'!H1464="","",IF('FUENTE NO BORRAR'!$A1464&lt;&gt;"Resultado total",('FUENTE NO BORRAR'!H1464),""))</f>
        <v>175187.45</v>
      </c>
      <c r="I1446" s="6">
        <f>IF('FUENTE NO BORRAR'!I1464="","",IF('FUENTE NO BORRAR'!$A1464&lt;&gt;"Resultado total",('FUENTE NO BORRAR'!I1464),""))</f>
        <v>0</v>
      </c>
    </row>
    <row r="1447" spans="1:9" x14ac:dyDescent="0.2">
      <c r="A1447" s="5" t="str">
        <f>IF('FUENTE NO BORRAR'!A1465="","",(IF('FUENTE NO BORRAR'!A1465&lt;&gt;"Resultado total",'FUENTE NO BORRAR'!A1465,"")))</f>
        <v/>
      </c>
      <c r="B1447" s="5" t="str">
        <f>IF('FUENTE NO BORRAR'!B1465="","",'FUENTE NO BORRAR'!B1465)</f>
        <v/>
      </c>
      <c r="C1447" s="5" t="str">
        <f>IF('FUENTE NO BORRAR'!C1465="","",'FUENTE NO BORRAR'!C1465)</f>
        <v/>
      </c>
      <c r="D1447" s="5" t="str">
        <f>IF('FUENTE NO BORRAR'!D1465="","",'FUENTE NO BORRAR'!D1465)</f>
        <v/>
      </c>
      <c r="E1447" s="5" t="str">
        <f>IF('FUENTE NO BORRAR'!E1465="","",'FUENTE NO BORRAR'!E1465)</f>
        <v/>
      </c>
      <c r="F1447" s="6">
        <f>IF('FUENTE NO BORRAR'!F1465="","",IF('FUENTE NO BORRAR'!$A1465&lt;&gt;"Resultado total",('FUENTE NO BORRAR'!F1465),""))</f>
        <v>43546.15</v>
      </c>
      <c r="G1447" s="6">
        <f>IF('FUENTE NO BORRAR'!G1465="","",IF('FUENTE NO BORRAR'!$A1465&lt;&gt;"Resultado total",('FUENTE NO BORRAR'!G1465),""))</f>
        <v>43546.15</v>
      </c>
      <c r="H1447" s="6">
        <f>IF('FUENTE NO BORRAR'!H1465="","",IF('FUENTE NO BORRAR'!$A1465&lt;&gt;"Resultado total",('FUENTE NO BORRAR'!H1465),""))</f>
        <v>43546.15</v>
      </c>
      <c r="I1447" s="6">
        <f>IF('FUENTE NO BORRAR'!I1465="","",IF('FUENTE NO BORRAR'!$A1465&lt;&gt;"Resultado total",('FUENTE NO BORRAR'!I1465),""))</f>
        <v>0</v>
      </c>
    </row>
    <row r="1448" spans="1:9" x14ac:dyDescent="0.2">
      <c r="A1448" s="5" t="str">
        <f>IF('FUENTE NO BORRAR'!A1466="","",(IF('FUENTE NO BORRAR'!A1466&lt;&gt;"Resultado total",'FUENTE NO BORRAR'!A1466,"")))</f>
        <v/>
      </c>
      <c r="B1448" s="5" t="str">
        <f>IF('FUENTE NO BORRAR'!B1466="","",'FUENTE NO BORRAR'!B1466)</f>
        <v/>
      </c>
      <c r="C1448" s="5" t="str">
        <f>IF('FUENTE NO BORRAR'!C1466="","",'FUENTE NO BORRAR'!C1466)</f>
        <v/>
      </c>
      <c r="D1448" s="5" t="str">
        <f>IF('FUENTE NO BORRAR'!D1466="","",'FUENTE NO BORRAR'!D1466)</f>
        <v/>
      </c>
      <c r="E1448" s="5" t="str">
        <f>IF('FUENTE NO BORRAR'!E1466="","",'FUENTE NO BORRAR'!E1466)</f>
        <v/>
      </c>
      <c r="F1448" s="6">
        <f>IF('FUENTE NO BORRAR'!F1466="","",IF('FUENTE NO BORRAR'!$A1466&lt;&gt;"Resultado total",('FUENTE NO BORRAR'!F1466),""))</f>
        <v>43618.76</v>
      </c>
      <c r="G1448" s="6">
        <f>IF('FUENTE NO BORRAR'!G1466="","",IF('FUENTE NO BORRAR'!$A1466&lt;&gt;"Resultado total",('FUENTE NO BORRAR'!G1466),""))</f>
        <v>43618.76</v>
      </c>
      <c r="H1448" s="6">
        <f>IF('FUENTE NO BORRAR'!H1466="","",IF('FUENTE NO BORRAR'!$A1466&lt;&gt;"Resultado total",('FUENTE NO BORRAR'!H1466),""))</f>
        <v>13678.72</v>
      </c>
      <c r="I1448" s="6">
        <f>IF('FUENTE NO BORRAR'!I1466="","",IF('FUENTE NO BORRAR'!$A1466&lt;&gt;"Resultado total",('FUENTE NO BORRAR'!I1466),""))</f>
        <v>0</v>
      </c>
    </row>
    <row r="1449" spans="1:9" x14ac:dyDescent="0.2">
      <c r="A1449" s="5" t="str">
        <f>IF('FUENTE NO BORRAR'!A1467="","",(IF('FUENTE NO BORRAR'!A1467&lt;&gt;"Resultado total",'FUENTE NO BORRAR'!A1467,"")))</f>
        <v/>
      </c>
      <c r="B1449" s="5" t="str">
        <f>IF('FUENTE NO BORRAR'!B1467="","",'FUENTE NO BORRAR'!B1467)</f>
        <v/>
      </c>
      <c r="C1449" s="5" t="str">
        <f>IF('FUENTE NO BORRAR'!C1467="","",'FUENTE NO BORRAR'!C1467)</f>
        <v/>
      </c>
      <c r="D1449" s="5" t="str">
        <f>IF('FUENTE NO BORRAR'!D1467="","",'FUENTE NO BORRAR'!D1467)</f>
        <v/>
      </c>
      <c r="E1449" s="5" t="str">
        <f>IF('FUENTE NO BORRAR'!E1467="","",'FUENTE NO BORRAR'!E1467)</f>
        <v/>
      </c>
      <c r="F1449" s="6">
        <f>IF('FUENTE NO BORRAR'!F1467="","",IF('FUENTE NO BORRAR'!$A1467&lt;&gt;"Resultado total",('FUENTE NO BORRAR'!F1467),""))</f>
        <v>0</v>
      </c>
      <c r="G1449" s="6">
        <f>IF('FUENTE NO BORRAR'!G1467="","",IF('FUENTE NO BORRAR'!$A1467&lt;&gt;"Resultado total",('FUENTE NO BORRAR'!G1467),""))</f>
        <v>0</v>
      </c>
      <c r="H1449" s="6">
        <f>IF('FUENTE NO BORRAR'!H1467="","",IF('FUENTE NO BORRAR'!$A1467&lt;&gt;"Resultado total",('FUENTE NO BORRAR'!H1467),""))</f>
        <v>0</v>
      </c>
      <c r="I1449" s="6">
        <f>IF('FUENTE NO BORRAR'!I1467="","",IF('FUENTE NO BORRAR'!$A1467&lt;&gt;"Resultado total",('FUENTE NO BORRAR'!I1467),""))</f>
        <v>0</v>
      </c>
    </row>
    <row r="1450" spans="1:9" x14ac:dyDescent="0.2">
      <c r="A1450" s="5" t="str">
        <f>IF('FUENTE NO BORRAR'!A1468="","",(IF('FUENTE NO BORRAR'!A1468&lt;&gt;"Resultado total",'FUENTE NO BORRAR'!A1468,"")))</f>
        <v/>
      </c>
      <c r="B1450" s="5" t="str">
        <f>IF('FUENTE NO BORRAR'!B1468="","",'FUENTE NO BORRAR'!B1468)</f>
        <v/>
      </c>
      <c r="C1450" s="5" t="str">
        <f>IF('FUENTE NO BORRAR'!C1468="","",'FUENTE NO BORRAR'!C1468)</f>
        <v/>
      </c>
      <c r="D1450" s="5" t="str">
        <f>IF('FUENTE NO BORRAR'!D1468="","",'FUENTE NO BORRAR'!D1468)</f>
        <v/>
      </c>
      <c r="E1450" s="5" t="str">
        <f>IF('FUENTE NO BORRAR'!E1468="","",'FUENTE NO BORRAR'!E1468)</f>
        <v/>
      </c>
      <c r="F1450" s="6">
        <f>IF('FUENTE NO BORRAR'!F1468="","",IF('FUENTE NO BORRAR'!$A1468&lt;&gt;"Resultado total",('FUENTE NO BORRAR'!F1468),""))</f>
        <v>9819.98</v>
      </c>
      <c r="G1450" s="6">
        <f>IF('FUENTE NO BORRAR'!G1468="","",IF('FUENTE NO BORRAR'!$A1468&lt;&gt;"Resultado total",('FUENTE NO BORRAR'!G1468),""))</f>
        <v>9819.98</v>
      </c>
      <c r="H1450" s="6">
        <f>IF('FUENTE NO BORRAR'!H1468="","",IF('FUENTE NO BORRAR'!$A1468&lt;&gt;"Resultado total",('FUENTE NO BORRAR'!H1468),""))</f>
        <v>9819.98</v>
      </c>
      <c r="I1450" s="6">
        <f>IF('FUENTE NO BORRAR'!I1468="","",IF('FUENTE NO BORRAR'!$A1468&lt;&gt;"Resultado total",('FUENTE NO BORRAR'!I1468),""))</f>
        <v>0</v>
      </c>
    </row>
    <row r="1451" spans="1:9" x14ac:dyDescent="0.2">
      <c r="A1451" s="5" t="str">
        <f>IF('FUENTE NO BORRAR'!A1469="","",(IF('FUENTE NO BORRAR'!A1469&lt;&gt;"Resultado total",'FUENTE NO BORRAR'!A1469,"")))</f>
        <v/>
      </c>
      <c r="B1451" s="5" t="str">
        <f>IF('FUENTE NO BORRAR'!B1469="","",'FUENTE NO BORRAR'!B1469)</f>
        <v/>
      </c>
      <c r="C1451" s="5" t="str">
        <f>IF('FUENTE NO BORRAR'!C1469="","",'FUENTE NO BORRAR'!C1469)</f>
        <v/>
      </c>
      <c r="D1451" s="5" t="str">
        <f>IF('FUENTE NO BORRAR'!D1469="","",'FUENTE NO BORRAR'!D1469)</f>
        <v/>
      </c>
      <c r="E1451" s="5" t="str">
        <f>IF('FUENTE NO BORRAR'!E1469="","",'FUENTE NO BORRAR'!E1469)</f>
        <v/>
      </c>
      <c r="F1451" s="6">
        <f>IF('FUENTE NO BORRAR'!F1469="","",IF('FUENTE NO BORRAR'!$A1469&lt;&gt;"Resultado total",('FUENTE NO BORRAR'!F1469),""))</f>
        <v>1775</v>
      </c>
      <c r="G1451" s="6">
        <f>IF('FUENTE NO BORRAR'!G1469="","",IF('FUENTE NO BORRAR'!$A1469&lt;&gt;"Resultado total",('FUENTE NO BORRAR'!G1469),""))</f>
        <v>1775</v>
      </c>
      <c r="H1451" s="6">
        <f>IF('FUENTE NO BORRAR'!H1469="","",IF('FUENTE NO BORRAR'!$A1469&lt;&gt;"Resultado total",('FUENTE NO BORRAR'!H1469),""))</f>
        <v>1775</v>
      </c>
      <c r="I1451" s="6">
        <f>IF('FUENTE NO BORRAR'!I1469="","",IF('FUENTE NO BORRAR'!$A1469&lt;&gt;"Resultado total",('FUENTE NO BORRAR'!I1469),""))</f>
        <v>0</v>
      </c>
    </row>
    <row r="1452" spans="1:9" x14ac:dyDescent="0.2">
      <c r="A1452" s="5" t="str">
        <f>IF('FUENTE NO BORRAR'!A1470="","",(IF('FUENTE NO BORRAR'!A1470&lt;&gt;"Resultado total",'FUENTE NO BORRAR'!A1470,"")))</f>
        <v/>
      </c>
      <c r="B1452" s="5" t="str">
        <f>IF('FUENTE NO BORRAR'!B1470="","",'FUENTE NO BORRAR'!B1470)</f>
        <v/>
      </c>
      <c r="C1452" s="5" t="str">
        <f>IF('FUENTE NO BORRAR'!C1470="","",'FUENTE NO BORRAR'!C1470)</f>
        <v/>
      </c>
      <c r="D1452" s="5" t="str">
        <f>IF('FUENTE NO BORRAR'!D1470="","",'FUENTE NO BORRAR'!D1470)</f>
        <v/>
      </c>
      <c r="E1452" s="5" t="str">
        <f>IF('FUENTE NO BORRAR'!E1470="","",'FUENTE NO BORRAR'!E1470)</f>
        <v/>
      </c>
      <c r="F1452" s="6">
        <f>IF('FUENTE NO BORRAR'!F1470="","",IF('FUENTE NO BORRAR'!$A1470&lt;&gt;"Resultado total",('FUENTE NO BORRAR'!F1470),""))</f>
        <v>0</v>
      </c>
      <c r="G1452" s="6">
        <f>IF('FUENTE NO BORRAR'!G1470="","",IF('FUENTE NO BORRAR'!$A1470&lt;&gt;"Resultado total",('FUENTE NO BORRAR'!G1470),""))</f>
        <v>0</v>
      </c>
      <c r="H1452" s="6">
        <f>IF('FUENTE NO BORRAR'!H1470="","",IF('FUENTE NO BORRAR'!$A1470&lt;&gt;"Resultado total",('FUENTE NO BORRAR'!H1470),""))</f>
        <v>0</v>
      </c>
      <c r="I1452" s="6">
        <f>IF('FUENTE NO BORRAR'!I1470="","",IF('FUENTE NO BORRAR'!$A1470&lt;&gt;"Resultado total",('FUENTE NO BORRAR'!I1470),""))</f>
        <v>0</v>
      </c>
    </row>
    <row r="1453" spans="1:9" x14ac:dyDescent="0.2">
      <c r="A1453" s="5" t="str">
        <f>IF('FUENTE NO BORRAR'!A1471="","",(IF('FUENTE NO BORRAR'!A1471&lt;&gt;"Resultado total",'FUENTE NO BORRAR'!A1471,"")))</f>
        <v/>
      </c>
      <c r="B1453" s="5" t="str">
        <f>IF('FUENTE NO BORRAR'!B1471="","",'FUENTE NO BORRAR'!B1471)</f>
        <v/>
      </c>
      <c r="C1453" s="5" t="str">
        <f>IF('FUENTE NO BORRAR'!C1471="","",'FUENTE NO BORRAR'!C1471)</f>
        <v/>
      </c>
      <c r="D1453" s="5" t="str">
        <f>IF('FUENTE NO BORRAR'!D1471="","",'FUENTE NO BORRAR'!D1471)</f>
        <v/>
      </c>
      <c r="E1453" s="5" t="str">
        <f>IF('FUENTE NO BORRAR'!E1471="","",'FUENTE NO BORRAR'!E1471)</f>
        <v/>
      </c>
      <c r="F1453" s="6">
        <f>IF('FUENTE NO BORRAR'!F1471="","",IF('FUENTE NO BORRAR'!$A1471&lt;&gt;"Resultado total",('FUENTE NO BORRAR'!F1471),""))</f>
        <v>1710024</v>
      </c>
      <c r="G1453" s="6">
        <f>IF('FUENTE NO BORRAR'!G1471="","",IF('FUENTE NO BORRAR'!$A1471&lt;&gt;"Resultado total",('FUENTE NO BORRAR'!G1471),""))</f>
        <v>1710024</v>
      </c>
      <c r="H1453" s="6">
        <f>IF('FUENTE NO BORRAR'!H1471="","",IF('FUENTE NO BORRAR'!$A1471&lt;&gt;"Resultado total",('FUENTE NO BORRAR'!H1471),""))</f>
        <v>1525600</v>
      </c>
      <c r="I1453" s="6">
        <f>IF('FUENTE NO BORRAR'!I1471="","",IF('FUENTE NO BORRAR'!$A1471&lt;&gt;"Resultado total",('FUENTE NO BORRAR'!I1471),""))</f>
        <v>0</v>
      </c>
    </row>
    <row r="1454" spans="1:9" x14ac:dyDescent="0.2">
      <c r="A1454" s="5" t="str">
        <f>IF('FUENTE NO BORRAR'!A1472="","",(IF('FUENTE NO BORRAR'!A1472&lt;&gt;"Resultado total",'FUENTE NO BORRAR'!A1472,"")))</f>
        <v/>
      </c>
      <c r="B1454" s="5" t="str">
        <f>IF('FUENTE NO BORRAR'!B1472="","",'FUENTE NO BORRAR'!B1472)</f>
        <v/>
      </c>
      <c r="C1454" s="5" t="str">
        <f>IF('FUENTE NO BORRAR'!C1472="","",'FUENTE NO BORRAR'!C1472)</f>
        <v/>
      </c>
      <c r="D1454" s="5" t="str">
        <f>IF('FUENTE NO BORRAR'!D1472="","",'FUENTE NO BORRAR'!D1472)</f>
        <v/>
      </c>
      <c r="E1454" s="5" t="str">
        <f>IF('FUENTE NO BORRAR'!E1472="","",'FUENTE NO BORRAR'!E1472)</f>
        <v/>
      </c>
      <c r="F1454" s="6">
        <f>IF('FUENTE NO BORRAR'!F1472="","",IF('FUENTE NO BORRAR'!$A1472&lt;&gt;"Resultado total",('FUENTE NO BORRAR'!F1472),""))</f>
        <v>12972</v>
      </c>
      <c r="G1454" s="6">
        <f>IF('FUENTE NO BORRAR'!G1472="","",IF('FUENTE NO BORRAR'!$A1472&lt;&gt;"Resultado total",('FUENTE NO BORRAR'!G1472),""))</f>
        <v>12972</v>
      </c>
      <c r="H1454" s="6">
        <f>IF('FUENTE NO BORRAR'!H1472="","",IF('FUENTE NO BORRAR'!$A1472&lt;&gt;"Resultado total",('FUENTE NO BORRAR'!H1472),""))</f>
        <v>12972</v>
      </c>
      <c r="I1454" s="6">
        <f>IF('FUENTE NO BORRAR'!I1472="","",IF('FUENTE NO BORRAR'!$A1472&lt;&gt;"Resultado total",('FUENTE NO BORRAR'!I1472),""))</f>
        <v>0</v>
      </c>
    </row>
    <row r="1455" spans="1:9" x14ac:dyDescent="0.2">
      <c r="A1455" s="5" t="str">
        <f>IF('FUENTE NO BORRAR'!A1473="","",(IF('FUENTE NO BORRAR'!A1473&lt;&gt;"Resultado total",'FUENTE NO BORRAR'!A1473,"")))</f>
        <v/>
      </c>
      <c r="B1455" s="5" t="str">
        <f>IF('FUENTE NO BORRAR'!B1473="","",'FUENTE NO BORRAR'!B1473)</f>
        <v/>
      </c>
      <c r="C1455" s="5" t="str">
        <f>IF('FUENTE NO BORRAR'!C1473="","",'FUENTE NO BORRAR'!C1473)</f>
        <v/>
      </c>
      <c r="D1455" s="5" t="str">
        <f>IF('FUENTE NO BORRAR'!D1473="","",'FUENTE NO BORRAR'!D1473)</f>
        <v/>
      </c>
      <c r="E1455" s="5" t="str">
        <f>IF('FUENTE NO BORRAR'!E1473="","",'FUENTE NO BORRAR'!E1473)</f>
        <v/>
      </c>
      <c r="F1455" s="6">
        <f>IF('FUENTE NO BORRAR'!F1473="","",IF('FUENTE NO BORRAR'!$A1473&lt;&gt;"Resultado total",('FUENTE NO BORRAR'!F1473),""))</f>
        <v>1102</v>
      </c>
      <c r="G1455" s="6">
        <f>IF('FUENTE NO BORRAR'!G1473="","",IF('FUENTE NO BORRAR'!$A1473&lt;&gt;"Resultado total",('FUENTE NO BORRAR'!G1473),""))</f>
        <v>1102</v>
      </c>
      <c r="H1455" s="6">
        <f>IF('FUENTE NO BORRAR'!H1473="","",IF('FUENTE NO BORRAR'!$A1473&lt;&gt;"Resultado total",('FUENTE NO BORRAR'!H1473),""))</f>
        <v>1102</v>
      </c>
      <c r="I1455" s="6">
        <f>IF('FUENTE NO BORRAR'!I1473="","",IF('FUENTE NO BORRAR'!$A1473&lt;&gt;"Resultado total",('FUENTE NO BORRAR'!I1473),""))</f>
        <v>0</v>
      </c>
    </row>
    <row r="1456" spans="1:9" x14ac:dyDescent="0.2">
      <c r="A1456" s="5" t="str">
        <f>IF('FUENTE NO BORRAR'!A1474="","",(IF('FUENTE NO BORRAR'!A1474&lt;&gt;"Resultado total",'FUENTE NO BORRAR'!A1474,"")))</f>
        <v/>
      </c>
      <c r="B1456" s="5" t="str">
        <f>IF('FUENTE NO BORRAR'!B1474="","",'FUENTE NO BORRAR'!B1474)</f>
        <v/>
      </c>
      <c r="C1456" s="5" t="str">
        <f>IF('FUENTE NO BORRAR'!C1474="","",'FUENTE NO BORRAR'!C1474)</f>
        <v/>
      </c>
      <c r="D1456" s="5" t="str">
        <f>IF('FUENTE NO BORRAR'!D1474="","",'FUENTE NO BORRAR'!D1474)</f>
        <v/>
      </c>
      <c r="E1456" s="5" t="str">
        <f>IF('FUENTE NO BORRAR'!E1474="","",'FUENTE NO BORRAR'!E1474)</f>
        <v/>
      </c>
      <c r="F1456" s="6">
        <f>IF('FUENTE NO BORRAR'!F1474="","",IF('FUENTE NO BORRAR'!$A1474&lt;&gt;"Resultado total",('FUENTE NO BORRAR'!F1474),""))</f>
        <v>8872638.8000000007</v>
      </c>
      <c r="G1456" s="6">
        <f>IF('FUENTE NO BORRAR'!G1474="","",IF('FUENTE NO BORRAR'!$A1474&lt;&gt;"Resultado total",('FUENTE NO BORRAR'!G1474),""))</f>
        <v>8872638.8000000007</v>
      </c>
      <c r="H1456" s="6">
        <f>IF('FUENTE NO BORRAR'!H1474="","",IF('FUENTE NO BORRAR'!$A1474&lt;&gt;"Resultado total",('FUENTE NO BORRAR'!H1474),""))</f>
        <v>8872638.8000000007</v>
      </c>
      <c r="I1456" s="6">
        <f>IF('FUENTE NO BORRAR'!I1474="","",IF('FUENTE NO BORRAR'!$A1474&lt;&gt;"Resultado total",('FUENTE NO BORRAR'!I1474),""))</f>
        <v>0</v>
      </c>
    </row>
    <row r="1457" spans="1:9" x14ac:dyDescent="0.2">
      <c r="A1457" s="5" t="str">
        <f>IF('FUENTE NO BORRAR'!A1475="","",(IF('FUENTE NO BORRAR'!A1475&lt;&gt;"Resultado total",'FUENTE NO BORRAR'!A1475,"")))</f>
        <v/>
      </c>
      <c r="B1457" s="5" t="str">
        <f>IF('FUENTE NO BORRAR'!B1475="","",'FUENTE NO BORRAR'!B1475)</f>
        <v/>
      </c>
      <c r="C1457" s="5" t="str">
        <f>IF('FUENTE NO BORRAR'!C1475="","",'FUENTE NO BORRAR'!C1475)</f>
        <v/>
      </c>
      <c r="D1457" s="5" t="str">
        <f>IF('FUENTE NO BORRAR'!D1475="","",'FUENTE NO BORRAR'!D1475)</f>
        <v/>
      </c>
      <c r="E1457" s="5" t="str">
        <f>IF('FUENTE NO BORRAR'!E1475="","",'FUENTE NO BORRAR'!E1475)</f>
        <v/>
      </c>
      <c r="F1457" s="6">
        <f>IF('FUENTE NO BORRAR'!F1475="","",IF('FUENTE NO BORRAR'!$A1475&lt;&gt;"Resultado total",('FUENTE NO BORRAR'!F1475),""))</f>
        <v>161940</v>
      </c>
      <c r="G1457" s="6">
        <f>IF('FUENTE NO BORRAR'!G1475="","",IF('FUENTE NO BORRAR'!$A1475&lt;&gt;"Resultado total",('FUENTE NO BORRAR'!G1475),""))</f>
        <v>161940</v>
      </c>
      <c r="H1457" s="6">
        <f>IF('FUENTE NO BORRAR'!H1475="","",IF('FUENTE NO BORRAR'!$A1475&lt;&gt;"Resultado total",('FUENTE NO BORRAR'!H1475),""))</f>
        <v>161940</v>
      </c>
      <c r="I1457" s="6">
        <f>IF('FUENTE NO BORRAR'!I1475="","",IF('FUENTE NO BORRAR'!$A1475&lt;&gt;"Resultado total",('FUENTE NO BORRAR'!I1475),""))</f>
        <v>0</v>
      </c>
    </row>
    <row r="1458" spans="1:9" x14ac:dyDescent="0.2">
      <c r="A1458" s="5" t="str">
        <f>IF('FUENTE NO BORRAR'!A1476="","",(IF('FUENTE NO BORRAR'!A1476&lt;&gt;"Resultado total",'FUENTE NO BORRAR'!A1476,"")))</f>
        <v/>
      </c>
      <c r="B1458" s="5" t="str">
        <f>IF('FUENTE NO BORRAR'!B1476="","",'FUENTE NO BORRAR'!B1476)</f>
        <v/>
      </c>
      <c r="C1458" s="5" t="str">
        <f>IF('FUENTE NO BORRAR'!C1476="","",'FUENTE NO BORRAR'!C1476)</f>
        <v/>
      </c>
      <c r="D1458" s="5" t="str">
        <f>IF('FUENTE NO BORRAR'!D1476="","",'FUENTE NO BORRAR'!D1476)</f>
        <v/>
      </c>
      <c r="E1458" s="5" t="str">
        <f>IF('FUENTE NO BORRAR'!E1476="","",'FUENTE NO BORRAR'!E1476)</f>
        <v/>
      </c>
      <c r="F1458" s="6">
        <f>IF('FUENTE NO BORRAR'!F1476="","",IF('FUENTE NO BORRAR'!$A1476&lt;&gt;"Resultado total",('FUENTE NO BORRAR'!F1476),""))</f>
        <v>96389.86</v>
      </c>
      <c r="G1458" s="6">
        <f>IF('FUENTE NO BORRAR'!G1476="","",IF('FUENTE NO BORRAR'!$A1476&lt;&gt;"Resultado total",('FUENTE NO BORRAR'!G1476),""))</f>
        <v>96389.86</v>
      </c>
      <c r="H1458" s="6">
        <f>IF('FUENTE NO BORRAR'!H1476="","",IF('FUENTE NO BORRAR'!$A1476&lt;&gt;"Resultado total",('FUENTE NO BORRAR'!H1476),""))</f>
        <v>76501.86</v>
      </c>
      <c r="I1458" s="6">
        <f>IF('FUENTE NO BORRAR'!I1476="","",IF('FUENTE NO BORRAR'!$A1476&lt;&gt;"Resultado total",('FUENTE NO BORRAR'!I1476),""))</f>
        <v>0</v>
      </c>
    </row>
    <row r="1459" spans="1:9" x14ac:dyDescent="0.2">
      <c r="A1459" s="5" t="str">
        <f>IF('FUENTE NO BORRAR'!A1477="","",(IF('FUENTE NO BORRAR'!A1477&lt;&gt;"Resultado total",'FUENTE NO BORRAR'!A1477,"")))</f>
        <v/>
      </c>
      <c r="B1459" s="5" t="str">
        <f>IF('FUENTE NO BORRAR'!B1477="","",'FUENTE NO BORRAR'!B1477)</f>
        <v/>
      </c>
      <c r="C1459" s="5" t="str">
        <f>IF('FUENTE NO BORRAR'!C1477="","",'FUENTE NO BORRAR'!C1477)</f>
        <v/>
      </c>
      <c r="D1459" s="5" t="str">
        <f>IF('FUENTE NO BORRAR'!D1477="","",'FUENTE NO BORRAR'!D1477)</f>
        <v/>
      </c>
      <c r="E1459" s="5" t="str">
        <f>IF('FUENTE NO BORRAR'!E1477="","",'FUENTE NO BORRAR'!E1477)</f>
        <v/>
      </c>
      <c r="F1459" s="6">
        <f>IF('FUENTE NO BORRAR'!F1477="","",IF('FUENTE NO BORRAR'!$A1477&lt;&gt;"Resultado total",('FUENTE NO BORRAR'!F1477),""))</f>
        <v>0</v>
      </c>
      <c r="G1459" s="6">
        <f>IF('FUENTE NO BORRAR'!G1477="","",IF('FUENTE NO BORRAR'!$A1477&lt;&gt;"Resultado total",('FUENTE NO BORRAR'!G1477),""))</f>
        <v>0</v>
      </c>
      <c r="H1459" s="6">
        <f>IF('FUENTE NO BORRAR'!H1477="","",IF('FUENTE NO BORRAR'!$A1477&lt;&gt;"Resultado total",('FUENTE NO BORRAR'!H1477),""))</f>
        <v>0</v>
      </c>
      <c r="I1459" s="6">
        <f>IF('FUENTE NO BORRAR'!I1477="","",IF('FUENTE NO BORRAR'!$A1477&lt;&gt;"Resultado total",('FUENTE NO BORRAR'!I1477),""))</f>
        <v>0</v>
      </c>
    </row>
    <row r="1460" spans="1:9" x14ac:dyDescent="0.2">
      <c r="A1460" s="5" t="str">
        <f>IF('FUENTE NO BORRAR'!A1478="","",(IF('FUENTE NO BORRAR'!A1478&lt;&gt;"Resultado total",'FUENTE NO BORRAR'!A1478,"")))</f>
        <v/>
      </c>
      <c r="B1460" s="5" t="str">
        <f>IF('FUENTE NO BORRAR'!B1478="","",'FUENTE NO BORRAR'!B1478)</f>
        <v/>
      </c>
      <c r="C1460" s="5" t="str">
        <f>IF('FUENTE NO BORRAR'!C1478="","",'FUENTE NO BORRAR'!C1478)</f>
        <v>22062106E201</v>
      </c>
      <c r="D1460" s="5" t="str">
        <f>IF('FUENTE NO BORRAR'!D1478="","",'FUENTE NO BORRAR'!D1478)</f>
        <v>22062106E201</v>
      </c>
      <c r="E1460" s="5" t="str">
        <f>IF('FUENTE NO BORRAR'!E1478="","",'FUENTE NO BORRAR'!E1478)</f>
        <v/>
      </c>
      <c r="F1460" s="6">
        <f>IF('FUENTE NO BORRAR'!F1478="","",IF('FUENTE NO BORRAR'!$A1478&lt;&gt;"Resultado total",('FUENTE NO BORRAR'!F1478),""))</f>
        <v>6558167.8300000001</v>
      </c>
      <c r="G1460" s="6">
        <f>IF('FUENTE NO BORRAR'!G1478="","",IF('FUENTE NO BORRAR'!$A1478&lt;&gt;"Resultado total",('FUENTE NO BORRAR'!G1478),""))</f>
        <v>6558167.8300000001</v>
      </c>
      <c r="H1460" s="6">
        <f>IF('FUENTE NO BORRAR'!H1478="","",IF('FUENTE NO BORRAR'!$A1478&lt;&gt;"Resultado total",('FUENTE NO BORRAR'!H1478),""))</f>
        <v>6558167.8300000001</v>
      </c>
      <c r="I1460" s="6">
        <f>IF('FUENTE NO BORRAR'!I1478="","",IF('FUENTE NO BORRAR'!$A1478&lt;&gt;"Resultado total",('FUENTE NO BORRAR'!I1478),""))</f>
        <v>2.0000000000000001E-9</v>
      </c>
    </row>
    <row r="1461" spans="1:9" x14ac:dyDescent="0.2">
      <c r="A1461" s="5" t="str">
        <f>IF('FUENTE NO BORRAR'!A1479="","",(IF('FUENTE NO BORRAR'!A1479&lt;&gt;"Resultado total",'FUENTE NO BORRAR'!A1479,"")))</f>
        <v/>
      </c>
      <c r="B1461" s="5" t="str">
        <f>IF('FUENTE NO BORRAR'!B1479="","",'FUENTE NO BORRAR'!B1479)</f>
        <v/>
      </c>
      <c r="C1461" s="5" t="str">
        <f>IF('FUENTE NO BORRAR'!C1479="","",'FUENTE NO BORRAR'!C1479)</f>
        <v/>
      </c>
      <c r="D1461" s="5" t="str">
        <f>IF('FUENTE NO BORRAR'!D1479="","",'FUENTE NO BORRAR'!D1479)</f>
        <v/>
      </c>
      <c r="E1461" s="5" t="str">
        <f>IF('FUENTE NO BORRAR'!E1479="","",'FUENTE NO BORRAR'!E1479)</f>
        <v/>
      </c>
      <c r="F1461" s="6">
        <f>IF('FUENTE NO BORRAR'!F1479="","",IF('FUENTE NO BORRAR'!$A1479&lt;&gt;"Resultado total",('FUENTE NO BORRAR'!F1479),""))</f>
        <v>1692955.87</v>
      </c>
      <c r="G1461" s="6">
        <f>IF('FUENTE NO BORRAR'!G1479="","",IF('FUENTE NO BORRAR'!$A1479&lt;&gt;"Resultado total",('FUENTE NO BORRAR'!G1479),""))</f>
        <v>1692955.87</v>
      </c>
      <c r="H1461" s="6">
        <f>IF('FUENTE NO BORRAR'!H1479="","",IF('FUENTE NO BORRAR'!$A1479&lt;&gt;"Resultado total",('FUENTE NO BORRAR'!H1479),""))</f>
        <v>1692955.87</v>
      </c>
      <c r="I1461" s="6">
        <f>IF('FUENTE NO BORRAR'!I1479="","",IF('FUENTE NO BORRAR'!$A1479&lt;&gt;"Resultado total",('FUENTE NO BORRAR'!I1479),""))</f>
        <v>0</v>
      </c>
    </row>
    <row r="1462" spans="1:9" x14ac:dyDescent="0.2">
      <c r="A1462" s="5" t="str">
        <f>IF('FUENTE NO BORRAR'!A1480="","",(IF('FUENTE NO BORRAR'!A1480&lt;&gt;"Resultado total",'FUENTE NO BORRAR'!A1480,"")))</f>
        <v/>
      </c>
      <c r="B1462" s="5" t="str">
        <f>IF('FUENTE NO BORRAR'!B1480="","",'FUENTE NO BORRAR'!B1480)</f>
        <v/>
      </c>
      <c r="C1462" s="5" t="str">
        <f>IF('FUENTE NO BORRAR'!C1480="","",'FUENTE NO BORRAR'!C1480)</f>
        <v/>
      </c>
      <c r="D1462" s="5" t="str">
        <f>IF('FUENTE NO BORRAR'!D1480="","",'FUENTE NO BORRAR'!D1480)</f>
        <v/>
      </c>
      <c r="E1462" s="5" t="str">
        <f>IF('FUENTE NO BORRAR'!E1480="","",'FUENTE NO BORRAR'!E1480)</f>
        <v/>
      </c>
      <c r="F1462" s="6">
        <f>IF('FUENTE NO BORRAR'!F1480="","",IF('FUENTE NO BORRAR'!$A1480&lt;&gt;"Resultado total",('FUENTE NO BORRAR'!F1480),""))</f>
        <v>343265.69</v>
      </c>
      <c r="G1462" s="6">
        <f>IF('FUENTE NO BORRAR'!G1480="","",IF('FUENTE NO BORRAR'!$A1480&lt;&gt;"Resultado total",('FUENTE NO BORRAR'!G1480),""))</f>
        <v>343265.69</v>
      </c>
      <c r="H1462" s="6">
        <f>IF('FUENTE NO BORRAR'!H1480="","",IF('FUENTE NO BORRAR'!$A1480&lt;&gt;"Resultado total",('FUENTE NO BORRAR'!H1480),""))</f>
        <v>343265.69</v>
      </c>
      <c r="I1462" s="6">
        <f>IF('FUENTE NO BORRAR'!I1480="","",IF('FUENTE NO BORRAR'!$A1480&lt;&gt;"Resultado total",('FUENTE NO BORRAR'!I1480),""))</f>
        <v>0</v>
      </c>
    </row>
    <row r="1463" spans="1:9" x14ac:dyDescent="0.2">
      <c r="A1463" s="5" t="str">
        <f>IF('FUENTE NO BORRAR'!A1481="","",(IF('FUENTE NO BORRAR'!A1481&lt;&gt;"Resultado total",'FUENTE NO BORRAR'!A1481,"")))</f>
        <v/>
      </c>
      <c r="B1463" s="5" t="str">
        <f>IF('FUENTE NO BORRAR'!B1481="","",'FUENTE NO BORRAR'!B1481)</f>
        <v/>
      </c>
      <c r="C1463" s="5" t="str">
        <f>IF('FUENTE NO BORRAR'!C1481="","",'FUENTE NO BORRAR'!C1481)</f>
        <v/>
      </c>
      <c r="D1463" s="5" t="str">
        <f>IF('FUENTE NO BORRAR'!D1481="","",'FUENTE NO BORRAR'!D1481)</f>
        <v/>
      </c>
      <c r="E1463" s="5" t="str">
        <f>IF('FUENTE NO BORRAR'!E1481="","",'FUENTE NO BORRAR'!E1481)</f>
        <v/>
      </c>
      <c r="F1463" s="6">
        <f>IF('FUENTE NO BORRAR'!F1481="","",IF('FUENTE NO BORRAR'!$A1481&lt;&gt;"Resultado total",('FUENTE NO BORRAR'!F1481),""))</f>
        <v>1043389.87</v>
      </c>
      <c r="G1463" s="6">
        <f>IF('FUENTE NO BORRAR'!G1481="","",IF('FUENTE NO BORRAR'!$A1481&lt;&gt;"Resultado total",('FUENTE NO BORRAR'!G1481),""))</f>
        <v>1043389.87</v>
      </c>
      <c r="H1463" s="6">
        <f>IF('FUENTE NO BORRAR'!H1481="","",IF('FUENTE NO BORRAR'!$A1481&lt;&gt;"Resultado total",('FUENTE NO BORRAR'!H1481),""))</f>
        <v>1043389.87</v>
      </c>
      <c r="I1463" s="6">
        <f>IF('FUENTE NO BORRAR'!I1481="","",IF('FUENTE NO BORRAR'!$A1481&lt;&gt;"Resultado total",('FUENTE NO BORRAR'!I1481),""))</f>
        <v>0</v>
      </c>
    </row>
    <row r="1464" spans="1:9" x14ac:dyDescent="0.2">
      <c r="A1464" s="5" t="str">
        <f>IF('FUENTE NO BORRAR'!A1482="","",(IF('FUENTE NO BORRAR'!A1482&lt;&gt;"Resultado total",'FUENTE NO BORRAR'!A1482,"")))</f>
        <v/>
      </c>
      <c r="B1464" s="5" t="str">
        <f>IF('FUENTE NO BORRAR'!B1482="","",'FUENTE NO BORRAR'!B1482)</f>
        <v/>
      </c>
      <c r="C1464" s="5" t="str">
        <f>IF('FUENTE NO BORRAR'!C1482="","",'FUENTE NO BORRAR'!C1482)</f>
        <v/>
      </c>
      <c r="D1464" s="5" t="str">
        <f>IF('FUENTE NO BORRAR'!D1482="","",'FUENTE NO BORRAR'!D1482)</f>
        <v/>
      </c>
      <c r="E1464" s="5" t="str">
        <f>IF('FUENTE NO BORRAR'!E1482="","",'FUENTE NO BORRAR'!E1482)</f>
        <v/>
      </c>
      <c r="F1464" s="6">
        <f>IF('FUENTE NO BORRAR'!F1482="","",IF('FUENTE NO BORRAR'!$A1482&lt;&gt;"Resultado total",('FUENTE NO BORRAR'!F1482),""))</f>
        <v>93240.44</v>
      </c>
      <c r="G1464" s="6">
        <f>IF('FUENTE NO BORRAR'!G1482="","",IF('FUENTE NO BORRAR'!$A1482&lt;&gt;"Resultado total",('FUENTE NO BORRAR'!G1482),""))</f>
        <v>93240.44</v>
      </c>
      <c r="H1464" s="6">
        <f>IF('FUENTE NO BORRAR'!H1482="","",IF('FUENTE NO BORRAR'!$A1482&lt;&gt;"Resultado total",('FUENTE NO BORRAR'!H1482),""))</f>
        <v>93240.44</v>
      </c>
      <c r="I1464" s="6">
        <f>IF('FUENTE NO BORRAR'!I1482="","",IF('FUENTE NO BORRAR'!$A1482&lt;&gt;"Resultado total",('FUENTE NO BORRAR'!I1482),""))</f>
        <v>0</v>
      </c>
    </row>
    <row r="1465" spans="1:9" x14ac:dyDescent="0.2">
      <c r="A1465" s="5" t="str">
        <f>IF('FUENTE NO BORRAR'!A1483="","",(IF('FUENTE NO BORRAR'!A1483&lt;&gt;"Resultado total",'FUENTE NO BORRAR'!A1483,"")))</f>
        <v/>
      </c>
      <c r="B1465" s="5" t="str">
        <f>IF('FUENTE NO BORRAR'!B1483="","",'FUENTE NO BORRAR'!B1483)</f>
        <v/>
      </c>
      <c r="C1465" s="5" t="str">
        <f>IF('FUENTE NO BORRAR'!C1483="","",'FUENTE NO BORRAR'!C1483)</f>
        <v/>
      </c>
      <c r="D1465" s="5" t="str">
        <f>IF('FUENTE NO BORRAR'!D1483="","",'FUENTE NO BORRAR'!D1483)</f>
        <v/>
      </c>
      <c r="E1465" s="5" t="str">
        <f>IF('FUENTE NO BORRAR'!E1483="","",'FUENTE NO BORRAR'!E1483)</f>
        <v/>
      </c>
      <c r="F1465" s="6">
        <f>IF('FUENTE NO BORRAR'!F1483="","",IF('FUENTE NO BORRAR'!$A1483&lt;&gt;"Resultado total",('FUENTE NO BORRAR'!F1483),""))</f>
        <v>442613.37</v>
      </c>
      <c r="G1465" s="6">
        <f>IF('FUENTE NO BORRAR'!G1483="","",IF('FUENTE NO BORRAR'!$A1483&lt;&gt;"Resultado total",('FUENTE NO BORRAR'!G1483),""))</f>
        <v>442613.37</v>
      </c>
      <c r="H1465" s="6">
        <f>IF('FUENTE NO BORRAR'!H1483="","",IF('FUENTE NO BORRAR'!$A1483&lt;&gt;"Resultado total",('FUENTE NO BORRAR'!H1483),""))</f>
        <v>442613.37</v>
      </c>
      <c r="I1465" s="6">
        <f>IF('FUENTE NO BORRAR'!I1483="","",IF('FUENTE NO BORRAR'!$A1483&lt;&gt;"Resultado total",('FUENTE NO BORRAR'!I1483),""))</f>
        <v>0</v>
      </c>
    </row>
    <row r="1466" spans="1:9" x14ac:dyDescent="0.2">
      <c r="A1466" s="5" t="str">
        <f>IF('FUENTE NO BORRAR'!A1484="","",(IF('FUENTE NO BORRAR'!A1484&lt;&gt;"Resultado total",'FUENTE NO BORRAR'!A1484,"")))</f>
        <v/>
      </c>
      <c r="B1466" s="5" t="str">
        <f>IF('FUENTE NO BORRAR'!B1484="","",'FUENTE NO BORRAR'!B1484)</f>
        <v/>
      </c>
      <c r="C1466" s="5" t="str">
        <f>IF('FUENTE NO BORRAR'!C1484="","",'FUENTE NO BORRAR'!C1484)</f>
        <v/>
      </c>
      <c r="D1466" s="5" t="str">
        <f>IF('FUENTE NO BORRAR'!D1484="","",'FUENTE NO BORRAR'!D1484)</f>
        <v/>
      </c>
      <c r="E1466" s="5" t="str">
        <f>IF('FUENTE NO BORRAR'!E1484="","",'FUENTE NO BORRAR'!E1484)</f>
        <v/>
      </c>
      <c r="F1466" s="6">
        <f>IF('FUENTE NO BORRAR'!F1484="","",IF('FUENTE NO BORRAR'!$A1484&lt;&gt;"Resultado total",('FUENTE NO BORRAR'!F1484),""))</f>
        <v>1850973.55</v>
      </c>
      <c r="G1466" s="6">
        <f>IF('FUENTE NO BORRAR'!G1484="","",IF('FUENTE NO BORRAR'!$A1484&lt;&gt;"Resultado total",('FUENTE NO BORRAR'!G1484),""))</f>
        <v>1850973.55</v>
      </c>
      <c r="H1466" s="6">
        <f>IF('FUENTE NO BORRAR'!H1484="","",IF('FUENTE NO BORRAR'!$A1484&lt;&gt;"Resultado total",('FUENTE NO BORRAR'!H1484),""))</f>
        <v>1850973.55</v>
      </c>
      <c r="I1466" s="6">
        <f>IF('FUENTE NO BORRAR'!I1484="","",IF('FUENTE NO BORRAR'!$A1484&lt;&gt;"Resultado total",('FUENTE NO BORRAR'!I1484),""))</f>
        <v>0</v>
      </c>
    </row>
    <row r="1467" spans="1:9" x14ac:dyDescent="0.2">
      <c r="A1467" s="5" t="str">
        <f>IF('FUENTE NO BORRAR'!A1485="","",(IF('FUENTE NO BORRAR'!A1485&lt;&gt;"Resultado total",'FUENTE NO BORRAR'!A1485,"")))</f>
        <v/>
      </c>
      <c r="B1467" s="5" t="str">
        <f>IF('FUENTE NO BORRAR'!B1485="","",'FUENTE NO BORRAR'!B1485)</f>
        <v/>
      </c>
      <c r="C1467" s="5" t="str">
        <f>IF('FUENTE NO BORRAR'!C1485="","",'FUENTE NO BORRAR'!C1485)</f>
        <v/>
      </c>
      <c r="D1467" s="5" t="str">
        <f>IF('FUENTE NO BORRAR'!D1485="","",'FUENTE NO BORRAR'!D1485)</f>
        <v/>
      </c>
      <c r="E1467" s="5" t="str">
        <f>IF('FUENTE NO BORRAR'!E1485="","",'FUENTE NO BORRAR'!E1485)</f>
        <v/>
      </c>
      <c r="F1467" s="6">
        <f>IF('FUENTE NO BORRAR'!F1485="","",IF('FUENTE NO BORRAR'!$A1485&lt;&gt;"Resultado total",('FUENTE NO BORRAR'!F1485),""))</f>
        <v>1579115.27</v>
      </c>
      <c r="G1467" s="6">
        <f>IF('FUENTE NO BORRAR'!G1485="","",IF('FUENTE NO BORRAR'!$A1485&lt;&gt;"Resultado total",('FUENTE NO BORRAR'!G1485),""))</f>
        <v>1579115.27</v>
      </c>
      <c r="H1467" s="6">
        <f>IF('FUENTE NO BORRAR'!H1485="","",IF('FUENTE NO BORRAR'!$A1485&lt;&gt;"Resultado total",('FUENTE NO BORRAR'!H1485),""))</f>
        <v>1579115.27</v>
      </c>
      <c r="I1467" s="6">
        <f>IF('FUENTE NO BORRAR'!I1485="","",IF('FUENTE NO BORRAR'!$A1485&lt;&gt;"Resultado total",('FUENTE NO BORRAR'!I1485),""))</f>
        <v>0</v>
      </c>
    </row>
    <row r="1468" spans="1:9" x14ac:dyDescent="0.2">
      <c r="A1468" s="5" t="str">
        <f>IF('FUENTE NO BORRAR'!A1486="","",(IF('FUENTE NO BORRAR'!A1486&lt;&gt;"Resultado total",'FUENTE NO BORRAR'!A1486,"")))</f>
        <v/>
      </c>
      <c r="B1468" s="5" t="str">
        <f>IF('FUENTE NO BORRAR'!B1486="","",'FUENTE NO BORRAR'!B1486)</f>
        <v/>
      </c>
      <c r="C1468" s="5" t="str">
        <f>IF('FUENTE NO BORRAR'!C1486="","",'FUENTE NO BORRAR'!C1486)</f>
        <v/>
      </c>
      <c r="D1468" s="5" t="str">
        <f>IF('FUENTE NO BORRAR'!D1486="","",'FUENTE NO BORRAR'!D1486)</f>
        <v/>
      </c>
      <c r="E1468" s="5" t="str">
        <f>IF('FUENTE NO BORRAR'!E1486="","",'FUENTE NO BORRAR'!E1486)</f>
        <v/>
      </c>
      <c r="F1468" s="6">
        <f>IF('FUENTE NO BORRAR'!F1486="","",IF('FUENTE NO BORRAR'!$A1486&lt;&gt;"Resultado total",('FUENTE NO BORRAR'!F1486),""))</f>
        <v>454139.33</v>
      </c>
      <c r="G1468" s="6">
        <f>IF('FUENTE NO BORRAR'!G1486="","",IF('FUENTE NO BORRAR'!$A1486&lt;&gt;"Resultado total",('FUENTE NO BORRAR'!G1486),""))</f>
        <v>454139.33</v>
      </c>
      <c r="H1468" s="6">
        <f>IF('FUENTE NO BORRAR'!H1486="","",IF('FUENTE NO BORRAR'!$A1486&lt;&gt;"Resultado total",('FUENTE NO BORRAR'!H1486),""))</f>
        <v>462183.18</v>
      </c>
      <c r="I1468" s="6">
        <f>IF('FUENTE NO BORRAR'!I1486="","",IF('FUENTE NO BORRAR'!$A1486&lt;&gt;"Resultado total",('FUENTE NO BORRAR'!I1486),""))</f>
        <v>0</v>
      </c>
    </row>
    <row r="1469" spans="1:9" x14ac:dyDescent="0.2">
      <c r="A1469" s="5" t="str">
        <f>IF('FUENTE NO BORRAR'!A1487="","",(IF('FUENTE NO BORRAR'!A1487&lt;&gt;"Resultado total",'FUENTE NO BORRAR'!A1487,"")))</f>
        <v/>
      </c>
      <c r="B1469" s="5" t="str">
        <f>IF('FUENTE NO BORRAR'!B1487="","",'FUENTE NO BORRAR'!B1487)</f>
        <v/>
      </c>
      <c r="C1469" s="5" t="str">
        <f>IF('FUENTE NO BORRAR'!C1487="","",'FUENTE NO BORRAR'!C1487)</f>
        <v/>
      </c>
      <c r="D1469" s="5" t="str">
        <f>IF('FUENTE NO BORRAR'!D1487="","",'FUENTE NO BORRAR'!D1487)</f>
        <v/>
      </c>
      <c r="E1469" s="5" t="str">
        <f>IF('FUENTE NO BORRAR'!E1487="","",'FUENTE NO BORRAR'!E1487)</f>
        <v/>
      </c>
      <c r="F1469" s="6">
        <f>IF('FUENTE NO BORRAR'!F1487="","",IF('FUENTE NO BORRAR'!$A1487&lt;&gt;"Resultado total",('FUENTE NO BORRAR'!F1487),""))</f>
        <v>1083389.6599999999</v>
      </c>
      <c r="G1469" s="6">
        <f>IF('FUENTE NO BORRAR'!G1487="","",IF('FUENTE NO BORRAR'!$A1487&lt;&gt;"Resultado total",('FUENTE NO BORRAR'!G1487),""))</f>
        <v>1083389.6599999999</v>
      </c>
      <c r="H1469" s="6">
        <f>IF('FUENTE NO BORRAR'!H1487="","",IF('FUENTE NO BORRAR'!$A1487&lt;&gt;"Resultado total",('FUENTE NO BORRAR'!H1487),""))</f>
        <v>1083389.6599999999</v>
      </c>
      <c r="I1469" s="6">
        <f>IF('FUENTE NO BORRAR'!I1487="","",IF('FUENTE NO BORRAR'!$A1487&lt;&gt;"Resultado total",('FUENTE NO BORRAR'!I1487),""))</f>
        <v>0</v>
      </c>
    </row>
    <row r="1470" spans="1:9" x14ac:dyDescent="0.2">
      <c r="A1470" s="5" t="str">
        <f>IF('FUENTE NO BORRAR'!A1488="","",(IF('FUENTE NO BORRAR'!A1488&lt;&gt;"Resultado total",'FUENTE NO BORRAR'!A1488,"")))</f>
        <v/>
      </c>
      <c r="B1470" s="5" t="str">
        <f>IF('FUENTE NO BORRAR'!B1488="","",'FUENTE NO BORRAR'!B1488)</f>
        <v/>
      </c>
      <c r="C1470" s="5" t="str">
        <f>IF('FUENTE NO BORRAR'!C1488="","",'FUENTE NO BORRAR'!C1488)</f>
        <v/>
      </c>
      <c r="D1470" s="5" t="str">
        <f>IF('FUENTE NO BORRAR'!D1488="","",'FUENTE NO BORRAR'!D1488)</f>
        <v/>
      </c>
      <c r="E1470" s="5" t="str">
        <f>IF('FUENTE NO BORRAR'!E1488="","",'FUENTE NO BORRAR'!E1488)</f>
        <v/>
      </c>
      <c r="F1470" s="6">
        <f>IF('FUENTE NO BORRAR'!F1488="","",IF('FUENTE NO BORRAR'!$A1488&lt;&gt;"Resultado total",('FUENTE NO BORRAR'!F1488),""))</f>
        <v>1721902.53</v>
      </c>
      <c r="G1470" s="6">
        <f>IF('FUENTE NO BORRAR'!G1488="","",IF('FUENTE NO BORRAR'!$A1488&lt;&gt;"Resultado total",('FUENTE NO BORRAR'!G1488),""))</f>
        <v>1721902.53</v>
      </c>
      <c r="H1470" s="6">
        <f>IF('FUENTE NO BORRAR'!H1488="","",IF('FUENTE NO BORRAR'!$A1488&lt;&gt;"Resultado total",('FUENTE NO BORRAR'!H1488),""))</f>
        <v>1721902.53</v>
      </c>
      <c r="I1470" s="6">
        <f>IF('FUENTE NO BORRAR'!I1488="","",IF('FUENTE NO BORRAR'!$A1488&lt;&gt;"Resultado total",('FUENTE NO BORRAR'!I1488),""))</f>
        <v>0</v>
      </c>
    </row>
    <row r="1471" spans="1:9" x14ac:dyDescent="0.2">
      <c r="A1471" s="5" t="str">
        <f>IF('FUENTE NO BORRAR'!A1489="","",(IF('FUENTE NO BORRAR'!A1489&lt;&gt;"Resultado total",'FUENTE NO BORRAR'!A1489,"")))</f>
        <v/>
      </c>
      <c r="B1471" s="5" t="str">
        <f>IF('FUENTE NO BORRAR'!B1489="","",'FUENTE NO BORRAR'!B1489)</f>
        <v/>
      </c>
      <c r="C1471" s="5" t="str">
        <f>IF('FUENTE NO BORRAR'!C1489="","",'FUENTE NO BORRAR'!C1489)</f>
        <v/>
      </c>
      <c r="D1471" s="5" t="str">
        <f>IF('FUENTE NO BORRAR'!D1489="","",'FUENTE NO BORRAR'!D1489)</f>
        <v/>
      </c>
      <c r="E1471" s="5" t="str">
        <f>IF('FUENTE NO BORRAR'!E1489="","",'FUENTE NO BORRAR'!E1489)</f>
        <v/>
      </c>
      <c r="F1471" s="6">
        <f>IF('FUENTE NO BORRAR'!F1489="","",IF('FUENTE NO BORRAR'!$A1489&lt;&gt;"Resultado total",('FUENTE NO BORRAR'!F1489),""))</f>
        <v>555243.93999999994</v>
      </c>
      <c r="G1471" s="6">
        <f>IF('FUENTE NO BORRAR'!G1489="","",IF('FUENTE NO BORRAR'!$A1489&lt;&gt;"Resultado total",('FUENTE NO BORRAR'!G1489),""))</f>
        <v>555243.93999999994</v>
      </c>
      <c r="H1471" s="6">
        <f>IF('FUENTE NO BORRAR'!H1489="","",IF('FUENTE NO BORRAR'!$A1489&lt;&gt;"Resultado total",('FUENTE NO BORRAR'!H1489),""))</f>
        <v>555243.93999999994</v>
      </c>
      <c r="I1471" s="6">
        <f>IF('FUENTE NO BORRAR'!I1489="","",IF('FUENTE NO BORRAR'!$A1489&lt;&gt;"Resultado total",('FUENTE NO BORRAR'!I1489),""))</f>
        <v>0</v>
      </c>
    </row>
    <row r="1472" spans="1:9" x14ac:dyDescent="0.2">
      <c r="A1472" s="5" t="str">
        <f>IF('FUENTE NO BORRAR'!A1490="","",(IF('FUENTE NO BORRAR'!A1490&lt;&gt;"Resultado total",'FUENTE NO BORRAR'!A1490,"")))</f>
        <v/>
      </c>
      <c r="B1472" s="5" t="str">
        <f>IF('FUENTE NO BORRAR'!B1490="","",'FUENTE NO BORRAR'!B1490)</f>
        <v/>
      </c>
      <c r="C1472" s="5" t="str">
        <f>IF('FUENTE NO BORRAR'!C1490="","",'FUENTE NO BORRAR'!C1490)</f>
        <v/>
      </c>
      <c r="D1472" s="5" t="str">
        <f>IF('FUENTE NO BORRAR'!D1490="","",'FUENTE NO BORRAR'!D1490)</f>
        <v/>
      </c>
      <c r="E1472" s="5" t="str">
        <f>IF('FUENTE NO BORRAR'!E1490="","",'FUENTE NO BORRAR'!E1490)</f>
        <v/>
      </c>
      <c r="F1472" s="6">
        <f>IF('FUENTE NO BORRAR'!F1490="","",IF('FUENTE NO BORRAR'!$A1490&lt;&gt;"Resultado total",('FUENTE NO BORRAR'!F1490),""))</f>
        <v>262742.31</v>
      </c>
      <c r="G1472" s="6">
        <f>IF('FUENTE NO BORRAR'!G1490="","",IF('FUENTE NO BORRAR'!$A1490&lt;&gt;"Resultado total",('FUENTE NO BORRAR'!G1490),""))</f>
        <v>262742.31</v>
      </c>
      <c r="H1472" s="6">
        <f>IF('FUENTE NO BORRAR'!H1490="","",IF('FUENTE NO BORRAR'!$A1490&lt;&gt;"Resultado total",('FUENTE NO BORRAR'!H1490),""))</f>
        <v>262742.31</v>
      </c>
      <c r="I1472" s="6">
        <f>IF('FUENTE NO BORRAR'!I1490="","",IF('FUENTE NO BORRAR'!$A1490&lt;&gt;"Resultado total",('FUENTE NO BORRAR'!I1490),""))</f>
        <v>0</v>
      </c>
    </row>
    <row r="1473" spans="1:9" x14ac:dyDescent="0.2">
      <c r="A1473" s="5" t="str">
        <f>IF('FUENTE NO BORRAR'!A1491="","",(IF('FUENTE NO BORRAR'!A1491&lt;&gt;"Resultado total",'FUENTE NO BORRAR'!A1491,"")))</f>
        <v/>
      </c>
      <c r="B1473" s="5" t="str">
        <f>IF('FUENTE NO BORRAR'!B1491="","",'FUENTE NO BORRAR'!B1491)</f>
        <v/>
      </c>
      <c r="C1473" s="5" t="str">
        <f>IF('FUENTE NO BORRAR'!C1491="","",'FUENTE NO BORRAR'!C1491)</f>
        <v/>
      </c>
      <c r="D1473" s="5" t="str">
        <f>IF('FUENTE NO BORRAR'!D1491="","",'FUENTE NO BORRAR'!D1491)</f>
        <v/>
      </c>
      <c r="E1473" s="5" t="str">
        <f>IF('FUENTE NO BORRAR'!E1491="","",'FUENTE NO BORRAR'!E1491)</f>
        <v/>
      </c>
      <c r="F1473" s="6">
        <f>IF('FUENTE NO BORRAR'!F1491="","",IF('FUENTE NO BORRAR'!$A1491&lt;&gt;"Resultado total",('FUENTE NO BORRAR'!F1491),""))</f>
        <v>989862.72</v>
      </c>
      <c r="G1473" s="6">
        <f>IF('FUENTE NO BORRAR'!G1491="","",IF('FUENTE NO BORRAR'!$A1491&lt;&gt;"Resultado total",('FUENTE NO BORRAR'!G1491),""))</f>
        <v>989862.72</v>
      </c>
      <c r="H1473" s="6">
        <f>IF('FUENTE NO BORRAR'!H1491="","",IF('FUENTE NO BORRAR'!$A1491&lt;&gt;"Resultado total",('FUENTE NO BORRAR'!H1491),""))</f>
        <v>989862.72</v>
      </c>
      <c r="I1473" s="6">
        <f>IF('FUENTE NO BORRAR'!I1491="","",IF('FUENTE NO BORRAR'!$A1491&lt;&gt;"Resultado total",('FUENTE NO BORRAR'!I1491),""))</f>
        <v>0</v>
      </c>
    </row>
    <row r="1474" spans="1:9" x14ac:dyDescent="0.2">
      <c r="A1474" s="5" t="str">
        <f>IF('FUENTE NO BORRAR'!A1492="","",(IF('FUENTE NO BORRAR'!A1492&lt;&gt;"Resultado total",'FUENTE NO BORRAR'!A1492,"")))</f>
        <v/>
      </c>
      <c r="B1474" s="5" t="str">
        <f>IF('FUENTE NO BORRAR'!B1492="","",'FUENTE NO BORRAR'!B1492)</f>
        <v/>
      </c>
      <c r="C1474" s="5" t="str">
        <f>IF('FUENTE NO BORRAR'!C1492="","",'FUENTE NO BORRAR'!C1492)</f>
        <v/>
      </c>
      <c r="D1474" s="5" t="str">
        <f>IF('FUENTE NO BORRAR'!D1492="","",'FUENTE NO BORRAR'!D1492)</f>
        <v/>
      </c>
      <c r="E1474" s="5" t="str">
        <f>IF('FUENTE NO BORRAR'!E1492="","",'FUENTE NO BORRAR'!E1492)</f>
        <v/>
      </c>
      <c r="F1474" s="6">
        <f>IF('FUENTE NO BORRAR'!F1492="","",IF('FUENTE NO BORRAR'!$A1492&lt;&gt;"Resultado total",('FUENTE NO BORRAR'!F1492),""))</f>
        <v>5175104.25</v>
      </c>
      <c r="G1474" s="6">
        <f>IF('FUENTE NO BORRAR'!G1492="","",IF('FUENTE NO BORRAR'!$A1492&lt;&gt;"Resultado total",('FUENTE NO BORRAR'!G1492),""))</f>
        <v>5175104.25</v>
      </c>
      <c r="H1474" s="6">
        <f>IF('FUENTE NO BORRAR'!H1492="","",IF('FUENTE NO BORRAR'!$A1492&lt;&gt;"Resultado total",('FUENTE NO BORRAR'!H1492),""))</f>
        <v>5152604.25</v>
      </c>
      <c r="I1474" s="6">
        <f>IF('FUENTE NO BORRAR'!I1492="","",IF('FUENTE NO BORRAR'!$A1492&lt;&gt;"Resultado total",('FUENTE NO BORRAR'!I1492),""))</f>
        <v>-1.0000000000000001E-9</v>
      </c>
    </row>
    <row r="1475" spans="1:9" x14ac:dyDescent="0.2">
      <c r="A1475" s="5" t="str">
        <f>IF('FUENTE NO BORRAR'!A1493="","",(IF('FUENTE NO BORRAR'!A1493&lt;&gt;"Resultado total",'FUENTE NO BORRAR'!A1493,"")))</f>
        <v/>
      </c>
      <c r="B1475" s="5" t="str">
        <f>IF('FUENTE NO BORRAR'!B1493="","",'FUENTE NO BORRAR'!B1493)</f>
        <v/>
      </c>
      <c r="C1475" s="5" t="str">
        <f>IF('FUENTE NO BORRAR'!C1493="","",'FUENTE NO BORRAR'!C1493)</f>
        <v/>
      </c>
      <c r="D1475" s="5" t="str">
        <f>IF('FUENTE NO BORRAR'!D1493="","",'FUENTE NO BORRAR'!D1493)</f>
        <v/>
      </c>
      <c r="E1475" s="5" t="str">
        <f>IF('FUENTE NO BORRAR'!E1493="","",'FUENTE NO BORRAR'!E1493)</f>
        <v/>
      </c>
      <c r="F1475" s="6">
        <f>IF('FUENTE NO BORRAR'!F1493="","",IF('FUENTE NO BORRAR'!$A1493&lt;&gt;"Resultado total",('FUENTE NO BORRAR'!F1493),""))</f>
        <v>24468.61</v>
      </c>
      <c r="G1475" s="6">
        <f>IF('FUENTE NO BORRAR'!G1493="","",IF('FUENTE NO BORRAR'!$A1493&lt;&gt;"Resultado total",('FUENTE NO BORRAR'!G1493),""))</f>
        <v>24468.61</v>
      </c>
      <c r="H1475" s="6">
        <f>IF('FUENTE NO BORRAR'!H1493="","",IF('FUENTE NO BORRAR'!$A1493&lt;&gt;"Resultado total",('FUENTE NO BORRAR'!H1493),""))</f>
        <v>24468.61</v>
      </c>
      <c r="I1475" s="6">
        <f>IF('FUENTE NO BORRAR'!I1493="","",IF('FUENTE NO BORRAR'!$A1493&lt;&gt;"Resultado total",('FUENTE NO BORRAR'!I1493),""))</f>
        <v>0</v>
      </c>
    </row>
    <row r="1476" spans="1:9" x14ac:dyDescent="0.2">
      <c r="A1476" s="5" t="str">
        <f>IF('FUENTE NO BORRAR'!A1494="","",(IF('FUENTE NO BORRAR'!A1494&lt;&gt;"Resultado total",'FUENTE NO BORRAR'!A1494,"")))</f>
        <v/>
      </c>
      <c r="B1476" s="5" t="str">
        <f>IF('FUENTE NO BORRAR'!B1494="","",'FUENTE NO BORRAR'!B1494)</f>
        <v/>
      </c>
      <c r="C1476" s="5" t="str">
        <f>IF('FUENTE NO BORRAR'!C1494="","",'FUENTE NO BORRAR'!C1494)</f>
        <v/>
      </c>
      <c r="D1476" s="5" t="str">
        <f>IF('FUENTE NO BORRAR'!D1494="","",'FUENTE NO BORRAR'!D1494)</f>
        <v/>
      </c>
      <c r="E1476" s="5" t="str">
        <f>IF('FUENTE NO BORRAR'!E1494="","",'FUENTE NO BORRAR'!E1494)</f>
        <v/>
      </c>
      <c r="F1476" s="6">
        <f>IF('FUENTE NO BORRAR'!F1494="","",IF('FUENTE NO BORRAR'!$A1494&lt;&gt;"Resultado total",('FUENTE NO BORRAR'!F1494),""))</f>
        <v>4653.92</v>
      </c>
      <c r="G1476" s="6">
        <f>IF('FUENTE NO BORRAR'!G1494="","",IF('FUENTE NO BORRAR'!$A1494&lt;&gt;"Resultado total",('FUENTE NO BORRAR'!G1494),""))</f>
        <v>4653.92</v>
      </c>
      <c r="H1476" s="6">
        <f>IF('FUENTE NO BORRAR'!H1494="","",IF('FUENTE NO BORRAR'!$A1494&lt;&gt;"Resultado total",('FUENTE NO BORRAR'!H1494),""))</f>
        <v>4653.92</v>
      </c>
      <c r="I1476" s="6">
        <f>IF('FUENTE NO BORRAR'!I1494="","",IF('FUENTE NO BORRAR'!$A1494&lt;&gt;"Resultado total",('FUENTE NO BORRAR'!I1494),""))</f>
        <v>0</v>
      </c>
    </row>
    <row r="1477" spans="1:9" x14ac:dyDescent="0.2">
      <c r="A1477" s="5" t="str">
        <f>IF('FUENTE NO BORRAR'!A1495="","",(IF('FUENTE NO BORRAR'!A1495&lt;&gt;"Resultado total",'FUENTE NO BORRAR'!A1495,"")))</f>
        <v/>
      </c>
      <c r="B1477" s="5" t="str">
        <f>IF('FUENTE NO BORRAR'!B1495="","",'FUENTE NO BORRAR'!B1495)</f>
        <v/>
      </c>
      <c r="C1477" s="5" t="str">
        <f>IF('FUENTE NO BORRAR'!C1495="","",'FUENTE NO BORRAR'!C1495)</f>
        <v/>
      </c>
      <c r="D1477" s="5" t="str">
        <f>IF('FUENTE NO BORRAR'!D1495="","",'FUENTE NO BORRAR'!D1495)</f>
        <v/>
      </c>
      <c r="E1477" s="5" t="str">
        <f>IF('FUENTE NO BORRAR'!E1495="","",'FUENTE NO BORRAR'!E1495)</f>
        <v/>
      </c>
      <c r="F1477" s="6">
        <f>IF('FUENTE NO BORRAR'!F1495="","",IF('FUENTE NO BORRAR'!$A1495&lt;&gt;"Resultado total",('FUENTE NO BORRAR'!F1495),""))</f>
        <v>11136.77</v>
      </c>
      <c r="G1477" s="6">
        <f>IF('FUENTE NO BORRAR'!G1495="","",IF('FUENTE NO BORRAR'!$A1495&lt;&gt;"Resultado total",('FUENTE NO BORRAR'!G1495),""))</f>
        <v>11136.77</v>
      </c>
      <c r="H1477" s="6">
        <f>IF('FUENTE NO BORRAR'!H1495="","",IF('FUENTE NO BORRAR'!$A1495&lt;&gt;"Resultado total",('FUENTE NO BORRAR'!H1495),""))</f>
        <v>11136.77</v>
      </c>
      <c r="I1477" s="6">
        <f>IF('FUENTE NO BORRAR'!I1495="","",IF('FUENTE NO BORRAR'!$A1495&lt;&gt;"Resultado total",('FUENTE NO BORRAR'!I1495),""))</f>
        <v>0</v>
      </c>
    </row>
    <row r="1478" spans="1:9" x14ac:dyDescent="0.2">
      <c r="A1478" s="5" t="str">
        <f>IF('FUENTE NO BORRAR'!A1496="","",(IF('FUENTE NO BORRAR'!A1496&lt;&gt;"Resultado total",'FUENTE NO BORRAR'!A1496,"")))</f>
        <v/>
      </c>
      <c r="B1478" s="5" t="str">
        <f>IF('FUENTE NO BORRAR'!B1496="","",'FUENTE NO BORRAR'!B1496)</f>
        <v/>
      </c>
      <c r="C1478" s="5" t="str">
        <f>IF('FUENTE NO BORRAR'!C1496="","",'FUENTE NO BORRAR'!C1496)</f>
        <v/>
      </c>
      <c r="D1478" s="5" t="str">
        <f>IF('FUENTE NO BORRAR'!D1496="","",'FUENTE NO BORRAR'!D1496)</f>
        <v/>
      </c>
      <c r="E1478" s="5" t="str">
        <f>IF('FUENTE NO BORRAR'!E1496="","",'FUENTE NO BORRAR'!E1496)</f>
        <v/>
      </c>
      <c r="F1478" s="6">
        <f>IF('FUENTE NO BORRAR'!F1496="","",IF('FUENTE NO BORRAR'!$A1496&lt;&gt;"Resultado total",('FUENTE NO BORRAR'!F1496),""))</f>
        <v>19760.599999999999</v>
      </c>
      <c r="G1478" s="6">
        <f>IF('FUENTE NO BORRAR'!G1496="","",IF('FUENTE NO BORRAR'!$A1496&lt;&gt;"Resultado total",('FUENTE NO BORRAR'!G1496),""))</f>
        <v>19760.599999999999</v>
      </c>
      <c r="H1478" s="6">
        <f>IF('FUENTE NO BORRAR'!H1496="","",IF('FUENTE NO BORRAR'!$A1496&lt;&gt;"Resultado total",('FUENTE NO BORRAR'!H1496),""))</f>
        <v>19760.599999999999</v>
      </c>
      <c r="I1478" s="6">
        <f>IF('FUENTE NO BORRAR'!I1496="","",IF('FUENTE NO BORRAR'!$A1496&lt;&gt;"Resultado total",('FUENTE NO BORRAR'!I1496),""))</f>
        <v>0</v>
      </c>
    </row>
    <row r="1479" spans="1:9" x14ac:dyDescent="0.2">
      <c r="A1479" s="5" t="str">
        <f>IF('FUENTE NO BORRAR'!A1497="","",(IF('FUENTE NO BORRAR'!A1497&lt;&gt;"Resultado total",'FUENTE NO BORRAR'!A1497,"")))</f>
        <v/>
      </c>
      <c r="B1479" s="5" t="str">
        <f>IF('FUENTE NO BORRAR'!B1497="","",'FUENTE NO BORRAR'!B1497)</f>
        <v/>
      </c>
      <c r="C1479" s="5" t="str">
        <f>IF('FUENTE NO BORRAR'!C1497="","",'FUENTE NO BORRAR'!C1497)</f>
        <v/>
      </c>
      <c r="D1479" s="5" t="str">
        <f>IF('FUENTE NO BORRAR'!D1497="","",'FUENTE NO BORRAR'!D1497)</f>
        <v/>
      </c>
      <c r="E1479" s="5" t="str">
        <f>IF('FUENTE NO BORRAR'!E1497="","",'FUENTE NO BORRAR'!E1497)</f>
        <v/>
      </c>
      <c r="F1479" s="6">
        <f>IF('FUENTE NO BORRAR'!F1497="","",IF('FUENTE NO BORRAR'!$A1497&lt;&gt;"Resultado total",('FUENTE NO BORRAR'!F1497),""))</f>
        <v>56624.73</v>
      </c>
      <c r="G1479" s="6">
        <f>IF('FUENTE NO BORRAR'!G1497="","",IF('FUENTE NO BORRAR'!$A1497&lt;&gt;"Resultado total",('FUENTE NO BORRAR'!G1497),""))</f>
        <v>56624.73</v>
      </c>
      <c r="H1479" s="6">
        <f>IF('FUENTE NO BORRAR'!H1497="","",IF('FUENTE NO BORRAR'!$A1497&lt;&gt;"Resultado total",('FUENTE NO BORRAR'!H1497),""))</f>
        <v>56624.73</v>
      </c>
      <c r="I1479" s="6">
        <f>IF('FUENTE NO BORRAR'!I1497="","",IF('FUENTE NO BORRAR'!$A1497&lt;&gt;"Resultado total",('FUENTE NO BORRAR'!I1497),""))</f>
        <v>0</v>
      </c>
    </row>
    <row r="1480" spans="1:9" x14ac:dyDescent="0.2">
      <c r="A1480" s="5" t="str">
        <f>IF('FUENTE NO BORRAR'!A1498="","",(IF('FUENTE NO BORRAR'!A1498&lt;&gt;"Resultado total",'FUENTE NO BORRAR'!A1498,"")))</f>
        <v/>
      </c>
      <c r="B1480" s="5" t="str">
        <f>IF('FUENTE NO BORRAR'!B1498="","",'FUENTE NO BORRAR'!B1498)</f>
        <v/>
      </c>
      <c r="C1480" s="5" t="str">
        <f>IF('FUENTE NO BORRAR'!C1498="","",'FUENTE NO BORRAR'!C1498)</f>
        <v/>
      </c>
      <c r="D1480" s="5" t="str">
        <f>IF('FUENTE NO BORRAR'!D1498="","",'FUENTE NO BORRAR'!D1498)</f>
        <v/>
      </c>
      <c r="E1480" s="5" t="str">
        <f>IF('FUENTE NO BORRAR'!E1498="","",'FUENTE NO BORRAR'!E1498)</f>
        <v/>
      </c>
      <c r="F1480" s="6">
        <f>IF('FUENTE NO BORRAR'!F1498="","",IF('FUENTE NO BORRAR'!$A1498&lt;&gt;"Resultado total",('FUENTE NO BORRAR'!F1498),""))</f>
        <v>14228</v>
      </c>
      <c r="G1480" s="6">
        <f>IF('FUENTE NO BORRAR'!G1498="","",IF('FUENTE NO BORRAR'!$A1498&lt;&gt;"Resultado total",('FUENTE NO BORRAR'!G1498),""))</f>
        <v>14228</v>
      </c>
      <c r="H1480" s="6">
        <f>IF('FUENTE NO BORRAR'!H1498="","",IF('FUENTE NO BORRAR'!$A1498&lt;&gt;"Resultado total",('FUENTE NO BORRAR'!H1498),""))</f>
        <v>14228</v>
      </c>
      <c r="I1480" s="6">
        <f>IF('FUENTE NO BORRAR'!I1498="","",IF('FUENTE NO BORRAR'!$A1498&lt;&gt;"Resultado total",('FUENTE NO BORRAR'!I1498),""))</f>
        <v>0</v>
      </c>
    </row>
    <row r="1481" spans="1:9" x14ac:dyDescent="0.2">
      <c r="A1481" s="5" t="str">
        <f>IF('FUENTE NO BORRAR'!A1499="","",(IF('FUENTE NO BORRAR'!A1499&lt;&gt;"Resultado total",'FUENTE NO BORRAR'!A1499,"")))</f>
        <v/>
      </c>
      <c r="B1481" s="5" t="str">
        <f>IF('FUENTE NO BORRAR'!B1499="","",'FUENTE NO BORRAR'!B1499)</f>
        <v/>
      </c>
      <c r="C1481" s="5" t="str">
        <f>IF('FUENTE NO BORRAR'!C1499="","",'FUENTE NO BORRAR'!C1499)</f>
        <v/>
      </c>
      <c r="D1481" s="5" t="str">
        <f>IF('FUENTE NO BORRAR'!D1499="","",'FUENTE NO BORRAR'!D1499)</f>
        <v/>
      </c>
      <c r="E1481" s="5" t="str">
        <f>IF('FUENTE NO BORRAR'!E1499="","",'FUENTE NO BORRAR'!E1499)</f>
        <v/>
      </c>
      <c r="F1481" s="6">
        <f>IF('FUENTE NO BORRAR'!F1499="","",IF('FUENTE NO BORRAR'!$A1499&lt;&gt;"Resultado total",('FUENTE NO BORRAR'!F1499),""))</f>
        <v>15000</v>
      </c>
      <c r="G1481" s="6">
        <f>IF('FUENTE NO BORRAR'!G1499="","",IF('FUENTE NO BORRAR'!$A1499&lt;&gt;"Resultado total",('FUENTE NO BORRAR'!G1499),""))</f>
        <v>15000</v>
      </c>
      <c r="H1481" s="6">
        <f>IF('FUENTE NO BORRAR'!H1499="","",IF('FUENTE NO BORRAR'!$A1499&lt;&gt;"Resultado total",('FUENTE NO BORRAR'!H1499),""))</f>
        <v>15000</v>
      </c>
      <c r="I1481" s="6">
        <f>IF('FUENTE NO BORRAR'!I1499="","",IF('FUENTE NO BORRAR'!$A1499&lt;&gt;"Resultado total",('FUENTE NO BORRAR'!I1499),""))</f>
        <v>0</v>
      </c>
    </row>
    <row r="1482" spans="1:9" x14ac:dyDescent="0.2">
      <c r="A1482" s="5" t="str">
        <f>IF('FUENTE NO BORRAR'!A1500="","",(IF('FUENTE NO BORRAR'!A1500&lt;&gt;"Resultado total",'FUENTE NO BORRAR'!A1500,"")))</f>
        <v/>
      </c>
      <c r="B1482" s="5" t="str">
        <f>IF('FUENTE NO BORRAR'!B1500="","",'FUENTE NO BORRAR'!B1500)</f>
        <v/>
      </c>
      <c r="C1482" s="5" t="str">
        <f>IF('FUENTE NO BORRAR'!C1500="","",'FUENTE NO BORRAR'!C1500)</f>
        <v/>
      </c>
      <c r="D1482" s="5" t="str">
        <f>IF('FUENTE NO BORRAR'!D1500="","",'FUENTE NO BORRAR'!D1500)</f>
        <v/>
      </c>
      <c r="E1482" s="5" t="str">
        <f>IF('FUENTE NO BORRAR'!E1500="","",'FUENTE NO BORRAR'!E1500)</f>
        <v/>
      </c>
      <c r="F1482" s="6">
        <f>IF('FUENTE NO BORRAR'!F1500="","",IF('FUENTE NO BORRAR'!$A1500&lt;&gt;"Resultado total",('FUENTE NO BORRAR'!F1500),""))</f>
        <v>5472.4</v>
      </c>
      <c r="G1482" s="6">
        <f>IF('FUENTE NO BORRAR'!G1500="","",IF('FUENTE NO BORRAR'!$A1500&lt;&gt;"Resultado total",('FUENTE NO BORRAR'!G1500),""))</f>
        <v>5472.4</v>
      </c>
      <c r="H1482" s="6">
        <f>IF('FUENTE NO BORRAR'!H1500="","",IF('FUENTE NO BORRAR'!$A1500&lt;&gt;"Resultado total",('FUENTE NO BORRAR'!H1500),""))</f>
        <v>5472.4</v>
      </c>
      <c r="I1482" s="6">
        <f>IF('FUENTE NO BORRAR'!I1500="","",IF('FUENTE NO BORRAR'!$A1500&lt;&gt;"Resultado total",('FUENTE NO BORRAR'!I1500),""))</f>
        <v>0</v>
      </c>
    </row>
    <row r="1483" spans="1:9" x14ac:dyDescent="0.2">
      <c r="A1483" s="5" t="str">
        <f>IF('FUENTE NO BORRAR'!A1501="","",(IF('FUENTE NO BORRAR'!A1501&lt;&gt;"Resultado total",'FUENTE NO BORRAR'!A1501,"")))</f>
        <v/>
      </c>
      <c r="B1483" s="5" t="str">
        <f>IF('FUENTE NO BORRAR'!B1501="","",'FUENTE NO BORRAR'!B1501)</f>
        <v/>
      </c>
      <c r="C1483" s="5" t="str">
        <f>IF('FUENTE NO BORRAR'!C1501="","",'FUENTE NO BORRAR'!C1501)</f>
        <v/>
      </c>
      <c r="D1483" s="5" t="str">
        <f>IF('FUENTE NO BORRAR'!D1501="","",'FUENTE NO BORRAR'!D1501)</f>
        <v/>
      </c>
      <c r="E1483" s="5" t="str">
        <f>IF('FUENTE NO BORRAR'!E1501="","",'FUENTE NO BORRAR'!E1501)</f>
        <v/>
      </c>
      <c r="F1483" s="6">
        <f>IF('FUENTE NO BORRAR'!F1501="","",IF('FUENTE NO BORRAR'!$A1501&lt;&gt;"Resultado total",('FUENTE NO BORRAR'!F1501),""))</f>
        <v>619.85</v>
      </c>
      <c r="G1483" s="6">
        <f>IF('FUENTE NO BORRAR'!G1501="","",IF('FUENTE NO BORRAR'!$A1501&lt;&gt;"Resultado total",('FUENTE NO BORRAR'!G1501),""))</f>
        <v>619.85</v>
      </c>
      <c r="H1483" s="6">
        <f>IF('FUENTE NO BORRAR'!H1501="","",IF('FUENTE NO BORRAR'!$A1501&lt;&gt;"Resultado total",('FUENTE NO BORRAR'!H1501),""))</f>
        <v>619.85</v>
      </c>
      <c r="I1483" s="6">
        <f>IF('FUENTE NO BORRAR'!I1501="","",IF('FUENTE NO BORRAR'!$A1501&lt;&gt;"Resultado total",('FUENTE NO BORRAR'!I1501),""))</f>
        <v>0</v>
      </c>
    </row>
    <row r="1484" spans="1:9" x14ac:dyDescent="0.2">
      <c r="A1484" s="5" t="str">
        <f>IF('FUENTE NO BORRAR'!A1502="","",(IF('FUENTE NO BORRAR'!A1502&lt;&gt;"Resultado total",'FUENTE NO BORRAR'!A1502,"")))</f>
        <v/>
      </c>
      <c r="B1484" s="5" t="str">
        <f>IF('FUENTE NO BORRAR'!B1502="","",'FUENTE NO BORRAR'!B1502)</f>
        <v/>
      </c>
      <c r="C1484" s="5" t="str">
        <f>IF('FUENTE NO BORRAR'!C1502="","",'FUENTE NO BORRAR'!C1502)</f>
        <v/>
      </c>
      <c r="D1484" s="5" t="str">
        <f>IF('FUENTE NO BORRAR'!D1502="","",'FUENTE NO BORRAR'!D1502)</f>
        <v/>
      </c>
      <c r="E1484" s="5" t="str">
        <f>IF('FUENTE NO BORRAR'!E1502="","",'FUENTE NO BORRAR'!E1502)</f>
        <v/>
      </c>
      <c r="F1484" s="6">
        <f>IF('FUENTE NO BORRAR'!F1502="","",IF('FUENTE NO BORRAR'!$A1502&lt;&gt;"Resultado total",('FUENTE NO BORRAR'!F1502),""))</f>
        <v>223.84</v>
      </c>
      <c r="G1484" s="6">
        <f>IF('FUENTE NO BORRAR'!G1502="","",IF('FUENTE NO BORRAR'!$A1502&lt;&gt;"Resultado total",('FUENTE NO BORRAR'!G1502),""))</f>
        <v>223.84</v>
      </c>
      <c r="H1484" s="6">
        <f>IF('FUENTE NO BORRAR'!H1502="","",IF('FUENTE NO BORRAR'!$A1502&lt;&gt;"Resultado total",('FUENTE NO BORRAR'!H1502),""))</f>
        <v>223.84</v>
      </c>
      <c r="I1484" s="6">
        <f>IF('FUENTE NO BORRAR'!I1502="","",IF('FUENTE NO BORRAR'!$A1502&lt;&gt;"Resultado total",('FUENTE NO BORRAR'!I1502),""))</f>
        <v>0</v>
      </c>
    </row>
    <row r="1485" spans="1:9" x14ac:dyDescent="0.2">
      <c r="A1485" s="5" t="str">
        <f>IF('FUENTE NO BORRAR'!A1503="","",(IF('FUENTE NO BORRAR'!A1503&lt;&gt;"Resultado total",'FUENTE NO BORRAR'!A1503,"")))</f>
        <v/>
      </c>
      <c r="B1485" s="5" t="str">
        <f>IF('FUENTE NO BORRAR'!B1503="","",'FUENTE NO BORRAR'!B1503)</f>
        <v/>
      </c>
      <c r="C1485" s="5" t="str">
        <f>IF('FUENTE NO BORRAR'!C1503="","",'FUENTE NO BORRAR'!C1503)</f>
        <v/>
      </c>
      <c r="D1485" s="5" t="str">
        <f>IF('FUENTE NO BORRAR'!D1503="","",'FUENTE NO BORRAR'!D1503)</f>
        <v/>
      </c>
      <c r="E1485" s="5" t="str">
        <f>IF('FUENTE NO BORRAR'!E1503="","",'FUENTE NO BORRAR'!E1503)</f>
        <v/>
      </c>
      <c r="F1485" s="6">
        <f>IF('FUENTE NO BORRAR'!F1503="","",IF('FUENTE NO BORRAR'!$A1503&lt;&gt;"Resultado total",('FUENTE NO BORRAR'!F1503),""))</f>
        <v>1028.78</v>
      </c>
      <c r="G1485" s="6">
        <f>IF('FUENTE NO BORRAR'!G1503="","",IF('FUENTE NO BORRAR'!$A1503&lt;&gt;"Resultado total",('FUENTE NO BORRAR'!G1503),""))</f>
        <v>1028.78</v>
      </c>
      <c r="H1485" s="6">
        <f>IF('FUENTE NO BORRAR'!H1503="","",IF('FUENTE NO BORRAR'!$A1503&lt;&gt;"Resultado total",('FUENTE NO BORRAR'!H1503),""))</f>
        <v>1028.78</v>
      </c>
      <c r="I1485" s="6">
        <f>IF('FUENTE NO BORRAR'!I1503="","",IF('FUENTE NO BORRAR'!$A1503&lt;&gt;"Resultado total",('FUENTE NO BORRAR'!I1503),""))</f>
        <v>0</v>
      </c>
    </row>
    <row r="1486" spans="1:9" x14ac:dyDescent="0.2">
      <c r="A1486" s="5" t="str">
        <f>IF('FUENTE NO BORRAR'!A1504="","",(IF('FUENTE NO BORRAR'!A1504&lt;&gt;"Resultado total",'FUENTE NO BORRAR'!A1504,"")))</f>
        <v/>
      </c>
      <c r="B1486" s="5" t="str">
        <f>IF('FUENTE NO BORRAR'!B1504="","",'FUENTE NO BORRAR'!B1504)</f>
        <v/>
      </c>
      <c r="C1486" s="5" t="str">
        <f>IF('FUENTE NO BORRAR'!C1504="","",'FUENTE NO BORRAR'!C1504)</f>
        <v/>
      </c>
      <c r="D1486" s="5" t="str">
        <f>IF('FUENTE NO BORRAR'!D1504="","",'FUENTE NO BORRAR'!D1504)</f>
        <v/>
      </c>
      <c r="E1486" s="5" t="str">
        <f>IF('FUENTE NO BORRAR'!E1504="","",'FUENTE NO BORRAR'!E1504)</f>
        <v/>
      </c>
      <c r="F1486" s="6">
        <f>IF('FUENTE NO BORRAR'!F1504="","",IF('FUENTE NO BORRAR'!$A1504&lt;&gt;"Resultado total",('FUENTE NO BORRAR'!F1504),""))</f>
        <v>262</v>
      </c>
      <c r="G1486" s="6">
        <f>IF('FUENTE NO BORRAR'!G1504="","",IF('FUENTE NO BORRAR'!$A1504&lt;&gt;"Resultado total",('FUENTE NO BORRAR'!G1504),""))</f>
        <v>262</v>
      </c>
      <c r="H1486" s="6">
        <f>IF('FUENTE NO BORRAR'!H1504="","",IF('FUENTE NO BORRAR'!$A1504&lt;&gt;"Resultado total",('FUENTE NO BORRAR'!H1504),""))</f>
        <v>262</v>
      </c>
      <c r="I1486" s="6">
        <f>IF('FUENTE NO BORRAR'!I1504="","",IF('FUENTE NO BORRAR'!$A1504&lt;&gt;"Resultado total",('FUENTE NO BORRAR'!I1504),""))</f>
        <v>0</v>
      </c>
    </row>
    <row r="1487" spans="1:9" x14ac:dyDescent="0.2">
      <c r="A1487" s="5" t="str">
        <f>IF('FUENTE NO BORRAR'!A1505="","",(IF('FUENTE NO BORRAR'!A1505&lt;&gt;"Resultado total",'FUENTE NO BORRAR'!A1505,"")))</f>
        <v/>
      </c>
      <c r="B1487" s="5" t="str">
        <f>IF('FUENTE NO BORRAR'!B1505="","",'FUENTE NO BORRAR'!B1505)</f>
        <v/>
      </c>
      <c r="C1487" s="5" t="str">
        <f>IF('FUENTE NO BORRAR'!C1505="","",'FUENTE NO BORRAR'!C1505)</f>
        <v/>
      </c>
      <c r="D1487" s="5" t="str">
        <f>IF('FUENTE NO BORRAR'!D1505="","",'FUENTE NO BORRAR'!D1505)</f>
        <v/>
      </c>
      <c r="E1487" s="5" t="str">
        <f>IF('FUENTE NO BORRAR'!E1505="","",'FUENTE NO BORRAR'!E1505)</f>
        <v/>
      </c>
      <c r="F1487" s="6">
        <f>IF('FUENTE NO BORRAR'!F1505="","",IF('FUENTE NO BORRAR'!$A1505&lt;&gt;"Resultado total",('FUENTE NO BORRAR'!F1505),""))</f>
        <v>1764923.06</v>
      </c>
      <c r="G1487" s="6">
        <f>IF('FUENTE NO BORRAR'!G1505="","",IF('FUENTE NO BORRAR'!$A1505&lt;&gt;"Resultado total",('FUENTE NO BORRAR'!G1505),""))</f>
        <v>1764923.06</v>
      </c>
      <c r="H1487" s="6">
        <f>IF('FUENTE NO BORRAR'!H1505="","",IF('FUENTE NO BORRAR'!$A1505&lt;&gt;"Resultado total",('FUENTE NO BORRAR'!H1505),""))</f>
        <v>1600747.06</v>
      </c>
      <c r="I1487" s="6">
        <f>IF('FUENTE NO BORRAR'!I1505="","",IF('FUENTE NO BORRAR'!$A1505&lt;&gt;"Resultado total",('FUENTE NO BORRAR'!I1505),""))</f>
        <v>0</v>
      </c>
    </row>
    <row r="1488" spans="1:9" x14ac:dyDescent="0.2">
      <c r="A1488" s="5" t="str">
        <f>IF('FUENTE NO BORRAR'!A1506="","",(IF('FUENTE NO BORRAR'!A1506&lt;&gt;"Resultado total",'FUENTE NO BORRAR'!A1506,"")))</f>
        <v/>
      </c>
      <c r="B1488" s="5" t="str">
        <f>IF('FUENTE NO BORRAR'!B1506="","",'FUENTE NO BORRAR'!B1506)</f>
        <v/>
      </c>
      <c r="C1488" s="5" t="str">
        <f>IF('FUENTE NO BORRAR'!C1506="","",'FUENTE NO BORRAR'!C1506)</f>
        <v/>
      </c>
      <c r="D1488" s="5" t="str">
        <f>IF('FUENTE NO BORRAR'!D1506="","",'FUENTE NO BORRAR'!D1506)</f>
        <v/>
      </c>
      <c r="E1488" s="5" t="str">
        <f>IF('FUENTE NO BORRAR'!E1506="","",'FUENTE NO BORRAR'!E1506)</f>
        <v/>
      </c>
      <c r="F1488" s="6">
        <f>IF('FUENTE NO BORRAR'!F1506="","",IF('FUENTE NO BORRAR'!$A1506&lt;&gt;"Resultado total",('FUENTE NO BORRAR'!F1506),""))</f>
        <v>406032</v>
      </c>
      <c r="G1488" s="6">
        <f>IF('FUENTE NO BORRAR'!G1506="","",IF('FUENTE NO BORRAR'!$A1506&lt;&gt;"Resultado total",('FUENTE NO BORRAR'!G1506),""))</f>
        <v>406032</v>
      </c>
      <c r="H1488" s="6">
        <f>IF('FUENTE NO BORRAR'!H1506="","",IF('FUENTE NO BORRAR'!$A1506&lt;&gt;"Resultado total",('FUENTE NO BORRAR'!H1506),""))</f>
        <v>406032</v>
      </c>
      <c r="I1488" s="6">
        <f>IF('FUENTE NO BORRAR'!I1506="","",IF('FUENTE NO BORRAR'!$A1506&lt;&gt;"Resultado total",('FUENTE NO BORRAR'!I1506),""))</f>
        <v>0</v>
      </c>
    </row>
    <row r="1489" spans="1:9" x14ac:dyDescent="0.2">
      <c r="A1489" s="5" t="str">
        <f>IF('FUENTE NO BORRAR'!A1507="","",(IF('FUENTE NO BORRAR'!A1507&lt;&gt;"Resultado total",'FUENTE NO BORRAR'!A1507,"")))</f>
        <v/>
      </c>
      <c r="B1489" s="5" t="str">
        <f>IF('FUENTE NO BORRAR'!B1507="","",'FUENTE NO BORRAR'!B1507)</f>
        <v/>
      </c>
      <c r="C1489" s="5" t="str">
        <f>IF('FUENTE NO BORRAR'!C1507="","",'FUENTE NO BORRAR'!C1507)</f>
        <v/>
      </c>
      <c r="D1489" s="5" t="str">
        <f>IF('FUENTE NO BORRAR'!D1507="","",'FUENTE NO BORRAR'!D1507)</f>
        <v/>
      </c>
      <c r="E1489" s="5" t="str">
        <f>IF('FUENTE NO BORRAR'!E1507="","",'FUENTE NO BORRAR'!E1507)</f>
        <v/>
      </c>
      <c r="F1489" s="6">
        <f>IF('FUENTE NO BORRAR'!F1507="","",IF('FUENTE NO BORRAR'!$A1507&lt;&gt;"Resultado total",('FUENTE NO BORRAR'!F1507),""))</f>
        <v>19857.16</v>
      </c>
      <c r="G1489" s="6">
        <f>IF('FUENTE NO BORRAR'!G1507="","",IF('FUENTE NO BORRAR'!$A1507&lt;&gt;"Resultado total",('FUENTE NO BORRAR'!G1507),""))</f>
        <v>19857.16</v>
      </c>
      <c r="H1489" s="6">
        <f>IF('FUENTE NO BORRAR'!H1507="","",IF('FUENTE NO BORRAR'!$A1507&lt;&gt;"Resultado total",('FUENTE NO BORRAR'!H1507),""))</f>
        <v>19857.16</v>
      </c>
      <c r="I1489" s="6">
        <f>IF('FUENTE NO BORRAR'!I1507="","",IF('FUENTE NO BORRAR'!$A1507&lt;&gt;"Resultado total",('FUENTE NO BORRAR'!I1507),""))</f>
        <v>0</v>
      </c>
    </row>
    <row r="1490" spans="1:9" x14ac:dyDescent="0.2">
      <c r="A1490" s="5" t="str">
        <f>IF('FUENTE NO BORRAR'!A1508="","",(IF('FUENTE NO BORRAR'!A1508&lt;&gt;"Resultado total",'FUENTE NO BORRAR'!A1508,"")))</f>
        <v/>
      </c>
      <c r="B1490" s="5" t="str">
        <f>IF('FUENTE NO BORRAR'!B1508="","",'FUENTE NO BORRAR'!B1508)</f>
        <v/>
      </c>
      <c r="C1490" s="5" t="str">
        <f>IF('FUENTE NO BORRAR'!C1508="","",'FUENTE NO BORRAR'!C1508)</f>
        <v/>
      </c>
      <c r="D1490" s="5" t="str">
        <f>IF('FUENTE NO BORRAR'!D1508="","",'FUENTE NO BORRAR'!D1508)</f>
        <v/>
      </c>
      <c r="E1490" s="5" t="str">
        <f>IF('FUENTE NO BORRAR'!E1508="","",'FUENTE NO BORRAR'!E1508)</f>
        <v/>
      </c>
      <c r="F1490" s="6">
        <f>IF('FUENTE NO BORRAR'!F1508="","",IF('FUENTE NO BORRAR'!$A1508&lt;&gt;"Resultado total",('FUENTE NO BORRAR'!F1508),""))</f>
        <v>0</v>
      </c>
      <c r="G1490" s="6">
        <f>IF('FUENTE NO BORRAR'!G1508="","",IF('FUENTE NO BORRAR'!$A1508&lt;&gt;"Resultado total",('FUENTE NO BORRAR'!G1508),""))</f>
        <v>0</v>
      </c>
      <c r="H1490" s="6">
        <f>IF('FUENTE NO BORRAR'!H1508="","",IF('FUENTE NO BORRAR'!$A1508&lt;&gt;"Resultado total",('FUENTE NO BORRAR'!H1508),""))</f>
        <v>0</v>
      </c>
      <c r="I1490" s="6">
        <f>IF('FUENTE NO BORRAR'!I1508="","",IF('FUENTE NO BORRAR'!$A1508&lt;&gt;"Resultado total",('FUENTE NO BORRAR'!I1508),""))</f>
        <v>0</v>
      </c>
    </row>
    <row r="1491" spans="1:9" x14ac:dyDescent="0.2">
      <c r="A1491" s="5" t="str">
        <f>IF('FUENTE NO BORRAR'!A1509="","",(IF('FUENTE NO BORRAR'!A1509&lt;&gt;"Resultado total",'FUENTE NO BORRAR'!A1509,"")))</f>
        <v/>
      </c>
      <c r="B1491" s="5" t="str">
        <f>IF('FUENTE NO BORRAR'!B1509="","",'FUENTE NO BORRAR'!B1509)</f>
        <v/>
      </c>
      <c r="C1491" s="5" t="str">
        <f>IF('FUENTE NO BORRAR'!C1509="","",'FUENTE NO BORRAR'!C1509)</f>
        <v/>
      </c>
      <c r="D1491" s="5" t="str">
        <f>IF('FUENTE NO BORRAR'!D1509="","",'FUENTE NO BORRAR'!D1509)</f>
        <v/>
      </c>
      <c r="E1491" s="5" t="str">
        <f>IF('FUENTE NO BORRAR'!E1509="","",'FUENTE NO BORRAR'!E1509)</f>
        <v/>
      </c>
      <c r="F1491" s="6">
        <f>IF('FUENTE NO BORRAR'!F1509="","",IF('FUENTE NO BORRAR'!$A1509&lt;&gt;"Resultado total",('FUENTE NO BORRAR'!F1509),""))</f>
        <v>6000</v>
      </c>
      <c r="G1491" s="6">
        <f>IF('FUENTE NO BORRAR'!G1509="","",IF('FUENTE NO BORRAR'!$A1509&lt;&gt;"Resultado total",('FUENTE NO BORRAR'!G1509),""))</f>
        <v>6000</v>
      </c>
      <c r="H1491" s="6">
        <f>IF('FUENTE NO BORRAR'!H1509="","",IF('FUENTE NO BORRAR'!$A1509&lt;&gt;"Resultado total",('FUENTE NO BORRAR'!H1509),""))</f>
        <v>6000</v>
      </c>
      <c r="I1491" s="6">
        <f>IF('FUENTE NO BORRAR'!I1509="","",IF('FUENTE NO BORRAR'!$A1509&lt;&gt;"Resultado total",('FUENTE NO BORRAR'!I1509),""))</f>
        <v>0</v>
      </c>
    </row>
    <row r="1492" spans="1:9" x14ac:dyDescent="0.2">
      <c r="A1492" s="5" t="str">
        <f>IF('FUENTE NO BORRAR'!A1510="","",(IF('FUENTE NO BORRAR'!A1510&lt;&gt;"Resultado total",'FUENTE NO BORRAR'!A1510,"")))</f>
        <v/>
      </c>
      <c r="B1492" s="5" t="str">
        <f>IF('FUENTE NO BORRAR'!B1510="","",'FUENTE NO BORRAR'!B1510)</f>
        <v/>
      </c>
      <c r="C1492" s="5" t="str">
        <f>IF('FUENTE NO BORRAR'!C1510="","",'FUENTE NO BORRAR'!C1510)</f>
        <v/>
      </c>
      <c r="D1492" s="5" t="str">
        <f>IF('FUENTE NO BORRAR'!D1510="","",'FUENTE NO BORRAR'!D1510)</f>
        <v/>
      </c>
      <c r="E1492" s="5" t="str">
        <f>IF('FUENTE NO BORRAR'!E1510="","",'FUENTE NO BORRAR'!E1510)</f>
        <v/>
      </c>
      <c r="F1492" s="6">
        <f>IF('FUENTE NO BORRAR'!F1510="","",IF('FUENTE NO BORRAR'!$A1510&lt;&gt;"Resultado total",('FUENTE NO BORRAR'!F1510),""))</f>
        <v>81200</v>
      </c>
      <c r="G1492" s="6">
        <f>IF('FUENTE NO BORRAR'!G1510="","",IF('FUENTE NO BORRAR'!$A1510&lt;&gt;"Resultado total",('FUENTE NO BORRAR'!G1510),""))</f>
        <v>81200</v>
      </c>
      <c r="H1492" s="6">
        <f>IF('FUENTE NO BORRAR'!H1510="","",IF('FUENTE NO BORRAR'!$A1510&lt;&gt;"Resultado total",('FUENTE NO BORRAR'!H1510),""))</f>
        <v>81200</v>
      </c>
      <c r="I1492" s="6">
        <f>IF('FUENTE NO BORRAR'!I1510="","",IF('FUENTE NO BORRAR'!$A1510&lt;&gt;"Resultado total",('FUENTE NO BORRAR'!I1510),""))</f>
        <v>0</v>
      </c>
    </row>
    <row r="1493" spans="1:9" x14ac:dyDescent="0.2">
      <c r="A1493" s="5" t="str">
        <f>IF('FUENTE NO BORRAR'!A1511="","",(IF('FUENTE NO BORRAR'!A1511&lt;&gt;"Resultado total",'FUENTE NO BORRAR'!A1511,"")))</f>
        <v/>
      </c>
      <c r="B1493" s="5" t="str">
        <f>IF('FUENTE NO BORRAR'!B1511="","",'FUENTE NO BORRAR'!B1511)</f>
        <v/>
      </c>
      <c r="C1493" s="5" t="str">
        <f>IF('FUENTE NO BORRAR'!C1511="","",'FUENTE NO BORRAR'!C1511)</f>
        <v/>
      </c>
      <c r="D1493" s="5" t="str">
        <f>IF('FUENTE NO BORRAR'!D1511="","",'FUENTE NO BORRAR'!D1511)</f>
        <v/>
      </c>
      <c r="E1493" s="5" t="str">
        <f>IF('FUENTE NO BORRAR'!E1511="","",'FUENTE NO BORRAR'!E1511)</f>
        <v/>
      </c>
      <c r="F1493" s="6">
        <f>IF('FUENTE NO BORRAR'!F1511="","",IF('FUENTE NO BORRAR'!$A1511&lt;&gt;"Resultado total",('FUENTE NO BORRAR'!F1511),""))</f>
        <v>33931.74</v>
      </c>
      <c r="G1493" s="6">
        <f>IF('FUENTE NO BORRAR'!G1511="","",IF('FUENTE NO BORRAR'!$A1511&lt;&gt;"Resultado total",('FUENTE NO BORRAR'!G1511),""))</f>
        <v>33931.74</v>
      </c>
      <c r="H1493" s="6">
        <f>IF('FUENTE NO BORRAR'!H1511="","",IF('FUENTE NO BORRAR'!$A1511&lt;&gt;"Resultado total",('FUENTE NO BORRAR'!H1511),""))</f>
        <v>20011.740000000002</v>
      </c>
      <c r="I1493" s="6">
        <f>IF('FUENTE NO BORRAR'!I1511="","",IF('FUENTE NO BORRAR'!$A1511&lt;&gt;"Resultado total",('FUENTE NO BORRAR'!I1511),""))</f>
        <v>0</v>
      </c>
    </row>
    <row r="1494" spans="1:9" x14ac:dyDescent="0.2">
      <c r="A1494" s="5" t="str">
        <f>IF('FUENTE NO BORRAR'!A1512="","",(IF('FUENTE NO BORRAR'!A1512&lt;&gt;"Resultado total",'FUENTE NO BORRAR'!A1512,"")))</f>
        <v/>
      </c>
      <c r="B1494" s="5" t="str">
        <f>IF('FUENTE NO BORRAR'!B1512="","",'FUENTE NO BORRAR'!B1512)</f>
        <v/>
      </c>
      <c r="C1494" s="5" t="str">
        <f>IF('FUENTE NO BORRAR'!C1512="","",'FUENTE NO BORRAR'!C1512)</f>
        <v/>
      </c>
      <c r="D1494" s="5" t="str">
        <f>IF('FUENTE NO BORRAR'!D1512="","",'FUENTE NO BORRAR'!D1512)</f>
        <v/>
      </c>
      <c r="E1494" s="5" t="str">
        <f>IF('FUENTE NO BORRAR'!E1512="","",'FUENTE NO BORRAR'!E1512)</f>
        <v/>
      </c>
      <c r="F1494" s="6">
        <f>IF('FUENTE NO BORRAR'!F1512="","",IF('FUENTE NO BORRAR'!$A1512&lt;&gt;"Resultado total",('FUENTE NO BORRAR'!F1512),""))</f>
        <v>464000</v>
      </c>
      <c r="G1494" s="6">
        <f>IF('FUENTE NO BORRAR'!G1512="","",IF('FUENTE NO BORRAR'!$A1512&lt;&gt;"Resultado total",('FUENTE NO BORRAR'!G1512),""))</f>
        <v>464000</v>
      </c>
      <c r="H1494" s="6">
        <f>IF('FUENTE NO BORRAR'!H1512="","",IF('FUENTE NO BORRAR'!$A1512&lt;&gt;"Resultado total",('FUENTE NO BORRAR'!H1512),""))</f>
        <v>464000</v>
      </c>
      <c r="I1494" s="6">
        <f>IF('FUENTE NO BORRAR'!I1512="","",IF('FUENTE NO BORRAR'!$A1512&lt;&gt;"Resultado total",('FUENTE NO BORRAR'!I1512),""))</f>
        <v>0</v>
      </c>
    </row>
    <row r="1495" spans="1:9" x14ac:dyDescent="0.2">
      <c r="A1495" s="5" t="str">
        <f>IF('FUENTE NO BORRAR'!A1513="","",(IF('FUENTE NO BORRAR'!A1513&lt;&gt;"Resultado total",'FUENTE NO BORRAR'!A1513,"")))</f>
        <v/>
      </c>
      <c r="B1495" s="5" t="str">
        <f>IF('FUENTE NO BORRAR'!B1513="","",'FUENTE NO BORRAR'!B1513)</f>
        <v/>
      </c>
      <c r="C1495" s="5" t="str">
        <f>IF('FUENTE NO BORRAR'!C1513="","",'FUENTE NO BORRAR'!C1513)</f>
        <v/>
      </c>
      <c r="D1495" s="5" t="str">
        <f>IF('FUENTE NO BORRAR'!D1513="","",'FUENTE NO BORRAR'!D1513)</f>
        <v/>
      </c>
      <c r="E1495" s="5" t="str">
        <f>IF('FUENTE NO BORRAR'!E1513="","",'FUENTE NO BORRAR'!E1513)</f>
        <v/>
      </c>
      <c r="F1495" s="6">
        <f>IF('FUENTE NO BORRAR'!F1513="","",IF('FUENTE NO BORRAR'!$A1513&lt;&gt;"Resultado total",('FUENTE NO BORRAR'!F1513),""))</f>
        <v>1868</v>
      </c>
      <c r="G1495" s="6">
        <f>IF('FUENTE NO BORRAR'!G1513="","",IF('FUENTE NO BORRAR'!$A1513&lt;&gt;"Resultado total",('FUENTE NO BORRAR'!G1513),""))</f>
        <v>1868</v>
      </c>
      <c r="H1495" s="6">
        <f>IF('FUENTE NO BORRAR'!H1513="","",IF('FUENTE NO BORRAR'!$A1513&lt;&gt;"Resultado total",('FUENTE NO BORRAR'!H1513),""))</f>
        <v>1868</v>
      </c>
      <c r="I1495" s="6">
        <f>IF('FUENTE NO BORRAR'!I1513="","",IF('FUENTE NO BORRAR'!$A1513&lt;&gt;"Resultado total",('FUENTE NO BORRAR'!I1513),""))</f>
        <v>0</v>
      </c>
    </row>
    <row r="1496" spans="1:9" x14ac:dyDescent="0.2">
      <c r="A1496" s="5" t="str">
        <f>IF('FUENTE NO BORRAR'!A1514="","",(IF('FUENTE NO BORRAR'!A1514&lt;&gt;"Resultado total",'FUENTE NO BORRAR'!A1514,"")))</f>
        <v/>
      </c>
      <c r="B1496" s="5" t="str">
        <f>IF('FUENTE NO BORRAR'!B1514="","",'FUENTE NO BORRAR'!B1514)</f>
        <v/>
      </c>
      <c r="C1496" s="5" t="str">
        <f>IF('FUENTE NO BORRAR'!C1514="","",'FUENTE NO BORRAR'!C1514)</f>
        <v/>
      </c>
      <c r="D1496" s="5" t="str">
        <f>IF('FUENTE NO BORRAR'!D1514="","",'FUENTE NO BORRAR'!D1514)</f>
        <v/>
      </c>
      <c r="E1496" s="5" t="str">
        <f>IF('FUENTE NO BORRAR'!E1514="","",'FUENTE NO BORRAR'!E1514)</f>
        <v/>
      </c>
      <c r="F1496" s="6">
        <f>IF('FUENTE NO BORRAR'!F1514="","",IF('FUENTE NO BORRAR'!$A1514&lt;&gt;"Resultado total",('FUENTE NO BORRAR'!F1514),""))</f>
        <v>134560</v>
      </c>
      <c r="G1496" s="6">
        <f>IF('FUENTE NO BORRAR'!G1514="","",IF('FUENTE NO BORRAR'!$A1514&lt;&gt;"Resultado total",('FUENTE NO BORRAR'!G1514),""))</f>
        <v>134560</v>
      </c>
      <c r="H1496" s="6">
        <f>IF('FUENTE NO BORRAR'!H1514="","",IF('FUENTE NO BORRAR'!$A1514&lt;&gt;"Resultado total",('FUENTE NO BORRAR'!H1514),""))</f>
        <v>0</v>
      </c>
      <c r="I1496" s="6">
        <f>IF('FUENTE NO BORRAR'!I1514="","",IF('FUENTE NO BORRAR'!$A1514&lt;&gt;"Resultado total",('FUENTE NO BORRAR'!I1514),""))</f>
        <v>0</v>
      </c>
    </row>
    <row r="1497" spans="1:9" x14ac:dyDescent="0.2">
      <c r="A1497" s="5" t="str">
        <f>IF('FUENTE NO BORRAR'!A1515="","",(IF('FUENTE NO BORRAR'!A1515&lt;&gt;"Resultado total",'FUENTE NO BORRAR'!A1515,"")))</f>
        <v/>
      </c>
      <c r="B1497" s="5" t="str">
        <f>IF('FUENTE NO BORRAR'!B1515="","",'FUENTE NO BORRAR'!B1515)</f>
        <v/>
      </c>
      <c r="C1497" s="5" t="str">
        <f>IF('FUENTE NO BORRAR'!C1515="","",'FUENTE NO BORRAR'!C1515)</f>
        <v>22073081E208</v>
      </c>
      <c r="D1497" s="5" t="str">
        <f>IF('FUENTE NO BORRAR'!D1515="","",'FUENTE NO BORRAR'!D1515)</f>
        <v>22073081E208</v>
      </c>
      <c r="E1497" s="5" t="str">
        <f>IF('FUENTE NO BORRAR'!E1515="","",'FUENTE NO BORRAR'!E1515)</f>
        <v/>
      </c>
      <c r="F1497" s="6">
        <f>IF('FUENTE NO BORRAR'!F1515="","",IF('FUENTE NO BORRAR'!$A1515&lt;&gt;"Resultado total",('FUENTE NO BORRAR'!F1515),""))</f>
        <v>0</v>
      </c>
      <c r="G1497" s="6">
        <f>IF('FUENTE NO BORRAR'!G1515="","",IF('FUENTE NO BORRAR'!$A1515&lt;&gt;"Resultado total",('FUENTE NO BORRAR'!G1515),""))</f>
        <v>0</v>
      </c>
      <c r="H1497" s="6">
        <f>IF('FUENTE NO BORRAR'!H1515="","",IF('FUENTE NO BORRAR'!$A1515&lt;&gt;"Resultado total",('FUENTE NO BORRAR'!H1515),""))</f>
        <v>0</v>
      </c>
      <c r="I1497" s="6">
        <f>IF('FUENTE NO BORRAR'!I1515="","",IF('FUENTE NO BORRAR'!$A1515&lt;&gt;"Resultado total",('FUENTE NO BORRAR'!I1515),""))</f>
        <v>0</v>
      </c>
    </row>
    <row r="1498" spans="1:9" x14ac:dyDescent="0.2">
      <c r="A1498" s="5" t="str">
        <f>IF('FUENTE NO BORRAR'!A1516="","",(IF('FUENTE NO BORRAR'!A1516&lt;&gt;"Resultado total",'FUENTE NO BORRAR'!A1516,"")))</f>
        <v/>
      </c>
      <c r="B1498" s="5" t="str">
        <f>IF('FUENTE NO BORRAR'!B1516="","",'FUENTE NO BORRAR'!B1516)</f>
        <v/>
      </c>
      <c r="C1498" s="5" t="str">
        <f>IF('FUENTE NO BORRAR'!C1516="","",'FUENTE NO BORRAR'!C1516)</f>
        <v/>
      </c>
      <c r="D1498" s="5" t="str">
        <f>IF('FUENTE NO BORRAR'!D1516="","",'FUENTE NO BORRAR'!D1516)</f>
        <v/>
      </c>
      <c r="E1498" s="5" t="str">
        <f>IF('FUENTE NO BORRAR'!E1516="","",'FUENTE NO BORRAR'!E1516)</f>
        <v/>
      </c>
      <c r="F1498" s="6">
        <f>IF('FUENTE NO BORRAR'!F1516="","",IF('FUENTE NO BORRAR'!$A1516&lt;&gt;"Resultado total",('FUENTE NO BORRAR'!F1516),""))</f>
        <v>80094.539999999994</v>
      </c>
      <c r="G1498" s="6">
        <f>IF('FUENTE NO BORRAR'!G1516="","",IF('FUENTE NO BORRAR'!$A1516&lt;&gt;"Resultado total",('FUENTE NO BORRAR'!G1516),""))</f>
        <v>80094.539999999994</v>
      </c>
      <c r="H1498" s="6">
        <f>IF('FUENTE NO BORRAR'!H1516="","",IF('FUENTE NO BORRAR'!$A1516&lt;&gt;"Resultado total",('FUENTE NO BORRAR'!H1516),""))</f>
        <v>80094.539999999994</v>
      </c>
      <c r="I1498" s="6">
        <f>IF('FUENTE NO BORRAR'!I1516="","",IF('FUENTE NO BORRAR'!$A1516&lt;&gt;"Resultado total",('FUENTE NO BORRAR'!I1516),""))</f>
        <v>0</v>
      </c>
    </row>
    <row r="1499" spans="1:9" x14ac:dyDescent="0.2">
      <c r="A1499" s="5" t="str">
        <f>IF('FUENTE NO BORRAR'!A1517="","",(IF('FUENTE NO BORRAR'!A1517&lt;&gt;"Resultado total",'FUENTE NO BORRAR'!A1517,"")))</f>
        <v/>
      </c>
      <c r="B1499" s="5" t="str">
        <f>IF('FUENTE NO BORRAR'!B1517="","",'FUENTE NO BORRAR'!B1517)</f>
        <v/>
      </c>
      <c r="C1499" s="5" t="str">
        <f>IF('FUENTE NO BORRAR'!C1517="","",'FUENTE NO BORRAR'!C1517)</f>
        <v/>
      </c>
      <c r="D1499" s="5" t="str">
        <f>IF('FUENTE NO BORRAR'!D1517="","",'FUENTE NO BORRAR'!D1517)</f>
        <v/>
      </c>
      <c r="E1499" s="5" t="str">
        <f>IF('FUENTE NO BORRAR'!E1517="","",'FUENTE NO BORRAR'!E1517)</f>
        <v/>
      </c>
      <c r="F1499" s="6">
        <f>IF('FUENTE NO BORRAR'!F1517="","",IF('FUENTE NO BORRAR'!$A1517&lt;&gt;"Resultado total",('FUENTE NO BORRAR'!F1517),""))</f>
        <v>210100.15</v>
      </c>
      <c r="G1499" s="6">
        <f>IF('FUENTE NO BORRAR'!G1517="","",IF('FUENTE NO BORRAR'!$A1517&lt;&gt;"Resultado total",('FUENTE NO BORRAR'!G1517),""))</f>
        <v>210100.15</v>
      </c>
      <c r="H1499" s="6">
        <f>IF('FUENTE NO BORRAR'!H1517="","",IF('FUENTE NO BORRAR'!$A1517&lt;&gt;"Resultado total",('FUENTE NO BORRAR'!H1517),""))</f>
        <v>210100.15</v>
      </c>
      <c r="I1499" s="6">
        <f>IF('FUENTE NO BORRAR'!I1517="","",IF('FUENTE NO BORRAR'!$A1517&lt;&gt;"Resultado total",('FUENTE NO BORRAR'!I1517),""))</f>
        <v>0</v>
      </c>
    </row>
    <row r="1500" spans="1:9" x14ac:dyDescent="0.2">
      <c r="A1500" s="5" t="str">
        <f>IF('FUENTE NO BORRAR'!A1518="","",(IF('FUENTE NO BORRAR'!A1518&lt;&gt;"Resultado total",'FUENTE NO BORRAR'!A1518,"")))</f>
        <v/>
      </c>
      <c r="B1500" s="5" t="str">
        <f>IF('FUENTE NO BORRAR'!B1518="","",'FUENTE NO BORRAR'!B1518)</f>
        <v/>
      </c>
      <c r="C1500" s="5" t="str">
        <f>IF('FUENTE NO BORRAR'!C1518="","",'FUENTE NO BORRAR'!C1518)</f>
        <v/>
      </c>
      <c r="D1500" s="5" t="str">
        <f>IF('FUENTE NO BORRAR'!D1518="","",'FUENTE NO BORRAR'!D1518)</f>
        <v/>
      </c>
      <c r="E1500" s="5" t="str">
        <f>IF('FUENTE NO BORRAR'!E1518="","",'FUENTE NO BORRAR'!E1518)</f>
        <v/>
      </c>
      <c r="F1500" s="6">
        <f>IF('FUENTE NO BORRAR'!F1518="","",IF('FUENTE NO BORRAR'!$A1518&lt;&gt;"Resultado total",('FUENTE NO BORRAR'!F1518),""))</f>
        <v>0</v>
      </c>
      <c r="G1500" s="6">
        <f>IF('FUENTE NO BORRAR'!G1518="","",IF('FUENTE NO BORRAR'!$A1518&lt;&gt;"Resultado total",('FUENTE NO BORRAR'!G1518),""))</f>
        <v>0</v>
      </c>
      <c r="H1500" s="6">
        <f>IF('FUENTE NO BORRAR'!H1518="","",IF('FUENTE NO BORRAR'!$A1518&lt;&gt;"Resultado total",('FUENTE NO BORRAR'!H1518),""))</f>
        <v>0</v>
      </c>
      <c r="I1500" s="6">
        <f>IF('FUENTE NO BORRAR'!I1518="","",IF('FUENTE NO BORRAR'!$A1518&lt;&gt;"Resultado total",('FUENTE NO BORRAR'!I1518),""))</f>
        <v>0</v>
      </c>
    </row>
    <row r="1501" spans="1:9" x14ac:dyDescent="0.2">
      <c r="A1501" s="5" t="str">
        <f>IF('FUENTE NO BORRAR'!A1519="","",(IF('FUENTE NO BORRAR'!A1519&lt;&gt;"Resultado total",'FUENTE NO BORRAR'!A1519,"")))</f>
        <v/>
      </c>
      <c r="B1501" s="5" t="str">
        <f>IF('FUENTE NO BORRAR'!B1519="","",'FUENTE NO BORRAR'!B1519)</f>
        <v/>
      </c>
      <c r="C1501" s="5" t="str">
        <f>IF('FUENTE NO BORRAR'!C1519="","",'FUENTE NO BORRAR'!C1519)</f>
        <v/>
      </c>
      <c r="D1501" s="5" t="str">
        <f>IF('FUENTE NO BORRAR'!D1519="","",'FUENTE NO BORRAR'!D1519)</f>
        <v/>
      </c>
      <c r="E1501" s="5" t="str">
        <f>IF('FUENTE NO BORRAR'!E1519="","",'FUENTE NO BORRAR'!E1519)</f>
        <v/>
      </c>
      <c r="F1501" s="6">
        <f>IF('FUENTE NO BORRAR'!F1519="","",IF('FUENTE NO BORRAR'!$A1519&lt;&gt;"Resultado total",('FUENTE NO BORRAR'!F1519),""))</f>
        <v>0</v>
      </c>
      <c r="G1501" s="6">
        <f>IF('FUENTE NO BORRAR'!G1519="","",IF('FUENTE NO BORRAR'!$A1519&lt;&gt;"Resultado total",('FUENTE NO BORRAR'!G1519),""))</f>
        <v>0</v>
      </c>
      <c r="H1501" s="6">
        <f>IF('FUENTE NO BORRAR'!H1519="","",IF('FUENTE NO BORRAR'!$A1519&lt;&gt;"Resultado total",('FUENTE NO BORRAR'!H1519),""))</f>
        <v>0</v>
      </c>
      <c r="I1501" s="6">
        <f>IF('FUENTE NO BORRAR'!I1519="","",IF('FUENTE NO BORRAR'!$A1519&lt;&gt;"Resultado total",('FUENTE NO BORRAR'!I1519),""))</f>
        <v>0</v>
      </c>
    </row>
    <row r="1502" spans="1:9" x14ac:dyDescent="0.2">
      <c r="A1502" s="5" t="str">
        <f>IF('FUENTE NO BORRAR'!A1520="","",(IF('FUENTE NO BORRAR'!A1520&lt;&gt;"Resultado total",'FUENTE NO BORRAR'!A1520,"")))</f>
        <v/>
      </c>
      <c r="B1502" s="5" t="str">
        <f>IF('FUENTE NO BORRAR'!B1520="","",'FUENTE NO BORRAR'!B1520)</f>
        <v/>
      </c>
      <c r="C1502" s="5" t="str">
        <f>IF('FUENTE NO BORRAR'!C1520="","",'FUENTE NO BORRAR'!C1520)</f>
        <v/>
      </c>
      <c r="D1502" s="5" t="str">
        <f>IF('FUENTE NO BORRAR'!D1520="","",'FUENTE NO BORRAR'!D1520)</f>
        <v/>
      </c>
      <c r="E1502" s="5" t="str">
        <f>IF('FUENTE NO BORRAR'!E1520="","",'FUENTE NO BORRAR'!E1520)</f>
        <v/>
      </c>
      <c r="F1502" s="6">
        <f>IF('FUENTE NO BORRAR'!F1520="","",IF('FUENTE NO BORRAR'!$A1520&lt;&gt;"Resultado total",('FUENTE NO BORRAR'!F1520),""))</f>
        <v>2288.4</v>
      </c>
      <c r="G1502" s="6">
        <f>IF('FUENTE NO BORRAR'!G1520="","",IF('FUENTE NO BORRAR'!$A1520&lt;&gt;"Resultado total",('FUENTE NO BORRAR'!G1520),""))</f>
        <v>2288.4</v>
      </c>
      <c r="H1502" s="6">
        <f>IF('FUENTE NO BORRAR'!H1520="","",IF('FUENTE NO BORRAR'!$A1520&lt;&gt;"Resultado total",('FUENTE NO BORRAR'!H1520),""))</f>
        <v>2288.4</v>
      </c>
      <c r="I1502" s="6">
        <f>IF('FUENTE NO BORRAR'!I1520="","",IF('FUENTE NO BORRAR'!$A1520&lt;&gt;"Resultado total",('FUENTE NO BORRAR'!I1520),""))</f>
        <v>0</v>
      </c>
    </row>
    <row r="1503" spans="1:9" x14ac:dyDescent="0.2">
      <c r="A1503" s="5" t="str">
        <f>IF('FUENTE NO BORRAR'!A1521="","",(IF('FUENTE NO BORRAR'!A1521&lt;&gt;"Resultado total",'FUENTE NO BORRAR'!A1521,"")))</f>
        <v/>
      </c>
      <c r="B1503" s="5" t="str">
        <f>IF('FUENTE NO BORRAR'!B1521="","",'FUENTE NO BORRAR'!B1521)</f>
        <v/>
      </c>
      <c r="C1503" s="5" t="str">
        <f>IF('FUENTE NO BORRAR'!C1521="","",'FUENTE NO BORRAR'!C1521)</f>
        <v/>
      </c>
      <c r="D1503" s="5" t="str">
        <f>IF('FUENTE NO BORRAR'!D1521="","",'FUENTE NO BORRAR'!D1521)</f>
        <v/>
      </c>
      <c r="E1503" s="5" t="str">
        <f>IF('FUENTE NO BORRAR'!E1521="","",'FUENTE NO BORRAR'!E1521)</f>
        <v/>
      </c>
      <c r="F1503" s="6">
        <f>IF('FUENTE NO BORRAR'!F1521="","",IF('FUENTE NO BORRAR'!$A1521&lt;&gt;"Resultado total",('FUENTE NO BORRAR'!F1521),""))</f>
        <v>23012.77</v>
      </c>
      <c r="G1503" s="6">
        <f>IF('FUENTE NO BORRAR'!G1521="","",IF('FUENTE NO BORRAR'!$A1521&lt;&gt;"Resultado total",('FUENTE NO BORRAR'!G1521),""))</f>
        <v>23012.77</v>
      </c>
      <c r="H1503" s="6">
        <f>IF('FUENTE NO BORRAR'!H1521="","",IF('FUENTE NO BORRAR'!$A1521&lt;&gt;"Resultado total",('FUENTE NO BORRAR'!H1521),""))</f>
        <v>23012.77</v>
      </c>
      <c r="I1503" s="6">
        <f>IF('FUENTE NO BORRAR'!I1521="","",IF('FUENTE NO BORRAR'!$A1521&lt;&gt;"Resultado total",('FUENTE NO BORRAR'!I1521),""))</f>
        <v>0</v>
      </c>
    </row>
    <row r="1504" spans="1:9" x14ac:dyDescent="0.2">
      <c r="A1504" s="5" t="str">
        <f>IF('FUENTE NO BORRAR'!A1522="","",(IF('FUENTE NO BORRAR'!A1522&lt;&gt;"Resultado total",'FUENTE NO BORRAR'!A1522,"")))</f>
        <v/>
      </c>
      <c r="B1504" s="5" t="str">
        <f>IF('FUENTE NO BORRAR'!B1522="","",'FUENTE NO BORRAR'!B1522)</f>
        <v/>
      </c>
      <c r="C1504" s="5" t="str">
        <f>IF('FUENTE NO BORRAR'!C1522="","",'FUENTE NO BORRAR'!C1522)</f>
        <v/>
      </c>
      <c r="D1504" s="5" t="str">
        <f>IF('FUENTE NO BORRAR'!D1522="","",'FUENTE NO BORRAR'!D1522)</f>
        <v/>
      </c>
      <c r="E1504" s="5" t="str">
        <f>IF('FUENTE NO BORRAR'!E1522="","",'FUENTE NO BORRAR'!E1522)</f>
        <v/>
      </c>
      <c r="F1504" s="6">
        <f>IF('FUENTE NO BORRAR'!F1522="","",IF('FUENTE NO BORRAR'!$A1522&lt;&gt;"Resultado total",('FUENTE NO BORRAR'!F1522),""))</f>
        <v>355341.26</v>
      </c>
      <c r="G1504" s="6">
        <f>IF('FUENTE NO BORRAR'!G1522="","",IF('FUENTE NO BORRAR'!$A1522&lt;&gt;"Resultado total",('FUENTE NO BORRAR'!G1522),""))</f>
        <v>355341.26</v>
      </c>
      <c r="H1504" s="6">
        <f>IF('FUENTE NO BORRAR'!H1522="","",IF('FUENTE NO BORRAR'!$A1522&lt;&gt;"Resultado total",('FUENTE NO BORRAR'!H1522),""))</f>
        <v>361986.82</v>
      </c>
      <c r="I1504" s="6">
        <f>IF('FUENTE NO BORRAR'!I1522="","",IF('FUENTE NO BORRAR'!$A1522&lt;&gt;"Resultado total",('FUENTE NO BORRAR'!I1522),""))</f>
        <v>0</v>
      </c>
    </row>
    <row r="1505" spans="1:9" x14ac:dyDescent="0.2">
      <c r="A1505" s="5" t="str">
        <f>IF('FUENTE NO BORRAR'!A1523="","",(IF('FUENTE NO BORRAR'!A1523&lt;&gt;"Resultado total",'FUENTE NO BORRAR'!A1523,"")))</f>
        <v/>
      </c>
      <c r="B1505" s="5" t="str">
        <f>IF('FUENTE NO BORRAR'!B1523="","",'FUENTE NO BORRAR'!B1523)</f>
        <v/>
      </c>
      <c r="C1505" s="5" t="str">
        <f>IF('FUENTE NO BORRAR'!C1523="","",'FUENTE NO BORRAR'!C1523)</f>
        <v/>
      </c>
      <c r="D1505" s="5" t="str">
        <f>IF('FUENTE NO BORRAR'!D1523="","",'FUENTE NO BORRAR'!D1523)</f>
        <v/>
      </c>
      <c r="E1505" s="5" t="str">
        <f>IF('FUENTE NO BORRAR'!E1523="","",'FUENTE NO BORRAR'!E1523)</f>
        <v/>
      </c>
      <c r="F1505" s="6">
        <f>IF('FUENTE NO BORRAR'!F1523="","",IF('FUENTE NO BORRAR'!$A1523&lt;&gt;"Resultado total",('FUENTE NO BORRAR'!F1523),""))</f>
        <v>148672.57999999999</v>
      </c>
      <c r="G1505" s="6">
        <f>IF('FUENTE NO BORRAR'!G1523="","",IF('FUENTE NO BORRAR'!$A1523&lt;&gt;"Resultado total",('FUENTE NO BORRAR'!G1523),""))</f>
        <v>148672.57999999999</v>
      </c>
      <c r="H1505" s="6">
        <f>IF('FUENTE NO BORRAR'!H1523="","",IF('FUENTE NO BORRAR'!$A1523&lt;&gt;"Resultado total",('FUENTE NO BORRAR'!H1523),""))</f>
        <v>148672.57999999999</v>
      </c>
      <c r="I1505" s="6">
        <f>IF('FUENTE NO BORRAR'!I1523="","",IF('FUENTE NO BORRAR'!$A1523&lt;&gt;"Resultado total",('FUENTE NO BORRAR'!I1523),""))</f>
        <v>0</v>
      </c>
    </row>
    <row r="1506" spans="1:9" x14ac:dyDescent="0.2">
      <c r="A1506" s="5" t="str">
        <f>IF('FUENTE NO BORRAR'!A1524="","",(IF('FUENTE NO BORRAR'!A1524&lt;&gt;"Resultado total",'FUENTE NO BORRAR'!A1524,"")))</f>
        <v/>
      </c>
      <c r="B1506" s="5" t="str">
        <f>IF('FUENTE NO BORRAR'!B1524="","",'FUENTE NO BORRAR'!B1524)</f>
        <v/>
      </c>
      <c r="C1506" s="5" t="str">
        <f>IF('FUENTE NO BORRAR'!C1524="","",'FUENTE NO BORRAR'!C1524)</f>
        <v/>
      </c>
      <c r="D1506" s="5" t="str">
        <f>IF('FUENTE NO BORRAR'!D1524="","",'FUENTE NO BORRAR'!D1524)</f>
        <v/>
      </c>
      <c r="E1506" s="5" t="str">
        <f>IF('FUENTE NO BORRAR'!E1524="","",'FUENTE NO BORRAR'!E1524)</f>
        <v/>
      </c>
      <c r="F1506" s="6">
        <f>IF('FUENTE NO BORRAR'!F1524="","",IF('FUENTE NO BORRAR'!$A1524&lt;&gt;"Resultado total",('FUENTE NO BORRAR'!F1524),""))</f>
        <v>42182.16</v>
      </c>
      <c r="G1506" s="6">
        <f>IF('FUENTE NO BORRAR'!G1524="","",IF('FUENTE NO BORRAR'!$A1524&lt;&gt;"Resultado total",('FUENTE NO BORRAR'!G1524),""))</f>
        <v>42182.16</v>
      </c>
      <c r="H1506" s="6">
        <f>IF('FUENTE NO BORRAR'!H1524="","",IF('FUENTE NO BORRAR'!$A1524&lt;&gt;"Resultado total",('FUENTE NO BORRAR'!H1524),""))</f>
        <v>42182.16</v>
      </c>
      <c r="I1506" s="6">
        <f>IF('FUENTE NO BORRAR'!I1524="","",IF('FUENTE NO BORRAR'!$A1524&lt;&gt;"Resultado total",('FUENTE NO BORRAR'!I1524),""))</f>
        <v>0</v>
      </c>
    </row>
    <row r="1507" spans="1:9" x14ac:dyDescent="0.2">
      <c r="A1507" s="5" t="str">
        <f>IF('FUENTE NO BORRAR'!A1525="","",(IF('FUENTE NO BORRAR'!A1525&lt;&gt;"Resultado total",'FUENTE NO BORRAR'!A1525,"")))</f>
        <v/>
      </c>
      <c r="B1507" s="5" t="str">
        <f>IF('FUENTE NO BORRAR'!B1525="","",'FUENTE NO BORRAR'!B1525)</f>
        <v/>
      </c>
      <c r="C1507" s="5" t="str">
        <f>IF('FUENTE NO BORRAR'!C1525="","",'FUENTE NO BORRAR'!C1525)</f>
        <v/>
      </c>
      <c r="D1507" s="5" t="str">
        <f>IF('FUENTE NO BORRAR'!D1525="","",'FUENTE NO BORRAR'!D1525)</f>
        <v/>
      </c>
      <c r="E1507" s="5" t="str">
        <f>IF('FUENTE NO BORRAR'!E1525="","",'FUENTE NO BORRAR'!E1525)</f>
        <v/>
      </c>
      <c r="F1507" s="6">
        <f>IF('FUENTE NO BORRAR'!F1525="","",IF('FUENTE NO BORRAR'!$A1525&lt;&gt;"Resultado total",('FUENTE NO BORRAR'!F1525),""))</f>
        <v>12439.64</v>
      </c>
      <c r="G1507" s="6">
        <f>IF('FUENTE NO BORRAR'!G1525="","",IF('FUENTE NO BORRAR'!$A1525&lt;&gt;"Resultado total",('FUENTE NO BORRAR'!G1525),""))</f>
        <v>12439.64</v>
      </c>
      <c r="H1507" s="6">
        <f>IF('FUENTE NO BORRAR'!H1525="","",IF('FUENTE NO BORRAR'!$A1525&lt;&gt;"Resultado total",('FUENTE NO BORRAR'!H1525),""))</f>
        <v>12439.64</v>
      </c>
      <c r="I1507" s="6">
        <f>IF('FUENTE NO BORRAR'!I1525="","",IF('FUENTE NO BORRAR'!$A1525&lt;&gt;"Resultado total",('FUENTE NO BORRAR'!I1525),""))</f>
        <v>0</v>
      </c>
    </row>
    <row r="1508" spans="1:9" x14ac:dyDescent="0.2">
      <c r="A1508" s="5" t="str">
        <f>IF('FUENTE NO BORRAR'!A1526="","",(IF('FUENTE NO BORRAR'!A1526&lt;&gt;"Resultado total",'FUENTE NO BORRAR'!A1526,"")))</f>
        <v/>
      </c>
      <c r="B1508" s="5" t="str">
        <f>IF('FUENTE NO BORRAR'!B1526="","",'FUENTE NO BORRAR'!B1526)</f>
        <v/>
      </c>
      <c r="C1508" s="5" t="str">
        <f>IF('FUENTE NO BORRAR'!C1526="","",'FUENTE NO BORRAR'!C1526)</f>
        <v/>
      </c>
      <c r="D1508" s="5" t="str">
        <f>IF('FUENTE NO BORRAR'!D1526="","",'FUENTE NO BORRAR'!D1526)</f>
        <v/>
      </c>
      <c r="E1508" s="5" t="str">
        <f>IF('FUENTE NO BORRAR'!E1526="","",'FUENTE NO BORRAR'!E1526)</f>
        <v/>
      </c>
      <c r="F1508" s="6">
        <f>IF('FUENTE NO BORRAR'!F1526="","",IF('FUENTE NO BORRAR'!$A1526&lt;&gt;"Resultado total",('FUENTE NO BORRAR'!F1526),""))</f>
        <v>5819.68</v>
      </c>
      <c r="G1508" s="6">
        <f>IF('FUENTE NO BORRAR'!G1526="","",IF('FUENTE NO BORRAR'!$A1526&lt;&gt;"Resultado total",('FUENTE NO BORRAR'!G1526),""))</f>
        <v>5819.68</v>
      </c>
      <c r="H1508" s="6">
        <f>IF('FUENTE NO BORRAR'!H1526="","",IF('FUENTE NO BORRAR'!$A1526&lt;&gt;"Resultado total",('FUENTE NO BORRAR'!H1526),""))</f>
        <v>5819.68</v>
      </c>
      <c r="I1508" s="6">
        <f>IF('FUENTE NO BORRAR'!I1526="","",IF('FUENTE NO BORRAR'!$A1526&lt;&gt;"Resultado total",('FUENTE NO BORRAR'!I1526),""))</f>
        <v>0</v>
      </c>
    </row>
    <row r="1509" spans="1:9" x14ac:dyDescent="0.2">
      <c r="A1509" s="5" t="str">
        <f>IF('FUENTE NO BORRAR'!A1527="","",(IF('FUENTE NO BORRAR'!A1527&lt;&gt;"Resultado total",'FUENTE NO BORRAR'!A1527,"")))</f>
        <v/>
      </c>
      <c r="B1509" s="5" t="str">
        <f>IF('FUENTE NO BORRAR'!B1527="","",'FUENTE NO BORRAR'!B1527)</f>
        <v/>
      </c>
      <c r="C1509" s="5" t="str">
        <f>IF('FUENTE NO BORRAR'!C1527="","",'FUENTE NO BORRAR'!C1527)</f>
        <v/>
      </c>
      <c r="D1509" s="5" t="str">
        <f>IF('FUENTE NO BORRAR'!D1527="","",'FUENTE NO BORRAR'!D1527)</f>
        <v/>
      </c>
      <c r="E1509" s="5" t="str">
        <f>IF('FUENTE NO BORRAR'!E1527="","",'FUENTE NO BORRAR'!E1527)</f>
        <v/>
      </c>
      <c r="F1509" s="6">
        <f>IF('FUENTE NO BORRAR'!F1527="","",IF('FUENTE NO BORRAR'!$A1527&lt;&gt;"Resultado total",('FUENTE NO BORRAR'!F1527),""))</f>
        <v>9612.9599999999991</v>
      </c>
      <c r="G1509" s="6">
        <f>IF('FUENTE NO BORRAR'!G1527="","",IF('FUENTE NO BORRAR'!$A1527&lt;&gt;"Resultado total",('FUENTE NO BORRAR'!G1527),""))</f>
        <v>9612.9599999999991</v>
      </c>
      <c r="H1509" s="6">
        <f>IF('FUENTE NO BORRAR'!H1527="","",IF('FUENTE NO BORRAR'!$A1527&lt;&gt;"Resultado total",('FUENTE NO BORRAR'!H1527),""))</f>
        <v>9612.9599999999991</v>
      </c>
      <c r="I1509" s="6">
        <f>IF('FUENTE NO BORRAR'!I1527="","",IF('FUENTE NO BORRAR'!$A1527&lt;&gt;"Resultado total",('FUENTE NO BORRAR'!I1527),""))</f>
        <v>0</v>
      </c>
    </row>
    <row r="1510" spans="1:9" x14ac:dyDescent="0.2">
      <c r="A1510" s="5" t="str">
        <f>IF('FUENTE NO BORRAR'!A1528="","",(IF('FUENTE NO BORRAR'!A1528&lt;&gt;"Resultado total",'FUENTE NO BORRAR'!A1528,"")))</f>
        <v/>
      </c>
      <c r="B1510" s="5" t="str">
        <f>IF('FUENTE NO BORRAR'!B1528="","",'FUENTE NO BORRAR'!B1528)</f>
        <v/>
      </c>
      <c r="C1510" s="5" t="str">
        <f>IF('FUENTE NO BORRAR'!C1528="","",'FUENTE NO BORRAR'!C1528)</f>
        <v/>
      </c>
      <c r="D1510" s="5" t="str">
        <f>IF('FUENTE NO BORRAR'!D1528="","",'FUENTE NO BORRAR'!D1528)</f>
        <v/>
      </c>
      <c r="E1510" s="5" t="str">
        <f>IF('FUENTE NO BORRAR'!E1528="","",'FUENTE NO BORRAR'!E1528)</f>
        <v/>
      </c>
      <c r="F1510" s="6">
        <f>IF('FUENTE NO BORRAR'!F1528="","",IF('FUENTE NO BORRAR'!$A1528&lt;&gt;"Resultado total",('FUENTE NO BORRAR'!F1528),""))</f>
        <v>18473.080000000002</v>
      </c>
      <c r="G1510" s="6">
        <f>IF('FUENTE NO BORRAR'!G1528="","",IF('FUENTE NO BORRAR'!$A1528&lt;&gt;"Resultado total",('FUENTE NO BORRAR'!G1528),""))</f>
        <v>18473.080000000002</v>
      </c>
      <c r="H1510" s="6">
        <f>IF('FUENTE NO BORRAR'!H1528="","",IF('FUENTE NO BORRAR'!$A1528&lt;&gt;"Resultado total",('FUENTE NO BORRAR'!H1528),""))</f>
        <v>18473.080000000002</v>
      </c>
      <c r="I1510" s="6">
        <f>IF('FUENTE NO BORRAR'!I1528="","",IF('FUENTE NO BORRAR'!$A1528&lt;&gt;"Resultado total",('FUENTE NO BORRAR'!I1528),""))</f>
        <v>0</v>
      </c>
    </row>
    <row r="1511" spans="1:9" x14ac:dyDescent="0.2">
      <c r="A1511" s="5" t="str">
        <f>IF('FUENTE NO BORRAR'!A1529="","",(IF('FUENTE NO BORRAR'!A1529&lt;&gt;"Resultado total",'FUENTE NO BORRAR'!A1529,"")))</f>
        <v/>
      </c>
      <c r="B1511" s="5" t="str">
        <f>IF('FUENTE NO BORRAR'!B1529="","",'FUENTE NO BORRAR'!B1529)</f>
        <v/>
      </c>
      <c r="C1511" s="5" t="str">
        <f>IF('FUENTE NO BORRAR'!C1529="","",'FUENTE NO BORRAR'!C1529)</f>
        <v/>
      </c>
      <c r="D1511" s="5" t="str">
        <f>IF('FUENTE NO BORRAR'!D1529="","",'FUENTE NO BORRAR'!D1529)</f>
        <v/>
      </c>
      <c r="E1511" s="5" t="str">
        <f>IF('FUENTE NO BORRAR'!E1529="","",'FUENTE NO BORRAR'!E1529)</f>
        <v/>
      </c>
      <c r="F1511" s="6">
        <f>IF('FUENTE NO BORRAR'!F1529="","",IF('FUENTE NO BORRAR'!$A1529&lt;&gt;"Resultado total",('FUENTE NO BORRAR'!F1529),""))</f>
        <v>86322.15</v>
      </c>
      <c r="G1511" s="6">
        <f>IF('FUENTE NO BORRAR'!G1529="","",IF('FUENTE NO BORRAR'!$A1529&lt;&gt;"Resultado total",('FUENTE NO BORRAR'!G1529),""))</f>
        <v>86322.15</v>
      </c>
      <c r="H1511" s="6">
        <f>IF('FUENTE NO BORRAR'!H1529="","",IF('FUENTE NO BORRAR'!$A1529&lt;&gt;"Resultado total",('FUENTE NO BORRAR'!H1529),""))</f>
        <v>86322.15</v>
      </c>
      <c r="I1511" s="6">
        <f>IF('FUENTE NO BORRAR'!I1529="","",IF('FUENTE NO BORRAR'!$A1529&lt;&gt;"Resultado total",('FUENTE NO BORRAR'!I1529),""))</f>
        <v>0</v>
      </c>
    </row>
    <row r="1512" spans="1:9" x14ac:dyDescent="0.2">
      <c r="A1512" s="5" t="str">
        <f>IF('FUENTE NO BORRAR'!A1530="","",(IF('FUENTE NO BORRAR'!A1530&lt;&gt;"Resultado total",'FUENTE NO BORRAR'!A1530,"")))</f>
        <v/>
      </c>
      <c r="B1512" s="5" t="str">
        <f>IF('FUENTE NO BORRAR'!B1530="","",'FUENTE NO BORRAR'!B1530)</f>
        <v/>
      </c>
      <c r="C1512" s="5" t="str">
        <f>IF('FUENTE NO BORRAR'!C1530="","",'FUENTE NO BORRAR'!C1530)</f>
        <v/>
      </c>
      <c r="D1512" s="5" t="str">
        <f>IF('FUENTE NO BORRAR'!D1530="","",'FUENTE NO BORRAR'!D1530)</f>
        <v/>
      </c>
      <c r="E1512" s="5" t="str">
        <f>IF('FUENTE NO BORRAR'!E1530="","",'FUENTE NO BORRAR'!E1530)</f>
        <v/>
      </c>
      <c r="F1512" s="6">
        <f>IF('FUENTE NO BORRAR'!F1530="","",IF('FUENTE NO BORRAR'!$A1530&lt;&gt;"Resultado total",('FUENTE NO BORRAR'!F1530),""))</f>
        <v>13168.6</v>
      </c>
      <c r="G1512" s="6">
        <f>IF('FUENTE NO BORRAR'!G1530="","",IF('FUENTE NO BORRAR'!$A1530&lt;&gt;"Resultado total",('FUENTE NO BORRAR'!G1530),""))</f>
        <v>13168.6</v>
      </c>
      <c r="H1512" s="6">
        <f>IF('FUENTE NO BORRAR'!H1530="","",IF('FUENTE NO BORRAR'!$A1530&lt;&gt;"Resultado total",('FUENTE NO BORRAR'!H1530),""))</f>
        <v>13168.6</v>
      </c>
      <c r="I1512" s="6">
        <f>IF('FUENTE NO BORRAR'!I1530="","",IF('FUENTE NO BORRAR'!$A1530&lt;&gt;"Resultado total",('FUENTE NO BORRAR'!I1530),""))</f>
        <v>0</v>
      </c>
    </row>
    <row r="1513" spans="1:9" x14ac:dyDescent="0.2">
      <c r="A1513" s="5" t="str">
        <f>IF('FUENTE NO BORRAR'!A1531="","",(IF('FUENTE NO BORRAR'!A1531&lt;&gt;"Resultado total",'FUENTE NO BORRAR'!A1531,"")))</f>
        <v/>
      </c>
      <c r="B1513" s="5" t="str">
        <f>IF('FUENTE NO BORRAR'!B1531="","",'FUENTE NO BORRAR'!B1531)</f>
        <v/>
      </c>
      <c r="C1513" s="5" t="str">
        <f>IF('FUENTE NO BORRAR'!C1531="","",'FUENTE NO BORRAR'!C1531)</f>
        <v/>
      </c>
      <c r="D1513" s="5" t="str">
        <f>IF('FUENTE NO BORRAR'!D1531="","",'FUENTE NO BORRAR'!D1531)</f>
        <v/>
      </c>
      <c r="E1513" s="5" t="str">
        <f>IF('FUENTE NO BORRAR'!E1531="","",'FUENTE NO BORRAR'!E1531)</f>
        <v/>
      </c>
      <c r="F1513" s="6">
        <f>IF('FUENTE NO BORRAR'!F1531="","",IF('FUENTE NO BORRAR'!$A1531&lt;&gt;"Resultado total",('FUENTE NO BORRAR'!F1531),""))</f>
        <v>730.1</v>
      </c>
      <c r="G1513" s="6">
        <f>IF('FUENTE NO BORRAR'!G1531="","",IF('FUENTE NO BORRAR'!$A1531&lt;&gt;"Resultado total",('FUENTE NO BORRAR'!G1531),""))</f>
        <v>730.1</v>
      </c>
      <c r="H1513" s="6">
        <f>IF('FUENTE NO BORRAR'!H1531="","",IF('FUENTE NO BORRAR'!$A1531&lt;&gt;"Resultado total",('FUENTE NO BORRAR'!H1531),""))</f>
        <v>730.1</v>
      </c>
      <c r="I1513" s="6">
        <f>IF('FUENTE NO BORRAR'!I1531="","",IF('FUENTE NO BORRAR'!$A1531&lt;&gt;"Resultado total",('FUENTE NO BORRAR'!I1531),""))</f>
        <v>0</v>
      </c>
    </row>
    <row r="1514" spans="1:9" x14ac:dyDescent="0.2">
      <c r="A1514" s="5" t="str">
        <f>IF('FUENTE NO BORRAR'!A1532="","",(IF('FUENTE NO BORRAR'!A1532&lt;&gt;"Resultado total",'FUENTE NO BORRAR'!A1532,"")))</f>
        <v/>
      </c>
      <c r="B1514" s="5" t="str">
        <f>IF('FUENTE NO BORRAR'!B1532="","",'FUENTE NO BORRAR'!B1532)</f>
        <v/>
      </c>
      <c r="C1514" s="5" t="str">
        <f>IF('FUENTE NO BORRAR'!C1532="","",'FUENTE NO BORRAR'!C1532)</f>
        <v/>
      </c>
      <c r="D1514" s="5" t="str">
        <f>IF('FUENTE NO BORRAR'!D1532="","",'FUENTE NO BORRAR'!D1532)</f>
        <v/>
      </c>
      <c r="E1514" s="5" t="str">
        <f>IF('FUENTE NO BORRAR'!E1532="","",'FUENTE NO BORRAR'!E1532)</f>
        <v/>
      </c>
      <c r="F1514" s="6">
        <f>IF('FUENTE NO BORRAR'!F1532="","",IF('FUENTE NO BORRAR'!$A1532&lt;&gt;"Resultado total",('FUENTE NO BORRAR'!F1532),""))</f>
        <v>54055.59</v>
      </c>
      <c r="G1514" s="6">
        <f>IF('FUENTE NO BORRAR'!G1532="","",IF('FUENTE NO BORRAR'!$A1532&lt;&gt;"Resultado total",('FUENTE NO BORRAR'!G1532),""))</f>
        <v>54055.59</v>
      </c>
      <c r="H1514" s="6">
        <f>IF('FUENTE NO BORRAR'!H1532="","",IF('FUENTE NO BORRAR'!$A1532&lt;&gt;"Resultado total",('FUENTE NO BORRAR'!H1532),""))</f>
        <v>54055.59</v>
      </c>
      <c r="I1514" s="6">
        <f>IF('FUENTE NO BORRAR'!I1532="","",IF('FUENTE NO BORRAR'!$A1532&lt;&gt;"Resultado total",('FUENTE NO BORRAR'!I1532),""))</f>
        <v>0</v>
      </c>
    </row>
    <row r="1515" spans="1:9" x14ac:dyDescent="0.2">
      <c r="A1515" s="5" t="str">
        <f>IF('FUENTE NO BORRAR'!A1533="","",(IF('FUENTE NO BORRAR'!A1533&lt;&gt;"Resultado total",'FUENTE NO BORRAR'!A1533,"")))</f>
        <v/>
      </c>
      <c r="B1515" s="5" t="str">
        <f>IF('FUENTE NO BORRAR'!B1533="","",'FUENTE NO BORRAR'!B1533)</f>
        <v/>
      </c>
      <c r="C1515" s="5" t="str">
        <f>IF('FUENTE NO BORRAR'!C1533="","",'FUENTE NO BORRAR'!C1533)</f>
        <v/>
      </c>
      <c r="D1515" s="5" t="str">
        <f>IF('FUENTE NO BORRAR'!D1533="","",'FUENTE NO BORRAR'!D1533)</f>
        <v/>
      </c>
      <c r="E1515" s="5" t="str">
        <f>IF('FUENTE NO BORRAR'!E1533="","",'FUENTE NO BORRAR'!E1533)</f>
        <v/>
      </c>
      <c r="F1515" s="6">
        <f>IF('FUENTE NO BORRAR'!F1533="","",IF('FUENTE NO BORRAR'!$A1533&lt;&gt;"Resultado total",('FUENTE NO BORRAR'!F1533),""))</f>
        <v>1990</v>
      </c>
      <c r="G1515" s="6">
        <f>IF('FUENTE NO BORRAR'!G1533="","",IF('FUENTE NO BORRAR'!$A1533&lt;&gt;"Resultado total",('FUENTE NO BORRAR'!G1533),""))</f>
        <v>1990</v>
      </c>
      <c r="H1515" s="6">
        <f>IF('FUENTE NO BORRAR'!H1533="","",IF('FUENTE NO BORRAR'!$A1533&lt;&gt;"Resultado total",('FUENTE NO BORRAR'!H1533),""))</f>
        <v>1990</v>
      </c>
      <c r="I1515" s="6">
        <f>IF('FUENTE NO BORRAR'!I1533="","",IF('FUENTE NO BORRAR'!$A1533&lt;&gt;"Resultado total",('FUENTE NO BORRAR'!I1533),""))</f>
        <v>0</v>
      </c>
    </row>
    <row r="1516" spans="1:9" x14ac:dyDescent="0.2">
      <c r="A1516" s="5" t="str">
        <f>IF('FUENTE NO BORRAR'!A1534="","",(IF('FUENTE NO BORRAR'!A1534&lt;&gt;"Resultado total",'FUENTE NO BORRAR'!A1534,"")))</f>
        <v/>
      </c>
      <c r="B1516" s="5" t="str">
        <f>IF('FUENTE NO BORRAR'!B1534="","",'FUENTE NO BORRAR'!B1534)</f>
        <v/>
      </c>
      <c r="C1516" s="5" t="str">
        <f>IF('FUENTE NO BORRAR'!C1534="","",'FUENTE NO BORRAR'!C1534)</f>
        <v/>
      </c>
      <c r="D1516" s="5" t="str">
        <f>IF('FUENTE NO BORRAR'!D1534="","",'FUENTE NO BORRAR'!D1534)</f>
        <v/>
      </c>
      <c r="E1516" s="5" t="str">
        <f>IF('FUENTE NO BORRAR'!E1534="","",'FUENTE NO BORRAR'!E1534)</f>
        <v/>
      </c>
      <c r="F1516" s="6">
        <f>IF('FUENTE NO BORRAR'!F1534="","",IF('FUENTE NO BORRAR'!$A1534&lt;&gt;"Resultado total",('FUENTE NO BORRAR'!F1534),""))</f>
        <v>79906.23</v>
      </c>
      <c r="G1516" s="6">
        <f>IF('FUENTE NO BORRAR'!G1534="","",IF('FUENTE NO BORRAR'!$A1534&lt;&gt;"Resultado total",('FUENTE NO BORRAR'!G1534),""))</f>
        <v>79906.23</v>
      </c>
      <c r="H1516" s="6">
        <f>IF('FUENTE NO BORRAR'!H1534="","",IF('FUENTE NO BORRAR'!$A1534&lt;&gt;"Resultado total",('FUENTE NO BORRAR'!H1534),""))</f>
        <v>79906.23</v>
      </c>
      <c r="I1516" s="6">
        <f>IF('FUENTE NO BORRAR'!I1534="","",IF('FUENTE NO BORRAR'!$A1534&lt;&gt;"Resultado total",('FUENTE NO BORRAR'!I1534),""))</f>
        <v>0</v>
      </c>
    </row>
    <row r="1517" spans="1:9" x14ac:dyDescent="0.2">
      <c r="A1517" s="5" t="str">
        <f>IF('FUENTE NO BORRAR'!A1535="","",(IF('FUENTE NO BORRAR'!A1535&lt;&gt;"Resultado total",'FUENTE NO BORRAR'!A1535,"")))</f>
        <v/>
      </c>
      <c r="B1517" s="5" t="str">
        <f>IF('FUENTE NO BORRAR'!B1535="","",'FUENTE NO BORRAR'!B1535)</f>
        <v/>
      </c>
      <c r="C1517" s="5" t="str">
        <f>IF('FUENTE NO BORRAR'!C1535="","",'FUENTE NO BORRAR'!C1535)</f>
        <v/>
      </c>
      <c r="D1517" s="5" t="str">
        <f>IF('FUENTE NO BORRAR'!D1535="","",'FUENTE NO BORRAR'!D1535)</f>
        <v/>
      </c>
      <c r="E1517" s="5" t="str">
        <f>IF('FUENTE NO BORRAR'!E1535="","",'FUENTE NO BORRAR'!E1535)</f>
        <v/>
      </c>
      <c r="F1517" s="6">
        <f>IF('FUENTE NO BORRAR'!F1535="","",IF('FUENTE NO BORRAR'!$A1535&lt;&gt;"Resultado total",('FUENTE NO BORRAR'!F1535),""))</f>
        <v>3915</v>
      </c>
      <c r="G1517" s="6">
        <f>IF('FUENTE NO BORRAR'!G1535="","",IF('FUENTE NO BORRAR'!$A1535&lt;&gt;"Resultado total",('FUENTE NO BORRAR'!G1535),""))</f>
        <v>3915</v>
      </c>
      <c r="H1517" s="6">
        <f>IF('FUENTE NO BORRAR'!H1535="","",IF('FUENTE NO BORRAR'!$A1535&lt;&gt;"Resultado total",('FUENTE NO BORRAR'!H1535),""))</f>
        <v>3915</v>
      </c>
      <c r="I1517" s="6">
        <f>IF('FUENTE NO BORRAR'!I1535="","",IF('FUENTE NO BORRAR'!$A1535&lt;&gt;"Resultado total",('FUENTE NO BORRAR'!I1535),""))</f>
        <v>0</v>
      </c>
    </row>
    <row r="1518" spans="1:9" x14ac:dyDescent="0.2">
      <c r="A1518" s="5" t="str">
        <f>IF('FUENTE NO BORRAR'!A1536="","",(IF('FUENTE NO BORRAR'!A1536&lt;&gt;"Resultado total",'FUENTE NO BORRAR'!A1536,"")))</f>
        <v/>
      </c>
      <c r="B1518" s="5" t="str">
        <f>IF('FUENTE NO BORRAR'!B1536="","",'FUENTE NO BORRAR'!B1536)</f>
        <v/>
      </c>
      <c r="C1518" s="5" t="str">
        <f>IF('FUENTE NO BORRAR'!C1536="","",'FUENTE NO BORRAR'!C1536)</f>
        <v/>
      </c>
      <c r="D1518" s="5" t="str">
        <f>IF('FUENTE NO BORRAR'!D1536="","",'FUENTE NO BORRAR'!D1536)</f>
        <v/>
      </c>
      <c r="E1518" s="5" t="str">
        <f>IF('FUENTE NO BORRAR'!E1536="","",'FUENTE NO BORRAR'!E1536)</f>
        <v/>
      </c>
      <c r="F1518" s="6">
        <f>IF('FUENTE NO BORRAR'!F1536="","",IF('FUENTE NO BORRAR'!$A1536&lt;&gt;"Resultado total",('FUENTE NO BORRAR'!F1536),""))</f>
        <v>17937.86</v>
      </c>
      <c r="G1518" s="6">
        <f>IF('FUENTE NO BORRAR'!G1536="","",IF('FUENTE NO BORRAR'!$A1536&lt;&gt;"Resultado total",('FUENTE NO BORRAR'!G1536),""))</f>
        <v>17937.86</v>
      </c>
      <c r="H1518" s="6">
        <f>IF('FUENTE NO BORRAR'!H1536="","",IF('FUENTE NO BORRAR'!$A1536&lt;&gt;"Resultado total",('FUENTE NO BORRAR'!H1536),""))</f>
        <v>17937.86</v>
      </c>
      <c r="I1518" s="6">
        <f>IF('FUENTE NO BORRAR'!I1536="","",IF('FUENTE NO BORRAR'!$A1536&lt;&gt;"Resultado total",('FUENTE NO BORRAR'!I1536),""))</f>
        <v>0</v>
      </c>
    </row>
    <row r="1519" spans="1:9" x14ac:dyDescent="0.2">
      <c r="A1519" s="5" t="str">
        <f>IF('FUENTE NO BORRAR'!A1537="","",(IF('FUENTE NO BORRAR'!A1537&lt;&gt;"Resultado total",'FUENTE NO BORRAR'!A1537,"")))</f>
        <v/>
      </c>
      <c r="B1519" s="5" t="str">
        <f>IF('FUENTE NO BORRAR'!B1537="","",'FUENTE NO BORRAR'!B1537)</f>
        <v/>
      </c>
      <c r="C1519" s="5" t="str">
        <f>IF('FUENTE NO BORRAR'!C1537="","",'FUENTE NO BORRAR'!C1537)</f>
        <v/>
      </c>
      <c r="D1519" s="5" t="str">
        <f>IF('FUENTE NO BORRAR'!D1537="","",'FUENTE NO BORRAR'!D1537)</f>
        <v/>
      </c>
      <c r="E1519" s="5" t="str">
        <f>IF('FUENTE NO BORRAR'!E1537="","",'FUENTE NO BORRAR'!E1537)</f>
        <v/>
      </c>
      <c r="F1519" s="6">
        <f>IF('FUENTE NO BORRAR'!F1537="","",IF('FUENTE NO BORRAR'!$A1537&lt;&gt;"Resultado total",('FUENTE NO BORRAR'!F1537),""))</f>
        <v>26618.1</v>
      </c>
      <c r="G1519" s="6">
        <f>IF('FUENTE NO BORRAR'!G1537="","",IF('FUENTE NO BORRAR'!$A1537&lt;&gt;"Resultado total",('FUENTE NO BORRAR'!G1537),""))</f>
        <v>26618.1</v>
      </c>
      <c r="H1519" s="6">
        <f>IF('FUENTE NO BORRAR'!H1537="","",IF('FUENTE NO BORRAR'!$A1537&lt;&gt;"Resultado total",('FUENTE NO BORRAR'!H1537),""))</f>
        <v>26618.1</v>
      </c>
      <c r="I1519" s="6">
        <f>IF('FUENTE NO BORRAR'!I1537="","",IF('FUENTE NO BORRAR'!$A1537&lt;&gt;"Resultado total",('FUENTE NO BORRAR'!I1537),""))</f>
        <v>0</v>
      </c>
    </row>
    <row r="1520" spans="1:9" x14ac:dyDescent="0.2">
      <c r="A1520" s="5" t="str">
        <f>IF('FUENTE NO BORRAR'!A1538="","",(IF('FUENTE NO BORRAR'!A1538&lt;&gt;"Resultado total",'FUENTE NO BORRAR'!A1538,"")))</f>
        <v/>
      </c>
      <c r="B1520" s="5" t="str">
        <f>IF('FUENTE NO BORRAR'!B1538="","",'FUENTE NO BORRAR'!B1538)</f>
        <v/>
      </c>
      <c r="C1520" s="5" t="str">
        <f>IF('FUENTE NO BORRAR'!C1538="","",'FUENTE NO BORRAR'!C1538)</f>
        <v/>
      </c>
      <c r="D1520" s="5" t="str">
        <f>IF('FUENTE NO BORRAR'!D1538="","",'FUENTE NO BORRAR'!D1538)</f>
        <v/>
      </c>
      <c r="E1520" s="5" t="str">
        <f>IF('FUENTE NO BORRAR'!E1538="","",'FUENTE NO BORRAR'!E1538)</f>
        <v/>
      </c>
      <c r="F1520" s="6">
        <f>IF('FUENTE NO BORRAR'!F1538="","",IF('FUENTE NO BORRAR'!$A1538&lt;&gt;"Resultado total",('FUENTE NO BORRAR'!F1538),""))</f>
        <v>72022.83</v>
      </c>
      <c r="G1520" s="6">
        <f>IF('FUENTE NO BORRAR'!G1538="","",IF('FUENTE NO BORRAR'!$A1538&lt;&gt;"Resultado total",('FUENTE NO BORRAR'!G1538),""))</f>
        <v>72022.83</v>
      </c>
      <c r="H1520" s="6">
        <f>IF('FUENTE NO BORRAR'!H1538="","",IF('FUENTE NO BORRAR'!$A1538&lt;&gt;"Resultado total",('FUENTE NO BORRAR'!H1538),""))</f>
        <v>72022.83</v>
      </c>
      <c r="I1520" s="6">
        <f>IF('FUENTE NO BORRAR'!I1538="","",IF('FUENTE NO BORRAR'!$A1538&lt;&gt;"Resultado total",('FUENTE NO BORRAR'!I1538),""))</f>
        <v>0</v>
      </c>
    </row>
    <row r="1521" spans="1:9" x14ac:dyDescent="0.2">
      <c r="A1521" s="5" t="str">
        <f>IF('FUENTE NO BORRAR'!A1539="","",(IF('FUENTE NO BORRAR'!A1539&lt;&gt;"Resultado total",'FUENTE NO BORRAR'!A1539,"")))</f>
        <v/>
      </c>
      <c r="B1521" s="5" t="str">
        <f>IF('FUENTE NO BORRAR'!B1539="","",'FUENTE NO BORRAR'!B1539)</f>
        <v/>
      </c>
      <c r="C1521" s="5" t="str">
        <f>IF('FUENTE NO BORRAR'!C1539="","",'FUENTE NO BORRAR'!C1539)</f>
        <v/>
      </c>
      <c r="D1521" s="5" t="str">
        <f>IF('FUENTE NO BORRAR'!D1539="","",'FUENTE NO BORRAR'!D1539)</f>
        <v/>
      </c>
      <c r="E1521" s="5" t="str">
        <f>IF('FUENTE NO BORRAR'!E1539="","",'FUENTE NO BORRAR'!E1539)</f>
        <v/>
      </c>
      <c r="F1521" s="6">
        <f>IF('FUENTE NO BORRAR'!F1539="","",IF('FUENTE NO BORRAR'!$A1539&lt;&gt;"Resultado total",('FUENTE NO BORRAR'!F1539),""))</f>
        <v>15636.43</v>
      </c>
      <c r="G1521" s="6">
        <f>IF('FUENTE NO BORRAR'!G1539="","",IF('FUENTE NO BORRAR'!$A1539&lt;&gt;"Resultado total",('FUENTE NO BORRAR'!G1539),""))</f>
        <v>15636.43</v>
      </c>
      <c r="H1521" s="6">
        <f>IF('FUENTE NO BORRAR'!H1539="","",IF('FUENTE NO BORRAR'!$A1539&lt;&gt;"Resultado total",('FUENTE NO BORRAR'!H1539),""))</f>
        <v>15636.43</v>
      </c>
      <c r="I1521" s="6">
        <f>IF('FUENTE NO BORRAR'!I1539="","",IF('FUENTE NO BORRAR'!$A1539&lt;&gt;"Resultado total",('FUENTE NO BORRAR'!I1539),""))</f>
        <v>0</v>
      </c>
    </row>
    <row r="1522" spans="1:9" x14ac:dyDescent="0.2">
      <c r="A1522" s="5" t="str">
        <f>IF('FUENTE NO BORRAR'!A1540="","",(IF('FUENTE NO BORRAR'!A1540&lt;&gt;"Resultado total",'FUENTE NO BORRAR'!A1540,"")))</f>
        <v/>
      </c>
      <c r="B1522" s="5" t="str">
        <f>IF('FUENTE NO BORRAR'!B1540="","",'FUENTE NO BORRAR'!B1540)</f>
        <v/>
      </c>
      <c r="C1522" s="5" t="str">
        <f>IF('FUENTE NO BORRAR'!C1540="","",'FUENTE NO BORRAR'!C1540)</f>
        <v/>
      </c>
      <c r="D1522" s="5" t="str">
        <f>IF('FUENTE NO BORRAR'!D1540="","",'FUENTE NO BORRAR'!D1540)</f>
        <v/>
      </c>
      <c r="E1522" s="5" t="str">
        <f>IF('FUENTE NO BORRAR'!E1540="","",'FUENTE NO BORRAR'!E1540)</f>
        <v/>
      </c>
      <c r="F1522" s="6">
        <f>IF('FUENTE NO BORRAR'!F1540="","",IF('FUENTE NO BORRAR'!$A1540&lt;&gt;"Resultado total",('FUENTE NO BORRAR'!F1540),""))</f>
        <v>0</v>
      </c>
      <c r="G1522" s="6">
        <f>IF('FUENTE NO BORRAR'!G1540="","",IF('FUENTE NO BORRAR'!$A1540&lt;&gt;"Resultado total",('FUENTE NO BORRAR'!G1540),""))</f>
        <v>0</v>
      </c>
      <c r="H1522" s="6">
        <f>IF('FUENTE NO BORRAR'!H1540="","",IF('FUENTE NO BORRAR'!$A1540&lt;&gt;"Resultado total",('FUENTE NO BORRAR'!H1540),""))</f>
        <v>0</v>
      </c>
      <c r="I1522" s="6">
        <f>IF('FUENTE NO BORRAR'!I1540="","",IF('FUENTE NO BORRAR'!$A1540&lt;&gt;"Resultado total",('FUENTE NO BORRAR'!I1540),""))</f>
        <v>0</v>
      </c>
    </row>
    <row r="1523" spans="1:9" x14ac:dyDescent="0.2">
      <c r="A1523" s="5" t="str">
        <f>IF('FUENTE NO BORRAR'!A1541="","",(IF('FUENTE NO BORRAR'!A1541&lt;&gt;"Resultado total",'FUENTE NO BORRAR'!A1541,"")))</f>
        <v/>
      </c>
      <c r="B1523" s="5" t="str">
        <f>IF('FUENTE NO BORRAR'!B1541="","",'FUENTE NO BORRAR'!B1541)</f>
        <v/>
      </c>
      <c r="C1523" s="5" t="str">
        <f>IF('FUENTE NO BORRAR'!C1541="","",'FUENTE NO BORRAR'!C1541)</f>
        <v/>
      </c>
      <c r="D1523" s="5" t="str">
        <f>IF('FUENTE NO BORRAR'!D1541="","",'FUENTE NO BORRAR'!D1541)</f>
        <v/>
      </c>
      <c r="E1523" s="5" t="str">
        <f>IF('FUENTE NO BORRAR'!E1541="","",'FUENTE NO BORRAR'!E1541)</f>
        <v/>
      </c>
      <c r="F1523" s="6">
        <f>IF('FUENTE NO BORRAR'!F1541="","",IF('FUENTE NO BORRAR'!$A1541&lt;&gt;"Resultado total",('FUENTE NO BORRAR'!F1541),""))</f>
        <v>633.01</v>
      </c>
      <c r="G1523" s="6">
        <f>IF('FUENTE NO BORRAR'!G1541="","",IF('FUENTE NO BORRAR'!$A1541&lt;&gt;"Resultado total",('FUENTE NO BORRAR'!G1541),""))</f>
        <v>633.01</v>
      </c>
      <c r="H1523" s="6">
        <f>IF('FUENTE NO BORRAR'!H1541="","",IF('FUENTE NO BORRAR'!$A1541&lt;&gt;"Resultado total",('FUENTE NO BORRAR'!H1541),""))</f>
        <v>633.01</v>
      </c>
      <c r="I1523" s="6">
        <f>IF('FUENTE NO BORRAR'!I1541="","",IF('FUENTE NO BORRAR'!$A1541&lt;&gt;"Resultado total",('FUENTE NO BORRAR'!I1541),""))</f>
        <v>0</v>
      </c>
    </row>
    <row r="1524" spans="1:9" x14ac:dyDescent="0.2">
      <c r="A1524" s="5" t="str">
        <f>IF('FUENTE NO BORRAR'!A1542="","",(IF('FUENTE NO BORRAR'!A1542&lt;&gt;"Resultado total",'FUENTE NO BORRAR'!A1542,"")))</f>
        <v/>
      </c>
      <c r="B1524" s="5" t="str">
        <f>IF('FUENTE NO BORRAR'!B1542="","",'FUENTE NO BORRAR'!B1542)</f>
        <v/>
      </c>
      <c r="C1524" s="5" t="str">
        <f>IF('FUENTE NO BORRAR'!C1542="","",'FUENTE NO BORRAR'!C1542)</f>
        <v/>
      </c>
      <c r="D1524" s="5" t="str">
        <f>IF('FUENTE NO BORRAR'!D1542="","",'FUENTE NO BORRAR'!D1542)</f>
        <v/>
      </c>
      <c r="E1524" s="5" t="str">
        <f>IF('FUENTE NO BORRAR'!E1542="","",'FUENTE NO BORRAR'!E1542)</f>
        <v/>
      </c>
      <c r="F1524" s="6">
        <f>IF('FUENTE NO BORRAR'!F1542="","",IF('FUENTE NO BORRAR'!$A1542&lt;&gt;"Resultado total",('FUENTE NO BORRAR'!F1542),""))</f>
        <v>405</v>
      </c>
      <c r="G1524" s="6">
        <f>IF('FUENTE NO BORRAR'!G1542="","",IF('FUENTE NO BORRAR'!$A1542&lt;&gt;"Resultado total",('FUENTE NO BORRAR'!G1542),""))</f>
        <v>405</v>
      </c>
      <c r="H1524" s="6">
        <f>IF('FUENTE NO BORRAR'!H1542="","",IF('FUENTE NO BORRAR'!$A1542&lt;&gt;"Resultado total",('FUENTE NO BORRAR'!H1542),""))</f>
        <v>405</v>
      </c>
      <c r="I1524" s="6">
        <f>IF('FUENTE NO BORRAR'!I1542="","",IF('FUENTE NO BORRAR'!$A1542&lt;&gt;"Resultado total",('FUENTE NO BORRAR'!I1542),""))</f>
        <v>0</v>
      </c>
    </row>
    <row r="1525" spans="1:9" x14ac:dyDescent="0.2">
      <c r="A1525" s="5" t="str">
        <f>IF('FUENTE NO BORRAR'!A1543="","",(IF('FUENTE NO BORRAR'!A1543&lt;&gt;"Resultado total",'FUENTE NO BORRAR'!A1543,"")))</f>
        <v/>
      </c>
      <c r="B1525" s="5" t="str">
        <f>IF('FUENTE NO BORRAR'!B1543="","",'FUENTE NO BORRAR'!B1543)</f>
        <v/>
      </c>
      <c r="C1525" s="5" t="str">
        <f>IF('FUENTE NO BORRAR'!C1543="","",'FUENTE NO BORRAR'!C1543)</f>
        <v/>
      </c>
      <c r="D1525" s="5" t="str">
        <f>IF('FUENTE NO BORRAR'!D1543="","",'FUENTE NO BORRAR'!D1543)</f>
        <v/>
      </c>
      <c r="E1525" s="5" t="str">
        <f>IF('FUENTE NO BORRAR'!E1543="","",'FUENTE NO BORRAR'!E1543)</f>
        <v/>
      </c>
      <c r="F1525" s="6">
        <f>IF('FUENTE NO BORRAR'!F1543="","",IF('FUENTE NO BORRAR'!$A1543&lt;&gt;"Resultado total",('FUENTE NO BORRAR'!F1543),""))</f>
        <v>23433.32</v>
      </c>
      <c r="G1525" s="6">
        <f>IF('FUENTE NO BORRAR'!G1543="","",IF('FUENTE NO BORRAR'!$A1543&lt;&gt;"Resultado total",('FUENTE NO BORRAR'!G1543),""))</f>
        <v>23433.32</v>
      </c>
      <c r="H1525" s="6">
        <f>IF('FUENTE NO BORRAR'!H1543="","",IF('FUENTE NO BORRAR'!$A1543&lt;&gt;"Resultado total",('FUENTE NO BORRAR'!H1543),""))</f>
        <v>23433.32</v>
      </c>
      <c r="I1525" s="6">
        <f>IF('FUENTE NO BORRAR'!I1543="","",IF('FUENTE NO BORRAR'!$A1543&lt;&gt;"Resultado total",('FUENTE NO BORRAR'!I1543),""))</f>
        <v>0</v>
      </c>
    </row>
    <row r="1526" spans="1:9" x14ac:dyDescent="0.2">
      <c r="A1526" s="5" t="str">
        <f>IF('FUENTE NO BORRAR'!A1544="","",(IF('FUENTE NO BORRAR'!A1544&lt;&gt;"Resultado total",'FUENTE NO BORRAR'!A1544,"")))</f>
        <v/>
      </c>
      <c r="B1526" s="5" t="str">
        <f>IF('FUENTE NO BORRAR'!B1544="","",'FUENTE NO BORRAR'!B1544)</f>
        <v/>
      </c>
      <c r="C1526" s="5" t="str">
        <f>IF('FUENTE NO BORRAR'!C1544="","",'FUENTE NO BORRAR'!C1544)</f>
        <v/>
      </c>
      <c r="D1526" s="5" t="str">
        <f>IF('FUENTE NO BORRAR'!D1544="","",'FUENTE NO BORRAR'!D1544)</f>
        <v/>
      </c>
      <c r="E1526" s="5" t="str">
        <f>IF('FUENTE NO BORRAR'!E1544="","",'FUENTE NO BORRAR'!E1544)</f>
        <v/>
      </c>
      <c r="F1526" s="6">
        <f>IF('FUENTE NO BORRAR'!F1544="","",IF('FUENTE NO BORRAR'!$A1544&lt;&gt;"Resultado total",('FUENTE NO BORRAR'!F1544),""))</f>
        <v>7367.48</v>
      </c>
      <c r="G1526" s="6">
        <f>IF('FUENTE NO BORRAR'!G1544="","",IF('FUENTE NO BORRAR'!$A1544&lt;&gt;"Resultado total",('FUENTE NO BORRAR'!G1544),""))</f>
        <v>7367.48</v>
      </c>
      <c r="H1526" s="6">
        <f>IF('FUENTE NO BORRAR'!H1544="","",IF('FUENTE NO BORRAR'!$A1544&lt;&gt;"Resultado total",('FUENTE NO BORRAR'!H1544),""))</f>
        <v>7367.48</v>
      </c>
      <c r="I1526" s="6">
        <f>IF('FUENTE NO BORRAR'!I1544="","",IF('FUENTE NO BORRAR'!$A1544&lt;&gt;"Resultado total",('FUENTE NO BORRAR'!I1544),""))</f>
        <v>0</v>
      </c>
    </row>
    <row r="1527" spans="1:9" x14ac:dyDescent="0.2">
      <c r="A1527" s="5" t="str">
        <f>IF('FUENTE NO BORRAR'!A1545="","",(IF('FUENTE NO BORRAR'!A1545&lt;&gt;"Resultado total",'FUENTE NO BORRAR'!A1545,"")))</f>
        <v/>
      </c>
      <c r="B1527" s="5" t="str">
        <f>IF('FUENTE NO BORRAR'!B1545="","",'FUENTE NO BORRAR'!B1545)</f>
        <v/>
      </c>
      <c r="C1527" s="5" t="str">
        <f>IF('FUENTE NO BORRAR'!C1545="","",'FUENTE NO BORRAR'!C1545)</f>
        <v/>
      </c>
      <c r="D1527" s="5" t="str">
        <f>IF('FUENTE NO BORRAR'!D1545="","",'FUENTE NO BORRAR'!D1545)</f>
        <v/>
      </c>
      <c r="E1527" s="5" t="str">
        <f>IF('FUENTE NO BORRAR'!E1545="","",'FUENTE NO BORRAR'!E1545)</f>
        <v/>
      </c>
      <c r="F1527" s="6">
        <f>IF('FUENTE NO BORRAR'!F1545="","",IF('FUENTE NO BORRAR'!$A1545&lt;&gt;"Resultado total",('FUENTE NO BORRAR'!F1545),""))</f>
        <v>355.98</v>
      </c>
      <c r="G1527" s="6">
        <f>IF('FUENTE NO BORRAR'!G1545="","",IF('FUENTE NO BORRAR'!$A1545&lt;&gt;"Resultado total",('FUENTE NO BORRAR'!G1545),""))</f>
        <v>355.98</v>
      </c>
      <c r="H1527" s="6">
        <f>IF('FUENTE NO BORRAR'!H1545="","",IF('FUENTE NO BORRAR'!$A1545&lt;&gt;"Resultado total",('FUENTE NO BORRAR'!H1545),""))</f>
        <v>355.98</v>
      </c>
      <c r="I1527" s="6">
        <f>IF('FUENTE NO BORRAR'!I1545="","",IF('FUENTE NO BORRAR'!$A1545&lt;&gt;"Resultado total",('FUENTE NO BORRAR'!I1545),""))</f>
        <v>0</v>
      </c>
    </row>
    <row r="1528" spans="1:9" x14ac:dyDescent="0.2">
      <c r="A1528" s="5" t="str">
        <f>IF('FUENTE NO BORRAR'!A1546="","",(IF('FUENTE NO BORRAR'!A1546&lt;&gt;"Resultado total",'FUENTE NO BORRAR'!A1546,"")))</f>
        <v/>
      </c>
      <c r="B1528" s="5" t="str">
        <f>IF('FUENTE NO BORRAR'!B1546="","",'FUENTE NO BORRAR'!B1546)</f>
        <v/>
      </c>
      <c r="C1528" s="5" t="str">
        <f>IF('FUENTE NO BORRAR'!C1546="","",'FUENTE NO BORRAR'!C1546)</f>
        <v/>
      </c>
      <c r="D1528" s="5" t="str">
        <f>IF('FUENTE NO BORRAR'!D1546="","",'FUENTE NO BORRAR'!D1546)</f>
        <v/>
      </c>
      <c r="E1528" s="5" t="str">
        <f>IF('FUENTE NO BORRAR'!E1546="","",'FUENTE NO BORRAR'!E1546)</f>
        <v/>
      </c>
      <c r="F1528" s="6">
        <f>IF('FUENTE NO BORRAR'!F1546="","",IF('FUENTE NO BORRAR'!$A1546&lt;&gt;"Resultado total",('FUENTE NO BORRAR'!F1546),""))</f>
        <v>0</v>
      </c>
      <c r="G1528" s="6">
        <f>IF('FUENTE NO BORRAR'!G1546="","",IF('FUENTE NO BORRAR'!$A1546&lt;&gt;"Resultado total",('FUENTE NO BORRAR'!G1546),""))</f>
        <v>0</v>
      </c>
      <c r="H1528" s="6">
        <f>IF('FUENTE NO BORRAR'!H1546="","",IF('FUENTE NO BORRAR'!$A1546&lt;&gt;"Resultado total",('FUENTE NO BORRAR'!H1546),""))</f>
        <v>0</v>
      </c>
      <c r="I1528" s="6">
        <f>IF('FUENTE NO BORRAR'!I1546="","",IF('FUENTE NO BORRAR'!$A1546&lt;&gt;"Resultado total",('FUENTE NO BORRAR'!I1546),""))</f>
        <v>0</v>
      </c>
    </row>
    <row r="1529" spans="1:9" x14ac:dyDescent="0.2">
      <c r="A1529" s="5" t="str">
        <f>IF('FUENTE NO BORRAR'!A1547="","",(IF('FUENTE NO BORRAR'!A1547&lt;&gt;"Resultado total",'FUENTE NO BORRAR'!A1547,"")))</f>
        <v/>
      </c>
      <c r="B1529" s="5" t="str">
        <f>IF('FUENTE NO BORRAR'!B1547="","",'FUENTE NO BORRAR'!B1547)</f>
        <v/>
      </c>
      <c r="C1529" s="5" t="str">
        <f>IF('FUENTE NO BORRAR'!C1547="","",'FUENTE NO BORRAR'!C1547)</f>
        <v/>
      </c>
      <c r="D1529" s="5" t="str">
        <f>IF('FUENTE NO BORRAR'!D1547="","",'FUENTE NO BORRAR'!D1547)</f>
        <v/>
      </c>
      <c r="E1529" s="5" t="str">
        <f>IF('FUENTE NO BORRAR'!E1547="","",'FUENTE NO BORRAR'!E1547)</f>
        <v/>
      </c>
      <c r="F1529" s="6">
        <f>IF('FUENTE NO BORRAR'!F1547="","",IF('FUENTE NO BORRAR'!$A1547&lt;&gt;"Resultado total",('FUENTE NO BORRAR'!F1547),""))</f>
        <v>96456.51</v>
      </c>
      <c r="G1529" s="6">
        <f>IF('FUENTE NO BORRAR'!G1547="","",IF('FUENTE NO BORRAR'!$A1547&lt;&gt;"Resultado total",('FUENTE NO BORRAR'!G1547),""))</f>
        <v>96456.51</v>
      </c>
      <c r="H1529" s="6">
        <f>IF('FUENTE NO BORRAR'!H1547="","",IF('FUENTE NO BORRAR'!$A1547&lt;&gt;"Resultado total",('FUENTE NO BORRAR'!H1547),""))</f>
        <v>86963.51</v>
      </c>
      <c r="I1529" s="6">
        <f>IF('FUENTE NO BORRAR'!I1547="","",IF('FUENTE NO BORRAR'!$A1547&lt;&gt;"Resultado total",('FUENTE NO BORRAR'!I1547),""))</f>
        <v>0</v>
      </c>
    </row>
    <row r="1530" spans="1:9" x14ac:dyDescent="0.2">
      <c r="A1530" s="5" t="str">
        <f>IF('FUENTE NO BORRAR'!A1548="","",(IF('FUENTE NO BORRAR'!A1548&lt;&gt;"Resultado total",'FUENTE NO BORRAR'!A1548,"")))</f>
        <v/>
      </c>
      <c r="B1530" s="5" t="str">
        <f>IF('FUENTE NO BORRAR'!B1548="","",'FUENTE NO BORRAR'!B1548)</f>
        <v/>
      </c>
      <c r="C1530" s="5" t="str">
        <f>IF('FUENTE NO BORRAR'!C1548="","",'FUENTE NO BORRAR'!C1548)</f>
        <v/>
      </c>
      <c r="D1530" s="5" t="str">
        <f>IF('FUENTE NO BORRAR'!D1548="","",'FUENTE NO BORRAR'!D1548)</f>
        <v/>
      </c>
      <c r="E1530" s="5" t="str">
        <f>IF('FUENTE NO BORRAR'!E1548="","",'FUENTE NO BORRAR'!E1548)</f>
        <v/>
      </c>
      <c r="F1530" s="6">
        <f>IF('FUENTE NO BORRAR'!F1548="","",IF('FUENTE NO BORRAR'!$A1548&lt;&gt;"Resultado total",('FUENTE NO BORRAR'!F1548),""))</f>
        <v>649</v>
      </c>
      <c r="G1530" s="6">
        <f>IF('FUENTE NO BORRAR'!G1548="","",IF('FUENTE NO BORRAR'!$A1548&lt;&gt;"Resultado total",('FUENTE NO BORRAR'!G1548),""))</f>
        <v>649</v>
      </c>
      <c r="H1530" s="6">
        <f>IF('FUENTE NO BORRAR'!H1548="","",IF('FUENTE NO BORRAR'!$A1548&lt;&gt;"Resultado total",('FUENTE NO BORRAR'!H1548),""))</f>
        <v>649</v>
      </c>
      <c r="I1530" s="6">
        <f>IF('FUENTE NO BORRAR'!I1548="","",IF('FUENTE NO BORRAR'!$A1548&lt;&gt;"Resultado total",('FUENTE NO BORRAR'!I1548),""))</f>
        <v>0</v>
      </c>
    </row>
    <row r="1531" spans="1:9" x14ac:dyDescent="0.2">
      <c r="A1531" s="5" t="str">
        <f>IF('FUENTE NO BORRAR'!A1549="","",(IF('FUENTE NO BORRAR'!A1549&lt;&gt;"Resultado total",'FUENTE NO BORRAR'!A1549,"")))</f>
        <v/>
      </c>
      <c r="B1531" s="5" t="str">
        <f>IF('FUENTE NO BORRAR'!B1549="","",'FUENTE NO BORRAR'!B1549)</f>
        <v/>
      </c>
      <c r="C1531" s="5" t="str">
        <f>IF('FUENTE NO BORRAR'!C1549="","",'FUENTE NO BORRAR'!C1549)</f>
        <v/>
      </c>
      <c r="D1531" s="5" t="str">
        <f>IF('FUENTE NO BORRAR'!D1549="","",'FUENTE NO BORRAR'!D1549)</f>
        <v/>
      </c>
      <c r="E1531" s="5" t="str">
        <f>IF('FUENTE NO BORRAR'!E1549="","",'FUENTE NO BORRAR'!E1549)</f>
        <v/>
      </c>
      <c r="F1531" s="6">
        <f>IF('FUENTE NO BORRAR'!F1549="","",IF('FUENTE NO BORRAR'!$A1549&lt;&gt;"Resultado total",('FUENTE NO BORRAR'!F1549),""))</f>
        <v>23206.99</v>
      </c>
      <c r="G1531" s="6">
        <f>IF('FUENTE NO BORRAR'!G1549="","",IF('FUENTE NO BORRAR'!$A1549&lt;&gt;"Resultado total",('FUENTE NO BORRAR'!G1549),""))</f>
        <v>23206.99</v>
      </c>
      <c r="H1531" s="6">
        <f>IF('FUENTE NO BORRAR'!H1549="","",IF('FUENTE NO BORRAR'!$A1549&lt;&gt;"Resultado total",('FUENTE NO BORRAR'!H1549),""))</f>
        <v>23206.99</v>
      </c>
      <c r="I1531" s="6">
        <f>IF('FUENTE NO BORRAR'!I1549="","",IF('FUENTE NO BORRAR'!$A1549&lt;&gt;"Resultado total",('FUENTE NO BORRAR'!I1549),""))</f>
        <v>0</v>
      </c>
    </row>
    <row r="1532" spans="1:9" x14ac:dyDescent="0.2">
      <c r="A1532" s="5" t="str">
        <f>IF('FUENTE NO BORRAR'!A1550="","",(IF('FUENTE NO BORRAR'!A1550&lt;&gt;"Resultado total",'FUENTE NO BORRAR'!A1550,"")))</f>
        <v/>
      </c>
      <c r="B1532" s="5" t="str">
        <f>IF('FUENTE NO BORRAR'!B1550="","",'FUENTE NO BORRAR'!B1550)</f>
        <v/>
      </c>
      <c r="C1532" s="5" t="str">
        <f>IF('FUENTE NO BORRAR'!C1550="","",'FUENTE NO BORRAR'!C1550)</f>
        <v/>
      </c>
      <c r="D1532" s="5" t="str">
        <f>IF('FUENTE NO BORRAR'!D1550="","",'FUENTE NO BORRAR'!D1550)</f>
        <v/>
      </c>
      <c r="E1532" s="5" t="str">
        <f>IF('FUENTE NO BORRAR'!E1550="","",'FUENTE NO BORRAR'!E1550)</f>
        <v/>
      </c>
      <c r="F1532" s="6">
        <f>IF('FUENTE NO BORRAR'!F1550="","",IF('FUENTE NO BORRAR'!$A1550&lt;&gt;"Resultado total",('FUENTE NO BORRAR'!F1550),""))</f>
        <v>749.84</v>
      </c>
      <c r="G1532" s="6">
        <f>IF('FUENTE NO BORRAR'!G1550="","",IF('FUENTE NO BORRAR'!$A1550&lt;&gt;"Resultado total",('FUENTE NO BORRAR'!G1550),""))</f>
        <v>749.84</v>
      </c>
      <c r="H1532" s="6">
        <f>IF('FUENTE NO BORRAR'!H1550="","",IF('FUENTE NO BORRAR'!$A1550&lt;&gt;"Resultado total",('FUENTE NO BORRAR'!H1550),""))</f>
        <v>749.84</v>
      </c>
      <c r="I1532" s="6">
        <f>IF('FUENTE NO BORRAR'!I1550="","",IF('FUENTE NO BORRAR'!$A1550&lt;&gt;"Resultado total",('FUENTE NO BORRAR'!I1550),""))</f>
        <v>0</v>
      </c>
    </row>
    <row r="1533" spans="1:9" x14ac:dyDescent="0.2">
      <c r="A1533" s="5" t="str">
        <f>IF('FUENTE NO BORRAR'!A1551="","",(IF('FUENTE NO BORRAR'!A1551&lt;&gt;"Resultado total",'FUENTE NO BORRAR'!A1551,"")))</f>
        <v/>
      </c>
      <c r="B1533" s="5" t="str">
        <f>IF('FUENTE NO BORRAR'!B1551="","",'FUENTE NO BORRAR'!B1551)</f>
        <v/>
      </c>
      <c r="C1533" s="5" t="str">
        <f>IF('FUENTE NO BORRAR'!C1551="","",'FUENTE NO BORRAR'!C1551)</f>
        <v/>
      </c>
      <c r="D1533" s="5" t="str">
        <f>IF('FUENTE NO BORRAR'!D1551="","",'FUENTE NO BORRAR'!D1551)</f>
        <v/>
      </c>
      <c r="E1533" s="5" t="str">
        <f>IF('FUENTE NO BORRAR'!E1551="","",'FUENTE NO BORRAR'!E1551)</f>
        <v/>
      </c>
      <c r="F1533" s="6">
        <f>IF('FUENTE NO BORRAR'!F1551="","",IF('FUENTE NO BORRAR'!$A1551&lt;&gt;"Resultado total",('FUENTE NO BORRAR'!F1551),""))</f>
        <v>628202.64</v>
      </c>
      <c r="G1533" s="6">
        <f>IF('FUENTE NO BORRAR'!G1551="","",IF('FUENTE NO BORRAR'!$A1551&lt;&gt;"Resultado total",('FUENTE NO BORRAR'!G1551),""))</f>
        <v>628202.64</v>
      </c>
      <c r="H1533" s="6">
        <f>IF('FUENTE NO BORRAR'!H1551="","",IF('FUENTE NO BORRAR'!$A1551&lt;&gt;"Resultado total",('FUENTE NO BORRAR'!H1551),""))</f>
        <v>489002.64</v>
      </c>
      <c r="I1533" s="6">
        <f>IF('FUENTE NO BORRAR'!I1551="","",IF('FUENTE NO BORRAR'!$A1551&lt;&gt;"Resultado total",('FUENTE NO BORRAR'!I1551),""))</f>
        <v>0</v>
      </c>
    </row>
    <row r="1534" spans="1:9" x14ac:dyDescent="0.2">
      <c r="A1534" s="5" t="str">
        <f>IF('FUENTE NO BORRAR'!A1552="","",(IF('FUENTE NO BORRAR'!A1552&lt;&gt;"Resultado total",'FUENTE NO BORRAR'!A1552,"")))</f>
        <v/>
      </c>
      <c r="B1534" s="5" t="str">
        <f>IF('FUENTE NO BORRAR'!B1552="","",'FUENTE NO BORRAR'!B1552)</f>
        <v/>
      </c>
      <c r="C1534" s="5" t="str">
        <f>IF('FUENTE NO BORRAR'!C1552="","",'FUENTE NO BORRAR'!C1552)</f>
        <v/>
      </c>
      <c r="D1534" s="5" t="str">
        <f>IF('FUENTE NO BORRAR'!D1552="","",'FUENTE NO BORRAR'!D1552)</f>
        <v/>
      </c>
      <c r="E1534" s="5" t="str">
        <f>IF('FUENTE NO BORRAR'!E1552="","",'FUENTE NO BORRAR'!E1552)</f>
        <v/>
      </c>
      <c r="F1534" s="6">
        <f>IF('FUENTE NO BORRAR'!F1552="","",IF('FUENTE NO BORRAR'!$A1552&lt;&gt;"Resultado total",('FUENTE NO BORRAR'!F1552),""))</f>
        <v>261</v>
      </c>
      <c r="G1534" s="6">
        <f>IF('FUENTE NO BORRAR'!G1552="","",IF('FUENTE NO BORRAR'!$A1552&lt;&gt;"Resultado total",('FUENTE NO BORRAR'!G1552),""))</f>
        <v>261</v>
      </c>
      <c r="H1534" s="6">
        <f>IF('FUENTE NO BORRAR'!H1552="","",IF('FUENTE NO BORRAR'!$A1552&lt;&gt;"Resultado total",('FUENTE NO BORRAR'!H1552),""))</f>
        <v>261</v>
      </c>
      <c r="I1534" s="6">
        <f>IF('FUENTE NO BORRAR'!I1552="","",IF('FUENTE NO BORRAR'!$A1552&lt;&gt;"Resultado total",('FUENTE NO BORRAR'!I1552),""))</f>
        <v>0</v>
      </c>
    </row>
    <row r="1535" spans="1:9" x14ac:dyDescent="0.2">
      <c r="A1535" s="5" t="str">
        <f>IF('FUENTE NO BORRAR'!A1553="","",(IF('FUENTE NO BORRAR'!A1553&lt;&gt;"Resultado total",'FUENTE NO BORRAR'!A1553,"")))</f>
        <v/>
      </c>
      <c r="B1535" s="5" t="str">
        <f>IF('FUENTE NO BORRAR'!B1553="","",'FUENTE NO BORRAR'!B1553)</f>
        <v/>
      </c>
      <c r="C1535" s="5" t="str">
        <f>IF('FUENTE NO BORRAR'!C1553="","",'FUENTE NO BORRAR'!C1553)</f>
        <v/>
      </c>
      <c r="D1535" s="5" t="str">
        <f>IF('FUENTE NO BORRAR'!D1553="","",'FUENTE NO BORRAR'!D1553)</f>
        <v/>
      </c>
      <c r="E1535" s="5" t="str">
        <f>IF('FUENTE NO BORRAR'!E1553="","",'FUENTE NO BORRAR'!E1553)</f>
        <v/>
      </c>
      <c r="F1535" s="6">
        <f>IF('FUENTE NO BORRAR'!F1553="","",IF('FUENTE NO BORRAR'!$A1553&lt;&gt;"Resultado total",('FUENTE NO BORRAR'!F1553),""))</f>
        <v>0</v>
      </c>
      <c r="G1535" s="6">
        <f>IF('FUENTE NO BORRAR'!G1553="","",IF('FUENTE NO BORRAR'!$A1553&lt;&gt;"Resultado total",('FUENTE NO BORRAR'!G1553),""))</f>
        <v>0</v>
      </c>
      <c r="H1535" s="6">
        <f>IF('FUENTE NO BORRAR'!H1553="","",IF('FUENTE NO BORRAR'!$A1553&lt;&gt;"Resultado total",('FUENTE NO BORRAR'!H1553),""))</f>
        <v>0</v>
      </c>
      <c r="I1535" s="6">
        <f>IF('FUENTE NO BORRAR'!I1553="","",IF('FUENTE NO BORRAR'!$A1553&lt;&gt;"Resultado total",('FUENTE NO BORRAR'!I1553),""))</f>
        <v>0</v>
      </c>
    </row>
    <row r="1536" spans="1:9" x14ac:dyDescent="0.2">
      <c r="A1536" s="5" t="str">
        <f>IF('FUENTE NO BORRAR'!A1554="","",(IF('FUENTE NO BORRAR'!A1554&lt;&gt;"Resultado total",'FUENTE NO BORRAR'!A1554,"")))</f>
        <v/>
      </c>
      <c r="B1536" s="5" t="str">
        <f>IF('FUENTE NO BORRAR'!B1554="","",'FUENTE NO BORRAR'!B1554)</f>
        <v/>
      </c>
      <c r="C1536" s="5" t="str">
        <f>IF('FUENTE NO BORRAR'!C1554="","",'FUENTE NO BORRAR'!C1554)</f>
        <v/>
      </c>
      <c r="D1536" s="5" t="str">
        <f>IF('FUENTE NO BORRAR'!D1554="","",'FUENTE NO BORRAR'!D1554)</f>
        <v/>
      </c>
      <c r="E1536" s="5" t="str">
        <f>IF('FUENTE NO BORRAR'!E1554="","",'FUENTE NO BORRAR'!E1554)</f>
        <v/>
      </c>
      <c r="F1536" s="6">
        <f>IF('FUENTE NO BORRAR'!F1554="","",IF('FUENTE NO BORRAR'!$A1554&lt;&gt;"Resultado total",('FUENTE NO BORRAR'!F1554),""))</f>
        <v>68962.44</v>
      </c>
      <c r="G1536" s="6">
        <f>IF('FUENTE NO BORRAR'!G1554="","",IF('FUENTE NO BORRAR'!$A1554&lt;&gt;"Resultado total",('FUENTE NO BORRAR'!G1554),""))</f>
        <v>68962.44</v>
      </c>
      <c r="H1536" s="6">
        <f>IF('FUENTE NO BORRAR'!H1554="","",IF('FUENTE NO BORRAR'!$A1554&lt;&gt;"Resultado total",('FUENTE NO BORRAR'!H1554),""))</f>
        <v>21235.51</v>
      </c>
      <c r="I1536" s="6">
        <f>IF('FUENTE NO BORRAR'!I1554="","",IF('FUENTE NO BORRAR'!$A1554&lt;&gt;"Resultado total",('FUENTE NO BORRAR'!I1554),""))</f>
        <v>0</v>
      </c>
    </row>
    <row r="1537" spans="1:9" x14ac:dyDescent="0.2">
      <c r="A1537" s="5" t="str">
        <f>IF('FUENTE NO BORRAR'!A1555="","",(IF('FUENTE NO BORRAR'!A1555&lt;&gt;"Resultado total",'FUENTE NO BORRAR'!A1555,"")))</f>
        <v/>
      </c>
      <c r="B1537" s="5" t="str">
        <f>IF('FUENTE NO BORRAR'!B1555="","",'FUENTE NO BORRAR'!B1555)</f>
        <v/>
      </c>
      <c r="C1537" s="5" t="str">
        <f>IF('FUENTE NO BORRAR'!C1555="","",'FUENTE NO BORRAR'!C1555)</f>
        <v/>
      </c>
      <c r="D1537" s="5" t="str">
        <f>IF('FUENTE NO BORRAR'!D1555="","",'FUENTE NO BORRAR'!D1555)</f>
        <v/>
      </c>
      <c r="E1537" s="5" t="str">
        <f>IF('FUENTE NO BORRAR'!E1555="","",'FUENTE NO BORRAR'!E1555)</f>
        <v/>
      </c>
      <c r="F1537" s="6">
        <f>IF('FUENTE NO BORRAR'!F1555="","",IF('FUENTE NO BORRAR'!$A1555&lt;&gt;"Resultado total",('FUENTE NO BORRAR'!F1555),""))</f>
        <v>4070.44</v>
      </c>
      <c r="G1537" s="6">
        <f>IF('FUENTE NO BORRAR'!G1555="","",IF('FUENTE NO BORRAR'!$A1555&lt;&gt;"Resultado total",('FUENTE NO BORRAR'!G1555),""))</f>
        <v>4070.44</v>
      </c>
      <c r="H1537" s="6">
        <f>IF('FUENTE NO BORRAR'!H1555="","",IF('FUENTE NO BORRAR'!$A1555&lt;&gt;"Resultado total",('FUENTE NO BORRAR'!H1555),""))</f>
        <v>4070.44</v>
      </c>
      <c r="I1537" s="6">
        <f>IF('FUENTE NO BORRAR'!I1555="","",IF('FUENTE NO BORRAR'!$A1555&lt;&gt;"Resultado total",('FUENTE NO BORRAR'!I1555),""))</f>
        <v>0</v>
      </c>
    </row>
    <row r="1538" spans="1:9" x14ac:dyDescent="0.2">
      <c r="A1538" s="5" t="str">
        <f>IF('FUENTE NO BORRAR'!A1556="","",(IF('FUENTE NO BORRAR'!A1556&lt;&gt;"Resultado total",'FUENTE NO BORRAR'!A1556,"")))</f>
        <v/>
      </c>
      <c r="B1538" s="5" t="str">
        <f>IF('FUENTE NO BORRAR'!B1556="","",'FUENTE NO BORRAR'!B1556)</f>
        <v/>
      </c>
      <c r="C1538" s="5" t="str">
        <f>IF('FUENTE NO BORRAR'!C1556="","",'FUENTE NO BORRAR'!C1556)</f>
        <v/>
      </c>
      <c r="D1538" s="5" t="str">
        <f>IF('FUENTE NO BORRAR'!D1556="","",'FUENTE NO BORRAR'!D1556)</f>
        <v/>
      </c>
      <c r="E1538" s="5" t="str">
        <f>IF('FUENTE NO BORRAR'!E1556="","",'FUENTE NO BORRAR'!E1556)</f>
        <v/>
      </c>
      <c r="F1538" s="6">
        <f>IF('FUENTE NO BORRAR'!F1556="","",IF('FUENTE NO BORRAR'!$A1556&lt;&gt;"Resultado total",('FUENTE NO BORRAR'!F1556),""))</f>
        <v>1740</v>
      </c>
      <c r="G1538" s="6">
        <f>IF('FUENTE NO BORRAR'!G1556="","",IF('FUENTE NO BORRAR'!$A1556&lt;&gt;"Resultado total",('FUENTE NO BORRAR'!G1556),""))</f>
        <v>1740</v>
      </c>
      <c r="H1538" s="6">
        <f>IF('FUENTE NO BORRAR'!H1556="","",IF('FUENTE NO BORRAR'!$A1556&lt;&gt;"Resultado total",('FUENTE NO BORRAR'!H1556),""))</f>
        <v>0</v>
      </c>
      <c r="I1538" s="6">
        <f>IF('FUENTE NO BORRAR'!I1556="","",IF('FUENTE NO BORRAR'!$A1556&lt;&gt;"Resultado total",('FUENTE NO BORRAR'!I1556),""))</f>
        <v>0</v>
      </c>
    </row>
    <row r="1539" spans="1:9" x14ac:dyDescent="0.2">
      <c r="A1539" s="5" t="str">
        <f>IF('FUENTE NO BORRAR'!A1557="","",(IF('FUENTE NO BORRAR'!A1557&lt;&gt;"Resultado total",'FUENTE NO BORRAR'!A1557,"")))</f>
        <v/>
      </c>
      <c r="B1539" s="5" t="str">
        <f>IF('FUENTE NO BORRAR'!B1557="","",'FUENTE NO BORRAR'!B1557)</f>
        <v/>
      </c>
      <c r="C1539" s="5" t="str">
        <f>IF('FUENTE NO BORRAR'!C1557="","",'FUENTE NO BORRAR'!C1557)</f>
        <v/>
      </c>
      <c r="D1539" s="5" t="str">
        <f>IF('FUENTE NO BORRAR'!D1557="","",'FUENTE NO BORRAR'!D1557)</f>
        <v/>
      </c>
      <c r="E1539" s="5" t="str">
        <f>IF('FUENTE NO BORRAR'!E1557="","",'FUENTE NO BORRAR'!E1557)</f>
        <v/>
      </c>
      <c r="F1539" s="6">
        <f>IF('FUENTE NO BORRAR'!F1557="","",IF('FUENTE NO BORRAR'!$A1557&lt;&gt;"Resultado total",('FUENTE NO BORRAR'!F1557),""))</f>
        <v>63565</v>
      </c>
      <c r="G1539" s="6">
        <f>IF('FUENTE NO BORRAR'!G1557="","",IF('FUENTE NO BORRAR'!$A1557&lt;&gt;"Resultado total",('FUENTE NO BORRAR'!G1557),""))</f>
        <v>63565</v>
      </c>
      <c r="H1539" s="6">
        <f>IF('FUENTE NO BORRAR'!H1557="","",IF('FUENTE NO BORRAR'!$A1557&lt;&gt;"Resultado total",('FUENTE NO BORRAR'!H1557),""))</f>
        <v>51480</v>
      </c>
      <c r="I1539" s="6">
        <f>IF('FUENTE NO BORRAR'!I1557="","",IF('FUENTE NO BORRAR'!$A1557&lt;&gt;"Resultado total",('FUENTE NO BORRAR'!I1557),""))</f>
        <v>0</v>
      </c>
    </row>
    <row r="1540" spans="1:9" x14ac:dyDescent="0.2">
      <c r="A1540" s="5" t="str">
        <f>IF('FUENTE NO BORRAR'!A1558="","",(IF('FUENTE NO BORRAR'!A1558&lt;&gt;"Resultado total",'FUENTE NO BORRAR'!A1558,"")))</f>
        <v/>
      </c>
      <c r="B1540" s="5" t="str">
        <f>IF('FUENTE NO BORRAR'!B1558="","",'FUENTE NO BORRAR'!B1558)</f>
        <v/>
      </c>
      <c r="C1540" s="5" t="str">
        <f>IF('FUENTE NO BORRAR'!C1558="","",'FUENTE NO BORRAR'!C1558)</f>
        <v/>
      </c>
      <c r="D1540" s="5" t="str">
        <f>IF('FUENTE NO BORRAR'!D1558="","",'FUENTE NO BORRAR'!D1558)</f>
        <v/>
      </c>
      <c r="E1540" s="5" t="str">
        <f>IF('FUENTE NO BORRAR'!E1558="","",'FUENTE NO BORRAR'!E1558)</f>
        <v/>
      </c>
      <c r="F1540" s="6">
        <f>IF('FUENTE NO BORRAR'!F1558="","",IF('FUENTE NO BORRAR'!$A1558&lt;&gt;"Resultado total",('FUENTE NO BORRAR'!F1558),""))</f>
        <v>20331</v>
      </c>
      <c r="G1540" s="6">
        <f>IF('FUENTE NO BORRAR'!G1558="","",IF('FUENTE NO BORRAR'!$A1558&lt;&gt;"Resultado total",('FUENTE NO BORRAR'!G1558),""))</f>
        <v>20331</v>
      </c>
      <c r="H1540" s="6">
        <f>IF('FUENTE NO BORRAR'!H1558="","",IF('FUENTE NO BORRAR'!$A1558&lt;&gt;"Resultado total",('FUENTE NO BORRAR'!H1558),""))</f>
        <v>20331</v>
      </c>
      <c r="I1540" s="6">
        <f>IF('FUENTE NO BORRAR'!I1558="","",IF('FUENTE NO BORRAR'!$A1558&lt;&gt;"Resultado total",('FUENTE NO BORRAR'!I1558),""))</f>
        <v>0</v>
      </c>
    </row>
    <row r="1541" spans="1:9" x14ac:dyDescent="0.2">
      <c r="A1541" s="5" t="str">
        <f>IF('FUENTE NO BORRAR'!A1559="","",(IF('FUENTE NO BORRAR'!A1559&lt;&gt;"Resultado total",'FUENTE NO BORRAR'!A1559,"")))</f>
        <v/>
      </c>
      <c r="B1541" s="5" t="str">
        <f>IF('FUENTE NO BORRAR'!B1559="","",'FUENTE NO BORRAR'!B1559)</f>
        <v/>
      </c>
      <c r="C1541" s="5" t="str">
        <f>IF('FUENTE NO BORRAR'!C1559="","",'FUENTE NO BORRAR'!C1559)</f>
        <v/>
      </c>
      <c r="D1541" s="5" t="str">
        <f>IF('FUENTE NO BORRAR'!D1559="","",'FUENTE NO BORRAR'!D1559)</f>
        <v/>
      </c>
      <c r="E1541" s="5" t="str">
        <f>IF('FUENTE NO BORRAR'!E1559="","",'FUENTE NO BORRAR'!E1559)</f>
        <v/>
      </c>
      <c r="F1541" s="6">
        <f>IF('FUENTE NO BORRAR'!F1559="","",IF('FUENTE NO BORRAR'!$A1559&lt;&gt;"Resultado total",('FUENTE NO BORRAR'!F1559),""))</f>
        <v>0</v>
      </c>
      <c r="G1541" s="6">
        <f>IF('FUENTE NO BORRAR'!G1559="","",IF('FUENTE NO BORRAR'!$A1559&lt;&gt;"Resultado total",('FUENTE NO BORRAR'!G1559),""))</f>
        <v>0</v>
      </c>
      <c r="H1541" s="6">
        <f>IF('FUENTE NO BORRAR'!H1559="","",IF('FUENTE NO BORRAR'!$A1559&lt;&gt;"Resultado total",('FUENTE NO BORRAR'!H1559),""))</f>
        <v>0</v>
      </c>
      <c r="I1541" s="6">
        <f>IF('FUENTE NO BORRAR'!I1559="","",IF('FUENTE NO BORRAR'!$A1559&lt;&gt;"Resultado total",('FUENTE NO BORRAR'!I1559),""))</f>
        <v>0</v>
      </c>
    </row>
    <row r="1542" spans="1:9" x14ac:dyDescent="0.2">
      <c r="A1542" s="5" t="str">
        <f>IF('FUENTE NO BORRAR'!A1560="","",(IF('FUENTE NO BORRAR'!A1560&lt;&gt;"Resultado total",'FUENTE NO BORRAR'!A1560,"")))</f>
        <v/>
      </c>
      <c r="B1542" s="5" t="str">
        <f>IF('FUENTE NO BORRAR'!B1560="","",'FUENTE NO BORRAR'!B1560)</f>
        <v/>
      </c>
      <c r="C1542" s="5" t="str">
        <f>IF('FUENTE NO BORRAR'!C1560="","",'FUENTE NO BORRAR'!C1560)</f>
        <v/>
      </c>
      <c r="D1542" s="5" t="str">
        <f>IF('FUENTE NO BORRAR'!D1560="","",'FUENTE NO BORRAR'!D1560)</f>
        <v/>
      </c>
      <c r="E1542" s="5" t="str">
        <f>IF('FUENTE NO BORRAR'!E1560="","",'FUENTE NO BORRAR'!E1560)</f>
        <v/>
      </c>
      <c r="F1542" s="6">
        <f>IF('FUENTE NO BORRAR'!F1560="","",IF('FUENTE NO BORRAR'!$A1560&lt;&gt;"Resultado total",('FUENTE NO BORRAR'!F1560),""))</f>
        <v>0</v>
      </c>
      <c r="G1542" s="6">
        <f>IF('FUENTE NO BORRAR'!G1560="","",IF('FUENTE NO BORRAR'!$A1560&lt;&gt;"Resultado total",('FUENTE NO BORRAR'!G1560),""))</f>
        <v>0</v>
      </c>
      <c r="H1542" s="6">
        <f>IF('FUENTE NO BORRAR'!H1560="","",IF('FUENTE NO BORRAR'!$A1560&lt;&gt;"Resultado total",('FUENTE NO BORRAR'!H1560),""))</f>
        <v>0</v>
      </c>
      <c r="I1542" s="6">
        <f>IF('FUENTE NO BORRAR'!I1560="","",IF('FUENTE NO BORRAR'!$A1560&lt;&gt;"Resultado total",('FUENTE NO BORRAR'!I1560),""))</f>
        <v>0</v>
      </c>
    </row>
    <row r="1543" spans="1:9" x14ac:dyDescent="0.2">
      <c r="A1543" s="5" t="str">
        <f>IF('FUENTE NO BORRAR'!A1561="","",(IF('FUENTE NO BORRAR'!A1561&lt;&gt;"Resultado total",'FUENTE NO BORRAR'!A1561,"")))</f>
        <v/>
      </c>
      <c r="B1543" s="5" t="str">
        <f>IF('FUENTE NO BORRAR'!B1561="","",'FUENTE NO BORRAR'!B1561)</f>
        <v/>
      </c>
      <c r="C1543" s="5" t="str">
        <f>IF('FUENTE NO BORRAR'!C1561="","",'FUENTE NO BORRAR'!C1561)</f>
        <v>23022012E202</v>
      </c>
      <c r="D1543" s="5" t="str">
        <f>IF('FUENTE NO BORRAR'!D1561="","",'FUENTE NO BORRAR'!D1561)</f>
        <v>23022012E202</v>
      </c>
      <c r="E1543" s="5" t="str">
        <f>IF('FUENTE NO BORRAR'!E1561="","",'FUENTE NO BORRAR'!E1561)</f>
        <v/>
      </c>
      <c r="F1543" s="6">
        <f>IF('FUENTE NO BORRAR'!F1561="","",IF('FUENTE NO BORRAR'!$A1561&lt;&gt;"Resultado total",('FUENTE NO BORRAR'!F1561),""))</f>
        <v>2198564.7200000002</v>
      </c>
      <c r="G1543" s="6">
        <f>IF('FUENTE NO BORRAR'!G1561="","",IF('FUENTE NO BORRAR'!$A1561&lt;&gt;"Resultado total",('FUENTE NO BORRAR'!G1561),""))</f>
        <v>2198564.7200000002</v>
      </c>
      <c r="H1543" s="6">
        <f>IF('FUENTE NO BORRAR'!H1561="","",IF('FUENTE NO BORRAR'!$A1561&lt;&gt;"Resultado total",('FUENTE NO BORRAR'!H1561),""))</f>
        <v>2198564.7200000002</v>
      </c>
      <c r="I1543" s="6">
        <f>IF('FUENTE NO BORRAR'!I1561="","",IF('FUENTE NO BORRAR'!$A1561&lt;&gt;"Resultado total",('FUENTE NO BORRAR'!I1561),""))</f>
        <v>0</v>
      </c>
    </row>
    <row r="1544" spans="1:9" x14ac:dyDescent="0.2">
      <c r="A1544" s="5" t="str">
        <f>IF('FUENTE NO BORRAR'!A1562="","",(IF('FUENTE NO BORRAR'!A1562&lt;&gt;"Resultado total",'FUENTE NO BORRAR'!A1562,"")))</f>
        <v/>
      </c>
      <c r="B1544" s="5" t="str">
        <f>IF('FUENTE NO BORRAR'!B1562="","",'FUENTE NO BORRAR'!B1562)</f>
        <v/>
      </c>
      <c r="C1544" s="5" t="str">
        <f>IF('FUENTE NO BORRAR'!C1562="","",'FUENTE NO BORRAR'!C1562)</f>
        <v/>
      </c>
      <c r="D1544" s="5" t="str">
        <f>IF('FUENTE NO BORRAR'!D1562="","",'FUENTE NO BORRAR'!D1562)</f>
        <v/>
      </c>
      <c r="E1544" s="5" t="str">
        <f>IF('FUENTE NO BORRAR'!E1562="","",'FUENTE NO BORRAR'!E1562)</f>
        <v/>
      </c>
      <c r="F1544" s="6">
        <f>IF('FUENTE NO BORRAR'!F1562="","",IF('FUENTE NO BORRAR'!$A1562&lt;&gt;"Resultado total",('FUENTE NO BORRAR'!F1562),""))</f>
        <v>884141.29</v>
      </c>
      <c r="G1544" s="6">
        <f>IF('FUENTE NO BORRAR'!G1562="","",IF('FUENTE NO BORRAR'!$A1562&lt;&gt;"Resultado total",('FUENTE NO BORRAR'!G1562),""))</f>
        <v>884141.29</v>
      </c>
      <c r="H1544" s="6">
        <f>IF('FUENTE NO BORRAR'!H1562="","",IF('FUENTE NO BORRAR'!$A1562&lt;&gt;"Resultado total",('FUENTE NO BORRAR'!H1562),""))</f>
        <v>884141.29</v>
      </c>
      <c r="I1544" s="6">
        <f>IF('FUENTE NO BORRAR'!I1562="","",IF('FUENTE NO BORRAR'!$A1562&lt;&gt;"Resultado total",('FUENTE NO BORRAR'!I1562),""))</f>
        <v>0</v>
      </c>
    </row>
    <row r="1545" spans="1:9" x14ac:dyDescent="0.2">
      <c r="A1545" s="5" t="str">
        <f>IF('FUENTE NO BORRAR'!A1563="","",(IF('FUENTE NO BORRAR'!A1563&lt;&gt;"Resultado total",'FUENTE NO BORRAR'!A1563,"")))</f>
        <v/>
      </c>
      <c r="B1545" s="5" t="str">
        <f>IF('FUENTE NO BORRAR'!B1563="","",'FUENTE NO BORRAR'!B1563)</f>
        <v/>
      </c>
      <c r="C1545" s="5" t="str">
        <f>IF('FUENTE NO BORRAR'!C1563="","",'FUENTE NO BORRAR'!C1563)</f>
        <v/>
      </c>
      <c r="D1545" s="5" t="str">
        <f>IF('FUENTE NO BORRAR'!D1563="","",'FUENTE NO BORRAR'!D1563)</f>
        <v/>
      </c>
      <c r="E1545" s="5" t="str">
        <f>IF('FUENTE NO BORRAR'!E1563="","",'FUENTE NO BORRAR'!E1563)</f>
        <v/>
      </c>
      <c r="F1545" s="6">
        <f>IF('FUENTE NO BORRAR'!F1563="","",IF('FUENTE NO BORRAR'!$A1563&lt;&gt;"Resultado total",('FUENTE NO BORRAR'!F1563),""))</f>
        <v>241506.47</v>
      </c>
      <c r="G1545" s="6">
        <f>IF('FUENTE NO BORRAR'!G1563="","",IF('FUENTE NO BORRAR'!$A1563&lt;&gt;"Resultado total",('FUENTE NO BORRAR'!G1563),""))</f>
        <v>241506.47</v>
      </c>
      <c r="H1545" s="6">
        <f>IF('FUENTE NO BORRAR'!H1563="","",IF('FUENTE NO BORRAR'!$A1563&lt;&gt;"Resultado total",('FUENTE NO BORRAR'!H1563),""))</f>
        <v>241506.47</v>
      </c>
      <c r="I1545" s="6">
        <f>IF('FUENTE NO BORRAR'!I1563="","",IF('FUENTE NO BORRAR'!$A1563&lt;&gt;"Resultado total",('FUENTE NO BORRAR'!I1563),""))</f>
        <v>0</v>
      </c>
    </row>
    <row r="1546" spans="1:9" x14ac:dyDescent="0.2">
      <c r="A1546" s="5" t="str">
        <f>IF('FUENTE NO BORRAR'!A1564="","",(IF('FUENTE NO BORRAR'!A1564&lt;&gt;"Resultado total",'FUENTE NO BORRAR'!A1564,"")))</f>
        <v/>
      </c>
      <c r="B1546" s="5" t="str">
        <f>IF('FUENTE NO BORRAR'!B1564="","",'FUENTE NO BORRAR'!B1564)</f>
        <v/>
      </c>
      <c r="C1546" s="5" t="str">
        <f>IF('FUENTE NO BORRAR'!C1564="","",'FUENTE NO BORRAR'!C1564)</f>
        <v/>
      </c>
      <c r="D1546" s="5" t="str">
        <f>IF('FUENTE NO BORRAR'!D1564="","",'FUENTE NO BORRAR'!D1564)</f>
        <v/>
      </c>
      <c r="E1546" s="5" t="str">
        <f>IF('FUENTE NO BORRAR'!E1564="","",'FUENTE NO BORRAR'!E1564)</f>
        <v/>
      </c>
      <c r="F1546" s="6">
        <f>IF('FUENTE NO BORRAR'!F1564="","",IF('FUENTE NO BORRAR'!$A1564&lt;&gt;"Resultado total",('FUENTE NO BORRAR'!F1564),""))</f>
        <v>80247.86</v>
      </c>
      <c r="G1546" s="6">
        <f>IF('FUENTE NO BORRAR'!G1564="","",IF('FUENTE NO BORRAR'!$A1564&lt;&gt;"Resultado total",('FUENTE NO BORRAR'!G1564),""))</f>
        <v>80247.86</v>
      </c>
      <c r="H1546" s="6">
        <f>IF('FUENTE NO BORRAR'!H1564="","",IF('FUENTE NO BORRAR'!$A1564&lt;&gt;"Resultado total",('FUENTE NO BORRAR'!H1564),""))</f>
        <v>80247.86</v>
      </c>
      <c r="I1546" s="6">
        <f>IF('FUENTE NO BORRAR'!I1564="","",IF('FUENTE NO BORRAR'!$A1564&lt;&gt;"Resultado total",('FUENTE NO BORRAR'!I1564),""))</f>
        <v>0</v>
      </c>
    </row>
    <row r="1547" spans="1:9" x14ac:dyDescent="0.2">
      <c r="A1547" s="5" t="str">
        <f>IF('FUENTE NO BORRAR'!A1565="","",(IF('FUENTE NO BORRAR'!A1565&lt;&gt;"Resultado total",'FUENTE NO BORRAR'!A1565,"")))</f>
        <v/>
      </c>
      <c r="B1547" s="5" t="str">
        <f>IF('FUENTE NO BORRAR'!B1565="","",'FUENTE NO BORRAR'!B1565)</f>
        <v/>
      </c>
      <c r="C1547" s="5" t="str">
        <f>IF('FUENTE NO BORRAR'!C1565="","",'FUENTE NO BORRAR'!C1565)</f>
        <v/>
      </c>
      <c r="D1547" s="5" t="str">
        <f>IF('FUENTE NO BORRAR'!D1565="","",'FUENTE NO BORRAR'!D1565)</f>
        <v/>
      </c>
      <c r="E1547" s="5" t="str">
        <f>IF('FUENTE NO BORRAR'!E1565="","",'FUENTE NO BORRAR'!E1565)</f>
        <v/>
      </c>
      <c r="F1547" s="6">
        <f>IF('FUENTE NO BORRAR'!F1565="","",IF('FUENTE NO BORRAR'!$A1565&lt;&gt;"Resultado total",('FUENTE NO BORRAR'!F1565),""))</f>
        <v>140539.03</v>
      </c>
      <c r="G1547" s="6">
        <f>IF('FUENTE NO BORRAR'!G1565="","",IF('FUENTE NO BORRAR'!$A1565&lt;&gt;"Resultado total",('FUENTE NO BORRAR'!G1565),""))</f>
        <v>140539.03</v>
      </c>
      <c r="H1547" s="6">
        <f>IF('FUENTE NO BORRAR'!H1565="","",IF('FUENTE NO BORRAR'!$A1565&lt;&gt;"Resultado total",('FUENTE NO BORRAR'!H1565),""))</f>
        <v>140539.03</v>
      </c>
      <c r="I1547" s="6">
        <f>IF('FUENTE NO BORRAR'!I1565="","",IF('FUENTE NO BORRAR'!$A1565&lt;&gt;"Resultado total",('FUENTE NO BORRAR'!I1565),""))</f>
        <v>0</v>
      </c>
    </row>
    <row r="1548" spans="1:9" x14ac:dyDescent="0.2">
      <c r="A1548" s="5" t="str">
        <f>IF('FUENTE NO BORRAR'!A1566="","",(IF('FUENTE NO BORRAR'!A1566&lt;&gt;"Resultado total",'FUENTE NO BORRAR'!A1566,"")))</f>
        <v/>
      </c>
      <c r="B1548" s="5" t="str">
        <f>IF('FUENTE NO BORRAR'!B1566="","",'FUENTE NO BORRAR'!B1566)</f>
        <v/>
      </c>
      <c r="C1548" s="5" t="str">
        <f>IF('FUENTE NO BORRAR'!C1566="","",'FUENTE NO BORRAR'!C1566)</f>
        <v/>
      </c>
      <c r="D1548" s="5" t="str">
        <f>IF('FUENTE NO BORRAR'!D1566="","",'FUENTE NO BORRAR'!D1566)</f>
        <v/>
      </c>
      <c r="E1548" s="5" t="str">
        <f>IF('FUENTE NO BORRAR'!E1566="","",'FUENTE NO BORRAR'!E1566)</f>
        <v/>
      </c>
      <c r="F1548" s="6">
        <f>IF('FUENTE NO BORRAR'!F1566="","",IF('FUENTE NO BORRAR'!$A1566&lt;&gt;"Resultado total",('FUENTE NO BORRAR'!F1566),""))</f>
        <v>668309.34</v>
      </c>
      <c r="G1548" s="6">
        <f>IF('FUENTE NO BORRAR'!G1566="","",IF('FUENTE NO BORRAR'!$A1566&lt;&gt;"Resultado total",('FUENTE NO BORRAR'!G1566),""))</f>
        <v>668309.34</v>
      </c>
      <c r="H1548" s="6">
        <f>IF('FUENTE NO BORRAR'!H1566="","",IF('FUENTE NO BORRAR'!$A1566&lt;&gt;"Resultado total",('FUENTE NO BORRAR'!H1566),""))</f>
        <v>668309.34</v>
      </c>
      <c r="I1548" s="6">
        <f>IF('FUENTE NO BORRAR'!I1566="","",IF('FUENTE NO BORRAR'!$A1566&lt;&gt;"Resultado total",('FUENTE NO BORRAR'!I1566),""))</f>
        <v>0</v>
      </c>
    </row>
    <row r="1549" spans="1:9" x14ac:dyDescent="0.2">
      <c r="A1549" s="5" t="str">
        <f>IF('FUENTE NO BORRAR'!A1567="","",(IF('FUENTE NO BORRAR'!A1567&lt;&gt;"Resultado total",'FUENTE NO BORRAR'!A1567,"")))</f>
        <v/>
      </c>
      <c r="B1549" s="5" t="str">
        <f>IF('FUENTE NO BORRAR'!B1567="","",'FUENTE NO BORRAR'!B1567)</f>
        <v/>
      </c>
      <c r="C1549" s="5" t="str">
        <f>IF('FUENTE NO BORRAR'!C1567="","",'FUENTE NO BORRAR'!C1567)</f>
        <v/>
      </c>
      <c r="D1549" s="5" t="str">
        <f>IF('FUENTE NO BORRAR'!D1567="","",'FUENTE NO BORRAR'!D1567)</f>
        <v/>
      </c>
      <c r="E1549" s="5" t="str">
        <f>IF('FUENTE NO BORRAR'!E1567="","",'FUENTE NO BORRAR'!E1567)</f>
        <v/>
      </c>
      <c r="F1549" s="6">
        <f>IF('FUENTE NO BORRAR'!F1567="","",IF('FUENTE NO BORRAR'!$A1567&lt;&gt;"Resultado total",('FUENTE NO BORRAR'!F1567),""))</f>
        <v>309962.18</v>
      </c>
      <c r="G1549" s="6">
        <f>IF('FUENTE NO BORRAR'!G1567="","",IF('FUENTE NO BORRAR'!$A1567&lt;&gt;"Resultado total",('FUENTE NO BORRAR'!G1567),""))</f>
        <v>309962.18</v>
      </c>
      <c r="H1549" s="6">
        <f>IF('FUENTE NO BORRAR'!H1567="","",IF('FUENTE NO BORRAR'!$A1567&lt;&gt;"Resultado total",('FUENTE NO BORRAR'!H1567),""))</f>
        <v>313651.55</v>
      </c>
      <c r="I1549" s="6">
        <f>IF('FUENTE NO BORRAR'!I1567="","",IF('FUENTE NO BORRAR'!$A1567&lt;&gt;"Resultado total",('FUENTE NO BORRAR'!I1567),""))</f>
        <v>0</v>
      </c>
    </row>
    <row r="1550" spans="1:9" x14ac:dyDescent="0.2">
      <c r="A1550" s="5" t="str">
        <f>IF('FUENTE NO BORRAR'!A1568="","",(IF('FUENTE NO BORRAR'!A1568&lt;&gt;"Resultado total",'FUENTE NO BORRAR'!A1568,"")))</f>
        <v/>
      </c>
      <c r="B1550" s="5" t="str">
        <f>IF('FUENTE NO BORRAR'!B1568="","",'FUENTE NO BORRAR'!B1568)</f>
        <v/>
      </c>
      <c r="C1550" s="5" t="str">
        <f>IF('FUENTE NO BORRAR'!C1568="","",'FUENTE NO BORRAR'!C1568)</f>
        <v/>
      </c>
      <c r="D1550" s="5" t="str">
        <f>IF('FUENTE NO BORRAR'!D1568="","",'FUENTE NO BORRAR'!D1568)</f>
        <v/>
      </c>
      <c r="E1550" s="5" t="str">
        <f>IF('FUENTE NO BORRAR'!E1568="","",'FUENTE NO BORRAR'!E1568)</f>
        <v/>
      </c>
      <c r="F1550" s="6">
        <f>IF('FUENTE NO BORRAR'!F1568="","",IF('FUENTE NO BORRAR'!$A1568&lt;&gt;"Resultado total",('FUENTE NO BORRAR'!F1568),""))</f>
        <v>644312.23</v>
      </c>
      <c r="G1550" s="6">
        <f>IF('FUENTE NO BORRAR'!G1568="","",IF('FUENTE NO BORRAR'!$A1568&lt;&gt;"Resultado total",('FUENTE NO BORRAR'!G1568),""))</f>
        <v>644312.23</v>
      </c>
      <c r="H1550" s="6">
        <f>IF('FUENTE NO BORRAR'!H1568="","",IF('FUENTE NO BORRAR'!$A1568&lt;&gt;"Resultado total",('FUENTE NO BORRAR'!H1568),""))</f>
        <v>644312.23</v>
      </c>
      <c r="I1550" s="6">
        <f>IF('FUENTE NO BORRAR'!I1568="","",IF('FUENTE NO BORRAR'!$A1568&lt;&gt;"Resultado total",('FUENTE NO BORRAR'!I1568),""))</f>
        <v>0</v>
      </c>
    </row>
    <row r="1551" spans="1:9" x14ac:dyDescent="0.2">
      <c r="A1551" s="5" t="str">
        <f>IF('FUENTE NO BORRAR'!A1569="","",(IF('FUENTE NO BORRAR'!A1569&lt;&gt;"Resultado total",'FUENTE NO BORRAR'!A1569,"")))</f>
        <v/>
      </c>
      <c r="B1551" s="5" t="str">
        <f>IF('FUENTE NO BORRAR'!B1569="","",'FUENTE NO BORRAR'!B1569)</f>
        <v/>
      </c>
      <c r="C1551" s="5" t="str">
        <f>IF('FUENTE NO BORRAR'!C1569="","",'FUENTE NO BORRAR'!C1569)</f>
        <v/>
      </c>
      <c r="D1551" s="5" t="str">
        <f>IF('FUENTE NO BORRAR'!D1569="","",'FUENTE NO BORRAR'!D1569)</f>
        <v/>
      </c>
      <c r="E1551" s="5" t="str">
        <f>IF('FUENTE NO BORRAR'!E1569="","",'FUENTE NO BORRAR'!E1569)</f>
        <v/>
      </c>
      <c r="F1551" s="6">
        <f>IF('FUENTE NO BORRAR'!F1569="","",IF('FUENTE NO BORRAR'!$A1569&lt;&gt;"Resultado total",('FUENTE NO BORRAR'!F1569),""))</f>
        <v>565353.01</v>
      </c>
      <c r="G1551" s="6">
        <f>IF('FUENTE NO BORRAR'!G1569="","",IF('FUENTE NO BORRAR'!$A1569&lt;&gt;"Resultado total",('FUENTE NO BORRAR'!G1569),""))</f>
        <v>565353.01</v>
      </c>
      <c r="H1551" s="6">
        <f>IF('FUENTE NO BORRAR'!H1569="","",IF('FUENTE NO BORRAR'!$A1569&lt;&gt;"Resultado total",('FUENTE NO BORRAR'!H1569),""))</f>
        <v>565353.01</v>
      </c>
      <c r="I1551" s="6">
        <f>IF('FUENTE NO BORRAR'!I1569="","",IF('FUENTE NO BORRAR'!$A1569&lt;&gt;"Resultado total",('FUENTE NO BORRAR'!I1569),""))</f>
        <v>0</v>
      </c>
    </row>
    <row r="1552" spans="1:9" x14ac:dyDescent="0.2">
      <c r="A1552" s="5" t="str">
        <f>IF('FUENTE NO BORRAR'!A1570="","",(IF('FUENTE NO BORRAR'!A1570&lt;&gt;"Resultado total",'FUENTE NO BORRAR'!A1570,"")))</f>
        <v/>
      </c>
      <c r="B1552" s="5" t="str">
        <f>IF('FUENTE NO BORRAR'!B1570="","",'FUENTE NO BORRAR'!B1570)</f>
        <v/>
      </c>
      <c r="C1552" s="5" t="str">
        <f>IF('FUENTE NO BORRAR'!C1570="","",'FUENTE NO BORRAR'!C1570)</f>
        <v/>
      </c>
      <c r="D1552" s="5" t="str">
        <f>IF('FUENTE NO BORRAR'!D1570="","",'FUENTE NO BORRAR'!D1570)</f>
        <v/>
      </c>
      <c r="E1552" s="5" t="str">
        <f>IF('FUENTE NO BORRAR'!E1570="","",'FUENTE NO BORRAR'!E1570)</f>
        <v/>
      </c>
      <c r="F1552" s="6">
        <f>IF('FUENTE NO BORRAR'!F1570="","",IF('FUENTE NO BORRAR'!$A1570&lt;&gt;"Resultado total",('FUENTE NO BORRAR'!F1570),""))</f>
        <v>181715.62</v>
      </c>
      <c r="G1552" s="6">
        <f>IF('FUENTE NO BORRAR'!G1570="","",IF('FUENTE NO BORRAR'!$A1570&lt;&gt;"Resultado total",('FUENTE NO BORRAR'!G1570),""))</f>
        <v>181715.62</v>
      </c>
      <c r="H1552" s="6">
        <f>IF('FUENTE NO BORRAR'!H1570="","",IF('FUENTE NO BORRAR'!$A1570&lt;&gt;"Resultado total",('FUENTE NO BORRAR'!H1570),""))</f>
        <v>181715.62</v>
      </c>
      <c r="I1552" s="6">
        <f>IF('FUENTE NO BORRAR'!I1570="","",IF('FUENTE NO BORRAR'!$A1570&lt;&gt;"Resultado total",('FUENTE NO BORRAR'!I1570),""))</f>
        <v>0</v>
      </c>
    </row>
    <row r="1553" spans="1:9" x14ac:dyDescent="0.2">
      <c r="A1553" s="5" t="str">
        <f>IF('FUENTE NO BORRAR'!A1571="","",(IF('FUENTE NO BORRAR'!A1571&lt;&gt;"Resultado total",'FUENTE NO BORRAR'!A1571,"")))</f>
        <v/>
      </c>
      <c r="B1553" s="5" t="str">
        <f>IF('FUENTE NO BORRAR'!B1571="","",'FUENTE NO BORRAR'!B1571)</f>
        <v/>
      </c>
      <c r="C1553" s="5" t="str">
        <f>IF('FUENTE NO BORRAR'!C1571="","",'FUENTE NO BORRAR'!C1571)</f>
        <v/>
      </c>
      <c r="D1553" s="5" t="str">
        <f>IF('FUENTE NO BORRAR'!D1571="","",'FUENTE NO BORRAR'!D1571)</f>
        <v/>
      </c>
      <c r="E1553" s="5" t="str">
        <f>IF('FUENTE NO BORRAR'!E1571="","",'FUENTE NO BORRAR'!E1571)</f>
        <v/>
      </c>
      <c r="F1553" s="6">
        <f>IF('FUENTE NO BORRAR'!F1571="","",IF('FUENTE NO BORRAR'!$A1571&lt;&gt;"Resultado total",('FUENTE NO BORRAR'!F1571),""))</f>
        <v>86932.51</v>
      </c>
      <c r="G1553" s="6">
        <f>IF('FUENTE NO BORRAR'!G1571="","",IF('FUENTE NO BORRAR'!$A1571&lt;&gt;"Resultado total",('FUENTE NO BORRAR'!G1571),""))</f>
        <v>86932.51</v>
      </c>
      <c r="H1553" s="6">
        <f>IF('FUENTE NO BORRAR'!H1571="","",IF('FUENTE NO BORRAR'!$A1571&lt;&gt;"Resultado total",('FUENTE NO BORRAR'!H1571),""))</f>
        <v>86932.51</v>
      </c>
      <c r="I1553" s="6">
        <f>IF('FUENTE NO BORRAR'!I1571="","",IF('FUENTE NO BORRAR'!$A1571&lt;&gt;"Resultado total",('FUENTE NO BORRAR'!I1571),""))</f>
        <v>0</v>
      </c>
    </row>
    <row r="1554" spans="1:9" x14ac:dyDescent="0.2">
      <c r="A1554" s="5" t="str">
        <f>IF('FUENTE NO BORRAR'!A1572="","",(IF('FUENTE NO BORRAR'!A1572&lt;&gt;"Resultado total",'FUENTE NO BORRAR'!A1572,"")))</f>
        <v/>
      </c>
      <c r="B1554" s="5" t="str">
        <f>IF('FUENTE NO BORRAR'!B1572="","",'FUENTE NO BORRAR'!B1572)</f>
        <v/>
      </c>
      <c r="C1554" s="5" t="str">
        <f>IF('FUENTE NO BORRAR'!C1572="","",'FUENTE NO BORRAR'!C1572)</f>
        <v/>
      </c>
      <c r="D1554" s="5" t="str">
        <f>IF('FUENTE NO BORRAR'!D1572="","",'FUENTE NO BORRAR'!D1572)</f>
        <v/>
      </c>
      <c r="E1554" s="5" t="str">
        <f>IF('FUENTE NO BORRAR'!E1572="","",'FUENTE NO BORRAR'!E1572)</f>
        <v/>
      </c>
      <c r="F1554" s="6">
        <f>IF('FUENTE NO BORRAR'!F1572="","",IF('FUENTE NO BORRAR'!$A1572&lt;&gt;"Resultado total",('FUENTE NO BORRAR'!F1572),""))</f>
        <v>370630.56</v>
      </c>
      <c r="G1554" s="6">
        <f>IF('FUENTE NO BORRAR'!G1572="","",IF('FUENTE NO BORRAR'!$A1572&lt;&gt;"Resultado total",('FUENTE NO BORRAR'!G1572),""))</f>
        <v>370630.56</v>
      </c>
      <c r="H1554" s="6">
        <f>IF('FUENTE NO BORRAR'!H1572="","",IF('FUENTE NO BORRAR'!$A1572&lt;&gt;"Resultado total",('FUENTE NO BORRAR'!H1572),""))</f>
        <v>370630.56</v>
      </c>
      <c r="I1554" s="6">
        <f>IF('FUENTE NO BORRAR'!I1572="","",IF('FUENTE NO BORRAR'!$A1572&lt;&gt;"Resultado total",('FUENTE NO BORRAR'!I1572),""))</f>
        <v>0</v>
      </c>
    </row>
    <row r="1555" spans="1:9" x14ac:dyDescent="0.2">
      <c r="A1555" s="5" t="str">
        <f>IF('FUENTE NO BORRAR'!A1573="","",(IF('FUENTE NO BORRAR'!A1573&lt;&gt;"Resultado total",'FUENTE NO BORRAR'!A1573,"")))</f>
        <v/>
      </c>
      <c r="B1555" s="5" t="str">
        <f>IF('FUENTE NO BORRAR'!B1573="","",'FUENTE NO BORRAR'!B1573)</f>
        <v/>
      </c>
      <c r="C1555" s="5" t="str">
        <f>IF('FUENTE NO BORRAR'!C1573="","",'FUENTE NO BORRAR'!C1573)</f>
        <v/>
      </c>
      <c r="D1555" s="5" t="str">
        <f>IF('FUENTE NO BORRAR'!D1573="","",'FUENTE NO BORRAR'!D1573)</f>
        <v/>
      </c>
      <c r="E1555" s="5" t="str">
        <f>IF('FUENTE NO BORRAR'!E1573="","",'FUENTE NO BORRAR'!E1573)</f>
        <v/>
      </c>
      <c r="F1555" s="6">
        <f>IF('FUENTE NO BORRAR'!F1573="","",IF('FUENTE NO BORRAR'!$A1573&lt;&gt;"Resultado total",('FUENTE NO BORRAR'!F1573),""))</f>
        <v>1785531.4</v>
      </c>
      <c r="G1555" s="6">
        <f>IF('FUENTE NO BORRAR'!G1573="","",IF('FUENTE NO BORRAR'!$A1573&lt;&gt;"Resultado total",('FUENTE NO BORRAR'!G1573),""))</f>
        <v>1785531.4</v>
      </c>
      <c r="H1555" s="6">
        <f>IF('FUENTE NO BORRAR'!H1573="","",IF('FUENTE NO BORRAR'!$A1573&lt;&gt;"Resultado total",('FUENTE NO BORRAR'!H1573),""))</f>
        <v>1783581.4</v>
      </c>
      <c r="I1555" s="6">
        <f>IF('FUENTE NO BORRAR'!I1573="","",IF('FUENTE NO BORRAR'!$A1573&lt;&gt;"Resultado total",('FUENTE NO BORRAR'!I1573),""))</f>
        <v>0</v>
      </c>
    </row>
    <row r="1556" spans="1:9" x14ac:dyDescent="0.2">
      <c r="A1556" s="5" t="str">
        <f>IF('FUENTE NO BORRAR'!A1574="","",(IF('FUENTE NO BORRAR'!A1574&lt;&gt;"Resultado total",'FUENTE NO BORRAR'!A1574,"")))</f>
        <v/>
      </c>
      <c r="B1556" s="5" t="str">
        <f>IF('FUENTE NO BORRAR'!B1574="","",'FUENTE NO BORRAR'!B1574)</f>
        <v/>
      </c>
      <c r="C1556" s="5" t="str">
        <f>IF('FUENTE NO BORRAR'!C1574="","",'FUENTE NO BORRAR'!C1574)</f>
        <v/>
      </c>
      <c r="D1556" s="5" t="str">
        <f>IF('FUENTE NO BORRAR'!D1574="","",'FUENTE NO BORRAR'!D1574)</f>
        <v/>
      </c>
      <c r="E1556" s="5" t="str">
        <f>IF('FUENTE NO BORRAR'!E1574="","",'FUENTE NO BORRAR'!E1574)</f>
        <v/>
      </c>
      <c r="F1556" s="6">
        <f>IF('FUENTE NO BORRAR'!F1574="","",IF('FUENTE NO BORRAR'!$A1574&lt;&gt;"Resultado total",('FUENTE NO BORRAR'!F1574),""))</f>
        <v>15870.94</v>
      </c>
      <c r="G1556" s="6">
        <f>IF('FUENTE NO BORRAR'!G1574="","",IF('FUENTE NO BORRAR'!$A1574&lt;&gt;"Resultado total",('FUENTE NO BORRAR'!G1574),""))</f>
        <v>15870.94</v>
      </c>
      <c r="H1556" s="6">
        <f>IF('FUENTE NO BORRAR'!H1574="","",IF('FUENTE NO BORRAR'!$A1574&lt;&gt;"Resultado total",('FUENTE NO BORRAR'!H1574),""))</f>
        <v>15870.94</v>
      </c>
      <c r="I1556" s="6">
        <f>IF('FUENTE NO BORRAR'!I1574="","",IF('FUENTE NO BORRAR'!$A1574&lt;&gt;"Resultado total",('FUENTE NO BORRAR'!I1574),""))</f>
        <v>0</v>
      </c>
    </row>
    <row r="1557" spans="1:9" x14ac:dyDescent="0.2">
      <c r="A1557" s="5" t="str">
        <f>IF('FUENTE NO BORRAR'!A1575="","",(IF('FUENTE NO BORRAR'!A1575&lt;&gt;"Resultado total",'FUENTE NO BORRAR'!A1575,"")))</f>
        <v/>
      </c>
      <c r="B1557" s="5" t="str">
        <f>IF('FUENTE NO BORRAR'!B1575="","",'FUENTE NO BORRAR'!B1575)</f>
        <v/>
      </c>
      <c r="C1557" s="5" t="str">
        <f>IF('FUENTE NO BORRAR'!C1575="","",'FUENTE NO BORRAR'!C1575)</f>
        <v/>
      </c>
      <c r="D1557" s="5" t="str">
        <f>IF('FUENTE NO BORRAR'!D1575="","",'FUENTE NO BORRAR'!D1575)</f>
        <v/>
      </c>
      <c r="E1557" s="5" t="str">
        <f>IF('FUENTE NO BORRAR'!E1575="","",'FUENTE NO BORRAR'!E1575)</f>
        <v/>
      </c>
      <c r="F1557" s="6">
        <f>IF('FUENTE NO BORRAR'!F1575="","",IF('FUENTE NO BORRAR'!$A1575&lt;&gt;"Resultado total",('FUENTE NO BORRAR'!F1575),""))</f>
        <v>1074.1600000000001</v>
      </c>
      <c r="G1557" s="6">
        <f>IF('FUENTE NO BORRAR'!G1575="","",IF('FUENTE NO BORRAR'!$A1575&lt;&gt;"Resultado total",('FUENTE NO BORRAR'!G1575),""))</f>
        <v>1074.1600000000001</v>
      </c>
      <c r="H1557" s="6">
        <f>IF('FUENTE NO BORRAR'!H1575="","",IF('FUENTE NO BORRAR'!$A1575&lt;&gt;"Resultado total",('FUENTE NO BORRAR'!H1575),""))</f>
        <v>1074.1600000000001</v>
      </c>
      <c r="I1557" s="6">
        <f>IF('FUENTE NO BORRAR'!I1575="","",IF('FUENTE NO BORRAR'!$A1575&lt;&gt;"Resultado total",('FUENTE NO BORRAR'!I1575),""))</f>
        <v>0</v>
      </c>
    </row>
    <row r="1558" spans="1:9" x14ac:dyDescent="0.2">
      <c r="A1558" s="5" t="str">
        <f>IF('FUENTE NO BORRAR'!A1576="","",(IF('FUENTE NO BORRAR'!A1576&lt;&gt;"Resultado total",'FUENTE NO BORRAR'!A1576,"")))</f>
        <v/>
      </c>
      <c r="B1558" s="5" t="str">
        <f>IF('FUENTE NO BORRAR'!B1576="","",'FUENTE NO BORRAR'!B1576)</f>
        <v/>
      </c>
      <c r="C1558" s="5" t="str">
        <f>IF('FUENTE NO BORRAR'!C1576="","",'FUENTE NO BORRAR'!C1576)</f>
        <v/>
      </c>
      <c r="D1558" s="5" t="str">
        <f>IF('FUENTE NO BORRAR'!D1576="","",'FUENTE NO BORRAR'!D1576)</f>
        <v/>
      </c>
      <c r="E1558" s="5" t="str">
        <f>IF('FUENTE NO BORRAR'!E1576="","",'FUENTE NO BORRAR'!E1576)</f>
        <v/>
      </c>
      <c r="F1558" s="6">
        <f>IF('FUENTE NO BORRAR'!F1576="","",IF('FUENTE NO BORRAR'!$A1576&lt;&gt;"Resultado total",('FUENTE NO BORRAR'!F1576),""))</f>
        <v>16851.88</v>
      </c>
      <c r="G1558" s="6">
        <f>IF('FUENTE NO BORRAR'!G1576="","",IF('FUENTE NO BORRAR'!$A1576&lt;&gt;"Resultado total",('FUENTE NO BORRAR'!G1576),""))</f>
        <v>16851.88</v>
      </c>
      <c r="H1558" s="6">
        <f>IF('FUENTE NO BORRAR'!H1576="","",IF('FUENTE NO BORRAR'!$A1576&lt;&gt;"Resultado total",('FUENTE NO BORRAR'!H1576),""))</f>
        <v>3520</v>
      </c>
      <c r="I1558" s="6">
        <f>IF('FUENTE NO BORRAR'!I1576="","",IF('FUENTE NO BORRAR'!$A1576&lt;&gt;"Resultado total",('FUENTE NO BORRAR'!I1576),""))</f>
        <v>0</v>
      </c>
    </row>
    <row r="1559" spans="1:9" x14ac:dyDescent="0.2">
      <c r="A1559" s="5" t="str">
        <f>IF('FUENTE NO BORRAR'!A1577="","",(IF('FUENTE NO BORRAR'!A1577&lt;&gt;"Resultado total",'FUENTE NO BORRAR'!A1577,"")))</f>
        <v/>
      </c>
      <c r="B1559" s="5" t="str">
        <f>IF('FUENTE NO BORRAR'!B1577="","",'FUENTE NO BORRAR'!B1577)</f>
        <v/>
      </c>
      <c r="C1559" s="5" t="str">
        <f>IF('FUENTE NO BORRAR'!C1577="","",'FUENTE NO BORRAR'!C1577)</f>
        <v/>
      </c>
      <c r="D1559" s="5" t="str">
        <f>IF('FUENTE NO BORRAR'!D1577="","",'FUENTE NO BORRAR'!D1577)</f>
        <v/>
      </c>
      <c r="E1559" s="5" t="str">
        <f>IF('FUENTE NO BORRAR'!E1577="","",'FUENTE NO BORRAR'!E1577)</f>
        <v/>
      </c>
      <c r="F1559" s="6">
        <f>IF('FUENTE NO BORRAR'!F1577="","",IF('FUENTE NO BORRAR'!$A1577&lt;&gt;"Resultado total",('FUENTE NO BORRAR'!F1577),""))</f>
        <v>15660</v>
      </c>
      <c r="G1559" s="6">
        <f>IF('FUENTE NO BORRAR'!G1577="","",IF('FUENTE NO BORRAR'!$A1577&lt;&gt;"Resultado total",('FUENTE NO BORRAR'!G1577),""))</f>
        <v>15660</v>
      </c>
      <c r="H1559" s="6">
        <f>IF('FUENTE NO BORRAR'!H1577="","",IF('FUENTE NO BORRAR'!$A1577&lt;&gt;"Resultado total",('FUENTE NO BORRAR'!H1577),""))</f>
        <v>15660</v>
      </c>
      <c r="I1559" s="6">
        <f>IF('FUENTE NO BORRAR'!I1577="","",IF('FUENTE NO BORRAR'!$A1577&lt;&gt;"Resultado total",('FUENTE NO BORRAR'!I1577),""))</f>
        <v>0</v>
      </c>
    </row>
    <row r="1560" spans="1:9" x14ac:dyDescent="0.2">
      <c r="A1560" s="5" t="str">
        <f>IF('FUENTE NO BORRAR'!A1578="","",(IF('FUENTE NO BORRAR'!A1578&lt;&gt;"Resultado total",'FUENTE NO BORRAR'!A1578,"")))</f>
        <v/>
      </c>
      <c r="B1560" s="5" t="str">
        <f>IF('FUENTE NO BORRAR'!B1578="","",'FUENTE NO BORRAR'!B1578)</f>
        <v/>
      </c>
      <c r="C1560" s="5" t="str">
        <f>IF('FUENTE NO BORRAR'!C1578="","",'FUENTE NO BORRAR'!C1578)</f>
        <v/>
      </c>
      <c r="D1560" s="5" t="str">
        <f>IF('FUENTE NO BORRAR'!D1578="","",'FUENTE NO BORRAR'!D1578)</f>
        <v/>
      </c>
      <c r="E1560" s="5" t="str">
        <f>IF('FUENTE NO BORRAR'!E1578="","",'FUENTE NO BORRAR'!E1578)</f>
        <v/>
      </c>
      <c r="F1560" s="6">
        <f>IF('FUENTE NO BORRAR'!F1578="","",IF('FUENTE NO BORRAR'!$A1578&lt;&gt;"Resultado total",('FUENTE NO BORRAR'!F1578),""))</f>
        <v>19738.5</v>
      </c>
      <c r="G1560" s="6">
        <f>IF('FUENTE NO BORRAR'!G1578="","",IF('FUENTE NO BORRAR'!$A1578&lt;&gt;"Resultado total",('FUENTE NO BORRAR'!G1578),""))</f>
        <v>19738.5</v>
      </c>
      <c r="H1560" s="6">
        <f>IF('FUENTE NO BORRAR'!H1578="","",IF('FUENTE NO BORRAR'!$A1578&lt;&gt;"Resultado total",('FUENTE NO BORRAR'!H1578),""))</f>
        <v>19738.5</v>
      </c>
      <c r="I1560" s="6">
        <f>IF('FUENTE NO BORRAR'!I1578="","",IF('FUENTE NO BORRAR'!$A1578&lt;&gt;"Resultado total",('FUENTE NO BORRAR'!I1578),""))</f>
        <v>0</v>
      </c>
    </row>
    <row r="1561" spans="1:9" x14ac:dyDescent="0.2">
      <c r="A1561" s="5" t="str">
        <f>IF('FUENTE NO BORRAR'!A1579="","",(IF('FUENTE NO BORRAR'!A1579&lt;&gt;"Resultado total",'FUENTE NO BORRAR'!A1579,"")))</f>
        <v/>
      </c>
      <c r="B1561" s="5" t="str">
        <f>IF('FUENTE NO BORRAR'!B1579="","",'FUENTE NO BORRAR'!B1579)</f>
        <v/>
      </c>
      <c r="C1561" s="5" t="str">
        <f>IF('FUENTE NO BORRAR'!C1579="","",'FUENTE NO BORRAR'!C1579)</f>
        <v/>
      </c>
      <c r="D1561" s="5" t="str">
        <f>IF('FUENTE NO BORRAR'!D1579="","",'FUENTE NO BORRAR'!D1579)</f>
        <v/>
      </c>
      <c r="E1561" s="5" t="str">
        <f>IF('FUENTE NO BORRAR'!E1579="","",'FUENTE NO BORRAR'!E1579)</f>
        <v/>
      </c>
      <c r="F1561" s="6">
        <f>IF('FUENTE NO BORRAR'!F1579="","",IF('FUENTE NO BORRAR'!$A1579&lt;&gt;"Resultado total",('FUENTE NO BORRAR'!F1579),""))</f>
        <v>430.36</v>
      </c>
      <c r="G1561" s="6">
        <f>IF('FUENTE NO BORRAR'!G1579="","",IF('FUENTE NO BORRAR'!$A1579&lt;&gt;"Resultado total",('FUENTE NO BORRAR'!G1579),""))</f>
        <v>430.36</v>
      </c>
      <c r="H1561" s="6">
        <f>IF('FUENTE NO BORRAR'!H1579="","",IF('FUENTE NO BORRAR'!$A1579&lt;&gt;"Resultado total",('FUENTE NO BORRAR'!H1579),""))</f>
        <v>430.36</v>
      </c>
      <c r="I1561" s="6">
        <f>IF('FUENTE NO BORRAR'!I1579="","",IF('FUENTE NO BORRAR'!$A1579&lt;&gt;"Resultado total",('FUENTE NO BORRAR'!I1579),""))</f>
        <v>0</v>
      </c>
    </row>
    <row r="1562" spans="1:9" x14ac:dyDescent="0.2">
      <c r="A1562" s="5" t="str">
        <f>IF('FUENTE NO BORRAR'!A1580="","",(IF('FUENTE NO BORRAR'!A1580&lt;&gt;"Resultado total",'FUENTE NO BORRAR'!A1580,"")))</f>
        <v/>
      </c>
      <c r="B1562" s="5" t="str">
        <f>IF('FUENTE NO BORRAR'!B1580="","",'FUENTE NO BORRAR'!B1580)</f>
        <v/>
      </c>
      <c r="C1562" s="5" t="str">
        <f>IF('FUENTE NO BORRAR'!C1580="","",'FUENTE NO BORRAR'!C1580)</f>
        <v/>
      </c>
      <c r="D1562" s="5" t="str">
        <f>IF('FUENTE NO BORRAR'!D1580="","",'FUENTE NO BORRAR'!D1580)</f>
        <v/>
      </c>
      <c r="E1562" s="5" t="str">
        <f>IF('FUENTE NO BORRAR'!E1580="","",'FUENTE NO BORRAR'!E1580)</f>
        <v/>
      </c>
      <c r="F1562" s="6">
        <f>IF('FUENTE NO BORRAR'!F1580="","",IF('FUENTE NO BORRAR'!$A1580&lt;&gt;"Resultado total",('FUENTE NO BORRAR'!F1580),""))</f>
        <v>4830</v>
      </c>
      <c r="G1562" s="6">
        <f>IF('FUENTE NO BORRAR'!G1580="","",IF('FUENTE NO BORRAR'!$A1580&lt;&gt;"Resultado total",('FUENTE NO BORRAR'!G1580),""))</f>
        <v>4830</v>
      </c>
      <c r="H1562" s="6">
        <f>IF('FUENTE NO BORRAR'!H1580="","",IF('FUENTE NO BORRAR'!$A1580&lt;&gt;"Resultado total",('FUENTE NO BORRAR'!H1580),""))</f>
        <v>4830</v>
      </c>
      <c r="I1562" s="6">
        <f>IF('FUENTE NO BORRAR'!I1580="","",IF('FUENTE NO BORRAR'!$A1580&lt;&gt;"Resultado total",('FUENTE NO BORRAR'!I1580),""))</f>
        <v>0</v>
      </c>
    </row>
    <row r="1563" spans="1:9" x14ac:dyDescent="0.2">
      <c r="A1563" s="5" t="str">
        <f>IF('FUENTE NO BORRAR'!A1581="","",(IF('FUENTE NO BORRAR'!A1581&lt;&gt;"Resultado total",'FUENTE NO BORRAR'!A1581,"")))</f>
        <v/>
      </c>
      <c r="B1563" s="5" t="str">
        <f>IF('FUENTE NO BORRAR'!B1581="","",'FUENTE NO BORRAR'!B1581)</f>
        <v/>
      </c>
      <c r="C1563" s="5" t="str">
        <f>IF('FUENTE NO BORRAR'!C1581="","",'FUENTE NO BORRAR'!C1581)</f>
        <v/>
      </c>
      <c r="D1563" s="5" t="str">
        <f>IF('FUENTE NO BORRAR'!D1581="","",'FUENTE NO BORRAR'!D1581)</f>
        <v/>
      </c>
      <c r="E1563" s="5" t="str">
        <f>IF('FUENTE NO BORRAR'!E1581="","",'FUENTE NO BORRAR'!E1581)</f>
        <v/>
      </c>
      <c r="F1563" s="6">
        <f>IF('FUENTE NO BORRAR'!F1581="","",IF('FUENTE NO BORRAR'!$A1581&lt;&gt;"Resultado total",('FUENTE NO BORRAR'!F1581),""))</f>
        <v>20</v>
      </c>
      <c r="G1563" s="6">
        <f>IF('FUENTE NO BORRAR'!G1581="","",IF('FUENTE NO BORRAR'!$A1581&lt;&gt;"Resultado total",('FUENTE NO BORRAR'!G1581),""))</f>
        <v>20</v>
      </c>
      <c r="H1563" s="6">
        <f>IF('FUENTE NO BORRAR'!H1581="","",IF('FUENTE NO BORRAR'!$A1581&lt;&gt;"Resultado total",('FUENTE NO BORRAR'!H1581),""))</f>
        <v>0</v>
      </c>
      <c r="I1563" s="6">
        <f>IF('FUENTE NO BORRAR'!I1581="","",IF('FUENTE NO BORRAR'!$A1581&lt;&gt;"Resultado total",('FUENTE NO BORRAR'!I1581),""))</f>
        <v>0</v>
      </c>
    </row>
    <row r="1564" spans="1:9" x14ac:dyDescent="0.2">
      <c r="A1564" s="5" t="str">
        <f>IF('FUENTE NO BORRAR'!A1582="","",(IF('FUENTE NO BORRAR'!A1582&lt;&gt;"Resultado total",'FUENTE NO BORRAR'!A1582,"")))</f>
        <v/>
      </c>
      <c r="B1564" s="5" t="str">
        <f>IF('FUENTE NO BORRAR'!B1582="","",'FUENTE NO BORRAR'!B1582)</f>
        <v/>
      </c>
      <c r="C1564" s="5" t="str">
        <f>IF('FUENTE NO BORRAR'!C1582="","",'FUENTE NO BORRAR'!C1582)</f>
        <v/>
      </c>
      <c r="D1564" s="5" t="str">
        <f>IF('FUENTE NO BORRAR'!D1582="","",'FUENTE NO BORRAR'!D1582)</f>
        <v/>
      </c>
      <c r="E1564" s="5" t="str">
        <f>IF('FUENTE NO BORRAR'!E1582="","",'FUENTE NO BORRAR'!E1582)</f>
        <v/>
      </c>
      <c r="F1564" s="6">
        <f>IF('FUENTE NO BORRAR'!F1582="","",IF('FUENTE NO BORRAR'!$A1582&lt;&gt;"Resultado total",('FUENTE NO BORRAR'!F1582),""))</f>
        <v>70.760000000000005</v>
      </c>
      <c r="G1564" s="6">
        <f>IF('FUENTE NO BORRAR'!G1582="","",IF('FUENTE NO BORRAR'!$A1582&lt;&gt;"Resultado total",('FUENTE NO BORRAR'!G1582),""))</f>
        <v>70.760000000000005</v>
      </c>
      <c r="H1564" s="6">
        <f>IF('FUENTE NO BORRAR'!H1582="","",IF('FUENTE NO BORRAR'!$A1582&lt;&gt;"Resultado total",('FUENTE NO BORRAR'!H1582),""))</f>
        <v>0</v>
      </c>
      <c r="I1564" s="6">
        <f>IF('FUENTE NO BORRAR'!I1582="","",IF('FUENTE NO BORRAR'!$A1582&lt;&gt;"Resultado total",('FUENTE NO BORRAR'!I1582),""))</f>
        <v>0</v>
      </c>
    </row>
    <row r="1565" spans="1:9" x14ac:dyDescent="0.2">
      <c r="A1565" s="5" t="str">
        <f>IF('FUENTE NO BORRAR'!A1583="","",(IF('FUENTE NO BORRAR'!A1583&lt;&gt;"Resultado total",'FUENTE NO BORRAR'!A1583,"")))</f>
        <v/>
      </c>
      <c r="B1565" s="5" t="str">
        <f>IF('FUENTE NO BORRAR'!B1583="","",'FUENTE NO BORRAR'!B1583)</f>
        <v/>
      </c>
      <c r="C1565" s="5" t="str">
        <f>IF('FUENTE NO BORRAR'!C1583="","",'FUENTE NO BORRAR'!C1583)</f>
        <v/>
      </c>
      <c r="D1565" s="5" t="str">
        <f>IF('FUENTE NO BORRAR'!D1583="","",'FUENTE NO BORRAR'!D1583)</f>
        <v/>
      </c>
      <c r="E1565" s="5" t="str">
        <f>IF('FUENTE NO BORRAR'!E1583="","",'FUENTE NO BORRAR'!E1583)</f>
        <v/>
      </c>
      <c r="F1565" s="6">
        <f>IF('FUENTE NO BORRAR'!F1583="","",IF('FUENTE NO BORRAR'!$A1583&lt;&gt;"Resultado total",('FUENTE NO BORRAR'!F1583),""))</f>
        <v>6657.1</v>
      </c>
      <c r="G1565" s="6">
        <f>IF('FUENTE NO BORRAR'!G1583="","",IF('FUENTE NO BORRAR'!$A1583&lt;&gt;"Resultado total",('FUENTE NO BORRAR'!G1583),""))</f>
        <v>6657.1</v>
      </c>
      <c r="H1565" s="6">
        <f>IF('FUENTE NO BORRAR'!H1583="","",IF('FUENTE NO BORRAR'!$A1583&lt;&gt;"Resultado total",('FUENTE NO BORRAR'!H1583),""))</f>
        <v>184.02</v>
      </c>
      <c r="I1565" s="6">
        <f>IF('FUENTE NO BORRAR'!I1583="","",IF('FUENTE NO BORRAR'!$A1583&lt;&gt;"Resultado total",('FUENTE NO BORRAR'!I1583),""))</f>
        <v>0</v>
      </c>
    </row>
    <row r="1566" spans="1:9" x14ac:dyDescent="0.2">
      <c r="A1566" s="5" t="str">
        <f>IF('FUENTE NO BORRAR'!A1584="","",(IF('FUENTE NO BORRAR'!A1584&lt;&gt;"Resultado total",'FUENTE NO BORRAR'!A1584,"")))</f>
        <v/>
      </c>
      <c r="B1566" s="5" t="str">
        <f>IF('FUENTE NO BORRAR'!B1584="","",'FUENTE NO BORRAR'!B1584)</f>
        <v/>
      </c>
      <c r="C1566" s="5" t="str">
        <f>IF('FUENTE NO BORRAR'!C1584="","",'FUENTE NO BORRAR'!C1584)</f>
        <v/>
      </c>
      <c r="D1566" s="5" t="str">
        <f>IF('FUENTE NO BORRAR'!D1584="","",'FUENTE NO BORRAR'!D1584)</f>
        <v/>
      </c>
      <c r="E1566" s="5" t="str">
        <f>IF('FUENTE NO BORRAR'!E1584="","",'FUENTE NO BORRAR'!E1584)</f>
        <v/>
      </c>
      <c r="F1566" s="6">
        <f>IF('FUENTE NO BORRAR'!F1584="","",IF('FUENTE NO BORRAR'!$A1584&lt;&gt;"Resultado total",('FUENTE NO BORRAR'!F1584),""))</f>
        <v>9645.84</v>
      </c>
      <c r="G1566" s="6">
        <f>IF('FUENTE NO BORRAR'!G1584="","",IF('FUENTE NO BORRAR'!$A1584&lt;&gt;"Resultado total",('FUENTE NO BORRAR'!G1584),""))</f>
        <v>9645.84</v>
      </c>
      <c r="H1566" s="6">
        <f>IF('FUENTE NO BORRAR'!H1584="","",IF('FUENTE NO BORRAR'!$A1584&lt;&gt;"Resultado total",('FUENTE NO BORRAR'!H1584),""))</f>
        <v>9396</v>
      </c>
      <c r="I1566" s="6">
        <f>IF('FUENTE NO BORRAR'!I1584="","",IF('FUENTE NO BORRAR'!$A1584&lt;&gt;"Resultado total",('FUENTE NO BORRAR'!I1584),""))</f>
        <v>0</v>
      </c>
    </row>
    <row r="1567" spans="1:9" x14ac:dyDescent="0.2">
      <c r="A1567" s="5" t="str">
        <f>IF('FUENTE NO BORRAR'!A1585="","",(IF('FUENTE NO BORRAR'!A1585&lt;&gt;"Resultado total",'FUENTE NO BORRAR'!A1585,"")))</f>
        <v/>
      </c>
      <c r="B1567" s="5" t="str">
        <f>IF('FUENTE NO BORRAR'!B1585="","",'FUENTE NO BORRAR'!B1585)</f>
        <v/>
      </c>
      <c r="C1567" s="5" t="str">
        <f>IF('FUENTE NO BORRAR'!C1585="","",'FUENTE NO BORRAR'!C1585)</f>
        <v/>
      </c>
      <c r="D1567" s="5" t="str">
        <f>IF('FUENTE NO BORRAR'!D1585="","",'FUENTE NO BORRAR'!D1585)</f>
        <v/>
      </c>
      <c r="E1567" s="5" t="str">
        <f>IF('FUENTE NO BORRAR'!E1585="","",'FUENTE NO BORRAR'!E1585)</f>
        <v/>
      </c>
      <c r="F1567" s="6">
        <f>IF('FUENTE NO BORRAR'!F1585="","",IF('FUENTE NO BORRAR'!$A1585&lt;&gt;"Resultado total",('FUENTE NO BORRAR'!F1585),""))</f>
        <v>0</v>
      </c>
      <c r="G1567" s="6">
        <f>IF('FUENTE NO BORRAR'!G1585="","",IF('FUENTE NO BORRAR'!$A1585&lt;&gt;"Resultado total",('FUENTE NO BORRAR'!G1585),""))</f>
        <v>0</v>
      </c>
      <c r="H1567" s="6">
        <f>IF('FUENTE NO BORRAR'!H1585="","",IF('FUENTE NO BORRAR'!$A1585&lt;&gt;"Resultado total",('FUENTE NO BORRAR'!H1585),""))</f>
        <v>0</v>
      </c>
      <c r="I1567" s="6">
        <f>IF('FUENTE NO BORRAR'!I1585="","",IF('FUENTE NO BORRAR'!$A1585&lt;&gt;"Resultado total",('FUENTE NO BORRAR'!I1585),""))</f>
        <v>0</v>
      </c>
    </row>
    <row r="1568" spans="1:9" x14ac:dyDescent="0.2">
      <c r="A1568" s="5" t="str">
        <f>IF('FUENTE NO BORRAR'!A1586="","",(IF('FUENTE NO BORRAR'!A1586&lt;&gt;"Resultado total",'FUENTE NO BORRAR'!A1586,"")))</f>
        <v/>
      </c>
      <c r="B1568" s="5" t="str">
        <f>IF('FUENTE NO BORRAR'!B1586="","",'FUENTE NO BORRAR'!B1586)</f>
        <v/>
      </c>
      <c r="C1568" s="5" t="str">
        <f>IF('FUENTE NO BORRAR'!C1586="","",'FUENTE NO BORRAR'!C1586)</f>
        <v/>
      </c>
      <c r="D1568" s="5" t="str">
        <f>IF('FUENTE NO BORRAR'!D1586="","",'FUENTE NO BORRAR'!D1586)</f>
        <v/>
      </c>
      <c r="E1568" s="5" t="str">
        <f>IF('FUENTE NO BORRAR'!E1586="","",'FUENTE NO BORRAR'!E1586)</f>
        <v/>
      </c>
      <c r="F1568" s="6">
        <f>IF('FUENTE NO BORRAR'!F1586="","",IF('FUENTE NO BORRAR'!$A1586&lt;&gt;"Resultado total",('FUENTE NO BORRAR'!F1586),""))</f>
        <v>109110.76</v>
      </c>
      <c r="G1568" s="6">
        <f>IF('FUENTE NO BORRAR'!G1586="","",IF('FUENTE NO BORRAR'!$A1586&lt;&gt;"Resultado total",('FUENTE NO BORRAR'!G1586),""))</f>
        <v>109110.76</v>
      </c>
      <c r="H1568" s="6">
        <f>IF('FUENTE NO BORRAR'!H1586="","",IF('FUENTE NO BORRAR'!$A1586&lt;&gt;"Resultado total",('FUENTE NO BORRAR'!H1586),""))</f>
        <v>87938.76</v>
      </c>
      <c r="I1568" s="6">
        <f>IF('FUENTE NO BORRAR'!I1586="","",IF('FUENTE NO BORRAR'!$A1586&lt;&gt;"Resultado total",('FUENTE NO BORRAR'!I1586),""))</f>
        <v>0</v>
      </c>
    </row>
    <row r="1569" spans="1:9" x14ac:dyDescent="0.2">
      <c r="A1569" s="5" t="str">
        <f>IF('FUENTE NO BORRAR'!A1587="","",(IF('FUENTE NO BORRAR'!A1587&lt;&gt;"Resultado total",'FUENTE NO BORRAR'!A1587,"")))</f>
        <v/>
      </c>
      <c r="B1569" s="5" t="str">
        <f>IF('FUENTE NO BORRAR'!B1587="","",'FUENTE NO BORRAR'!B1587)</f>
        <v/>
      </c>
      <c r="C1569" s="5" t="str">
        <f>IF('FUENTE NO BORRAR'!C1587="","",'FUENTE NO BORRAR'!C1587)</f>
        <v/>
      </c>
      <c r="D1569" s="5" t="str">
        <f>IF('FUENTE NO BORRAR'!D1587="","",'FUENTE NO BORRAR'!D1587)</f>
        <v/>
      </c>
      <c r="E1569" s="5" t="str">
        <f>IF('FUENTE NO BORRAR'!E1587="","",'FUENTE NO BORRAR'!E1587)</f>
        <v/>
      </c>
      <c r="F1569" s="6">
        <f>IF('FUENTE NO BORRAR'!F1587="","",IF('FUENTE NO BORRAR'!$A1587&lt;&gt;"Resultado total",('FUENTE NO BORRAR'!F1587),""))</f>
        <v>79115.61</v>
      </c>
      <c r="G1569" s="6">
        <f>IF('FUENTE NO BORRAR'!G1587="","",IF('FUENTE NO BORRAR'!$A1587&lt;&gt;"Resultado total",('FUENTE NO BORRAR'!G1587),""))</f>
        <v>79115.61</v>
      </c>
      <c r="H1569" s="6">
        <f>IF('FUENTE NO BORRAR'!H1587="","",IF('FUENTE NO BORRAR'!$A1587&lt;&gt;"Resultado total",('FUENTE NO BORRAR'!H1587),""))</f>
        <v>79115.61</v>
      </c>
      <c r="I1569" s="6">
        <f>IF('FUENTE NO BORRAR'!I1587="","",IF('FUENTE NO BORRAR'!$A1587&lt;&gt;"Resultado total",('FUENTE NO BORRAR'!I1587),""))</f>
        <v>0</v>
      </c>
    </row>
    <row r="1570" spans="1:9" x14ac:dyDescent="0.2">
      <c r="A1570" s="5" t="str">
        <f>IF('FUENTE NO BORRAR'!A1588="","",(IF('FUENTE NO BORRAR'!A1588&lt;&gt;"Resultado total",'FUENTE NO BORRAR'!A1588,"")))</f>
        <v/>
      </c>
      <c r="B1570" s="5" t="str">
        <f>IF('FUENTE NO BORRAR'!B1588="","",'FUENTE NO BORRAR'!B1588)</f>
        <v/>
      </c>
      <c r="C1570" s="5" t="str">
        <f>IF('FUENTE NO BORRAR'!C1588="","",'FUENTE NO BORRAR'!C1588)</f>
        <v/>
      </c>
      <c r="D1570" s="5" t="str">
        <f>IF('FUENTE NO BORRAR'!D1588="","",'FUENTE NO BORRAR'!D1588)</f>
        <v/>
      </c>
      <c r="E1570" s="5" t="str">
        <f>IF('FUENTE NO BORRAR'!E1588="","",'FUENTE NO BORRAR'!E1588)</f>
        <v/>
      </c>
      <c r="F1570" s="6">
        <f>IF('FUENTE NO BORRAR'!F1588="","",IF('FUENTE NO BORRAR'!$A1588&lt;&gt;"Resultado total",('FUENTE NO BORRAR'!F1588),""))</f>
        <v>58467.47</v>
      </c>
      <c r="G1570" s="6">
        <f>IF('FUENTE NO BORRAR'!G1588="","",IF('FUENTE NO BORRAR'!$A1588&lt;&gt;"Resultado total",('FUENTE NO BORRAR'!G1588),""))</f>
        <v>58467.47</v>
      </c>
      <c r="H1570" s="6">
        <f>IF('FUENTE NO BORRAR'!H1588="","",IF('FUENTE NO BORRAR'!$A1588&lt;&gt;"Resultado total",('FUENTE NO BORRAR'!H1588),""))</f>
        <v>47290.87</v>
      </c>
      <c r="I1570" s="6">
        <f>IF('FUENTE NO BORRAR'!I1588="","",IF('FUENTE NO BORRAR'!$A1588&lt;&gt;"Resultado total",('FUENTE NO BORRAR'!I1588),""))</f>
        <v>0</v>
      </c>
    </row>
    <row r="1571" spans="1:9" x14ac:dyDescent="0.2">
      <c r="A1571" s="5" t="str">
        <f>IF('FUENTE NO BORRAR'!A1589="","",(IF('FUENTE NO BORRAR'!A1589&lt;&gt;"Resultado total",'FUENTE NO BORRAR'!A1589,"")))</f>
        <v/>
      </c>
      <c r="B1571" s="5" t="str">
        <f>IF('FUENTE NO BORRAR'!B1589="","",'FUENTE NO BORRAR'!B1589)</f>
        <v/>
      </c>
      <c r="C1571" s="5" t="str">
        <f>IF('FUENTE NO BORRAR'!C1589="","",'FUENTE NO BORRAR'!C1589)</f>
        <v/>
      </c>
      <c r="D1571" s="5" t="str">
        <f>IF('FUENTE NO BORRAR'!D1589="","",'FUENTE NO BORRAR'!D1589)</f>
        <v/>
      </c>
      <c r="E1571" s="5" t="str">
        <f>IF('FUENTE NO BORRAR'!E1589="","",'FUENTE NO BORRAR'!E1589)</f>
        <v/>
      </c>
      <c r="F1571" s="6">
        <f>IF('FUENTE NO BORRAR'!F1589="","",IF('FUENTE NO BORRAR'!$A1589&lt;&gt;"Resultado total",('FUENTE NO BORRAR'!F1589),""))</f>
        <v>19553.23</v>
      </c>
      <c r="G1571" s="6">
        <f>IF('FUENTE NO BORRAR'!G1589="","",IF('FUENTE NO BORRAR'!$A1589&lt;&gt;"Resultado total",('FUENTE NO BORRAR'!G1589),""))</f>
        <v>19553.23</v>
      </c>
      <c r="H1571" s="6">
        <f>IF('FUENTE NO BORRAR'!H1589="","",IF('FUENTE NO BORRAR'!$A1589&lt;&gt;"Resultado total",('FUENTE NO BORRAR'!H1589),""))</f>
        <v>19553.23</v>
      </c>
      <c r="I1571" s="6">
        <f>IF('FUENTE NO BORRAR'!I1589="","",IF('FUENTE NO BORRAR'!$A1589&lt;&gt;"Resultado total",('FUENTE NO BORRAR'!I1589),""))</f>
        <v>0</v>
      </c>
    </row>
    <row r="1572" spans="1:9" x14ac:dyDescent="0.2">
      <c r="A1572" s="5" t="str">
        <f>IF('FUENTE NO BORRAR'!A1590="","",(IF('FUENTE NO BORRAR'!A1590&lt;&gt;"Resultado total",'FUENTE NO BORRAR'!A1590,"")))</f>
        <v/>
      </c>
      <c r="B1572" s="5" t="str">
        <f>IF('FUENTE NO BORRAR'!B1590="","",'FUENTE NO BORRAR'!B1590)</f>
        <v/>
      </c>
      <c r="C1572" s="5" t="str">
        <f>IF('FUENTE NO BORRAR'!C1590="","",'FUENTE NO BORRAR'!C1590)</f>
        <v/>
      </c>
      <c r="D1572" s="5" t="str">
        <f>IF('FUENTE NO BORRAR'!D1590="","",'FUENTE NO BORRAR'!D1590)</f>
        <v/>
      </c>
      <c r="E1572" s="5" t="str">
        <f>IF('FUENTE NO BORRAR'!E1590="","",'FUENTE NO BORRAR'!E1590)</f>
        <v/>
      </c>
      <c r="F1572" s="6">
        <f>IF('FUENTE NO BORRAR'!F1590="","",IF('FUENTE NO BORRAR'!$A1590&lt;&gt;"Resultado total",('FUENTE NO BORRAR'!F1590),""))</f>
        <v>46163.360000000001</v>
      </c>
      <c r="G1572" s="6">
        <f>IF('FUENTE NO BORRAR'!G1590="","",IF('FUENTE NO BORRAR'!$A1590&lt;&gt;"Resultado total",('FUENTE NO BORRAR'!G1590),""))</f>
        <v>46163.360000000001</v>
      </c>
      <c r="H1572" s="6">
        <f>IF('FUENTE NO BORRAR'!H1590="","",IF('FUENTE NO BORRAR'!$A1590&lt;&gt;"Resultado total",('FUENTE NO BORRAR'!H1590),""))</f>
        <v>29642.639999999999</v>
      </c>
      <c r="I1572" s="6">
        <f>IF('FUENTE NO BORRAR'!I1590="","",IF('FUENTE NO BORRAR'!$A1590&lt;&gt;"Resultado total",('FUENTE NO BORRAR'!I1590),""))</f>
        <v>0</v>
      </c>
    </row>
    <row r="1573" spans="1:9" x14ac:dyDescent="0.2">
      <c r="A1573" s="5" t="str">
        <f>IF('FUENTE NO BORRAR'!A1591="","",(IF('FUENTE NO BORRAR'!A1591&lt;&gt;"Resultado total",'FUENTE NO BORRAR'!A1591,"")))</f>
        <v/>
      </c>
      <c r="B1573" s="5" t="str">
        <f>IF('FUENTE NO BORRAR'!B1591="","",'FUENTE NO BORRAR'!B1591)</f>
        <v/>
      </c>
      <c r="C1573" s="5" t="str">
        <f>IF('FUENTE NO BORRAR'!C1591="","",'FUENTE NO BORRAR'!C1591)</f>
        <v/>
      </c>
      <c r="D1573" s="5" t="str">
        <f>IF('FUENTE NO BORRAR'!D1591="","",'FUENTE NO BORRAR'!D1591)</f>
        <v/>
      </c>
      <c r="E1573" s="5" t="str">
        <f>IF('FUENTE NO BORRAR'!E1591="","",'FUENTE NO BORRAR'!E1591)</f>
        <v/>
      </c>
      <c r="F1573" s="6">
        <f>IF('FUENTE NO BORRAR'!F1591="","",IF('FUENTE NO BORRAR'!$A1591&lt;&gt;"Resultado total",('FUENTE NO BORRAR'!F1591),""))</f>
        <v>484.94</v>
      </c>
      <c r="G1573" s="6">
        <f>IF('FUENTE NO BORRAR'!G1591="","",IF('FUENTE NO BORRAR'!$A1591&lt;&gt;"Resultado total",('FUENTE NO BORRAR'!G1591),""))</f>
        <v>484.94</v>
      </c>
      <c r="H1573" s="6">
        <f>IF('FUENTE NO BORRAR'!H1591="","",IF('FUENTE NO BORRAR'!$A1591&lt;&gt;"Resultado total",('FUENTE NO BORRAR'!H1591),""))</f>
        <v>0</v>
      </c>
      <c r="I1573" s="6">
        <f>IF('FUENTE NO BORRAR'!I1591="","",IF('FUENTE NO BORRAR'!$A1591&lt;&gt;"Resultado total",('FUENTE NO BORRAR'!I1591),""))</f>
        <v>0</v>
      </c>
    </row>
    <row r="1574" spans="1:9" x14ac:dyDescent="0.2">
      <c r="A1574" s="5" t="str">
        <f>IF('FUENTE NO BORRAR'!A1592="","",(IF('FUENTE NO BORRAR'!A1592&lt;&gt;"Resultado total",'FUENTE NO BORRAR'!A1592,"")))</f>
        <v/>
      </c>
      <c r="B1574" s="5" t="str">
        <f>IF('FUENTE NO BORRAR'!B1592="","",'FUENTE NO BORRAR'!B1592)</f>
        <v/>
      </c>
      <c r="C1574" s="5" t="str">
        <f>IF('FUENTE NO BORRAR'!C1592="","",'FUENTE NO BORRAR'!C1592)</f>
        <v/>
      </c>
      <c r="D1574" s="5" t="str">
        <f>IF('FUENTE NO BORRAR'!D1592="","",'FUENTE NO BORRAR'!D1592)</f>
        <v/>
      </c>
      <c r="E1574" s="5" t="str">
        <f>IF('FUENTE NO BORRAR'!E1592="","",'FUENTE NO BORRAR'!E1592)</f>
        <v/>
      </c>
      <c r="F1574" s="6">
        <f>IF('FUENTE NO BORRAR'!F1592="","",IF('FUENTE NO BORRAR'!$A1592&lt;&gt;"Resultado total",('FUENTE NO BORRAR'!F1592),""))</f>
        <v>20437.95</v>
      </c>
      <c r="G1574" s="6">
        <f>IF('FUENTE NO BORRAR'!G1592="","",IF('FUENTE NO BORRAR'!$A1592&lt;&gt;"Resultado total",('FUENTE NO BORRAR'!G1592),""))</f>
        <v>20437.95</v>
      </c>
      <c r="H1574" s="6">
        <f>IF('FUENTE NO BORRAR'!H1592="","",IF('FUENTE NO BORRAR'!$A1592&lt;&gt;"Resultado total",('FUENTE NO BORRAR'!H1592),""))</f>
        <v>20437.95</v>
      </c>
      <c r="I1574" s="6">
        <f>IF('FUENTE NO BORRAR'!I1592="","",IF('FUENTE NO BORRAR'!$A1592&lt;&gt;"Resultado total",('FUENTE NO BORRAR'!I1592),""))</f>
        <v>0</v>
      </c>
    </row>
    <row r="1575" spans="1:9" x14ac:dyDescent="0.2">
      <c r="A1575" s="5" t="str">
        <f>IF('FUENTE NO BORRAR'!A1593="","",(IF('FUENTE NO BORRAR'!A1593&lt;&gt;"Resultado total",'FUENTE NO BORRAR'!A1593,"")))</f>
        <v/>
      </c>
      <c r="B1575" s="5" t="str">
        <f>IF('FUENTE NO BORRAR'!B1593="","",'FUENTE NO BORRAR'!B1593)</f>
        <v/>
      </c>
      <c r="C1575" s="5" t="str">
        <f>IF('FUENTE NO BORRAR'!C1593="","",'FUENTE NO BORRAR'!C1593)</f>
        <v/>
      </c>
      <c r="D1575" s="5" t="str">
        <f>IF('FUENTE NO BORRAR'!D1593="","",'FUENTE NO BORRAR'!D1593)</f>
        <v/>
      </c>
      <c r="E1575" s="5" t="str">
        <f>IF('FUENTE NO BORRAR'!E1593="","",'FUENTE NO BORRAR'!E1593)</f>
        <v/>
      </c>
      <c r="F1575" s="6">
        <f>IF('FUENTE NO BORRAR'!F1593="","",IF('FUENTE NO BORRAR'!$A1593&lt;&gt;"Resultado total",('FUENTE NO BORRAR'!F1593),""))</f>
        <v>42011.7</v>
      </c>
      <c r="G1575" s="6">
        <f>IF('FUENTE NO BORRAR'!G1593="","",IF('FUENTE NO BORRAR'!$A1593&lt;&gt;"Resultado total",('FUENTE NO BORRAR'!G1593),""))</f>
        <v>42011.7</v>
      </c>
      <c r="H1575" s="6">
        <f>IF('FUENTE NO BORRAR'!H1593="","",IF('FUENTE NO BORRAR'!$A1593&lt;&gt;"Resultado total",('FUENTE NO BORRAR'!H1593),""))</f>
        <v>42011.7</v>
      </c>
      <c r="I1575" s="6">
        <f>IF('FUENTE NO BORRAR'!I1593="","",IF('FUENTE NO BORRAR'!$A1593&lt;&gt;"Resultado total",('FUENTE NO BORRAR'!I1593),""))</f>
        <v>0</v>
      </c>
    </row>
    <row r="1576" spans="1:9" x14ac:dyDescent="0.2">
      <c r="A1576" s="5" t="str">
        <f>IF('FUENTE NO BORRAR'!A1594="","",(IF('FUENTE NO BORRAR'!A1594&lt;&gt;"Resultado total",'FUENTE NO BORRAR'!A1594,"")))</f>
        <v/>
      </c>
      <c r="B1576" s="5" t="str">
        <f>IF('FUENTE NO BORRAR'!B1594="","",'FUENTE NO BORRAR'!B1594)</f>
        <v/>
      </c>
      <c r="C1576" s="5" t="str">
        <f>IF('FUENTE NO BORRAR'!C1594="","",'FUENTE NO BORRAR'!C1594)</f>
        <v/>
      </c>
      <c r="D1576" s="5" t="str">
        <f>IF('FUENTE NO BORRAR'!D1594="","",'FUENTE NO BORRAR'!D1594)</f>
        <v/>
      </c>
      <c r="E1576" s="5" t="str">
        <f>IF('FUENTE NO BORRAR'!E1594="","",'FUENTE NO BORRAR'!E1594)</f>
        <v/>
      </c>
      <c r="F1576" s="6">
        <f>IF('FUENTE NO BORRAR'!F1594="","",IF('FUENTE NO BORRAR'!$A1594&lt;&gt;"Resultado total",('FUENTE NO BORRAR'!F1594),""))</f>
        <v>19230.48</v>
      </c>
      <c r="G1576" s="6">
        <f>IF('FUENTE NO BORRAR'!G1594="","",IF('FUENTE NO BORRAR'!$A1594&lt;&gt;"Resultado total",('FUENTE NO BORRAR'!G1594),""))</f>
        <v>19230.48</v>
      </c>
      <c r="H1576" s="6">
        <f>IF('FUENTE NO BORRAR'!H1594="","",IF('FUENTE NO BORRAR'!$A1594&lt;&gt;"Resultado total",('FUENTE NO BORRAR'!H1594),""))</f>
        <v>1308.48</v>
      </c>
      <c r="I1576" s="6">
        <f>IF('FUENTE NO BORRAR'!I1594="","",IF('FUENTE NO BORRAR'!$A1594&lt;&gt;"Resultado total",('FUENTE NO BORRAR'!I1594),""))</f>
        <v>0</v>
      </c>
    </row>
    <row r="1577" spans="1:9" x14ac:dyDescent="0.2">
      <c r="A1577" s="5" t="str">
        <f>IF('FUENTE NO BORRAR'!A1595="","",(IF('FUENTE NO BORRAR'!A1595&lt;&gt;"Resultado total",'FUENTE NO BORRAR'!A1595,"")))</f>
        <v/>
      </c>
      <c r="B1577" s="5" t="str">
        <f>IF('FUENTE NO BORRAR'!B1595="","",'FUENTE NO BORRAR'!B1595)</f>
        <v/>
      </c>
      <c r="C1577" s="5" t="str">
        <f>IF('FUENTE NO BORRAR'!C1595="","",'FUENTE NO BORRAR'!C1595)</f>
        <v/>
      </c>
      <c r="D1577" s="5" t="str">
        <f>IF('FUENTE NO BORRAR'!D1595="","",'FUENTE NO BORRAR'!D1595)</f>
        <v/>
      </c>
      <c r="E1577" s="5" t="str">
        <f>IF('FUENTE NO BORRAR'!E1595="","",'FUENTE NO BORRAR'!E1595)</f>
        <v/>
      </c>
      <c r="F1577" s="6">
        <f>IF('FUENTE NO BORRAR'!F1595="","",IF('FUENTE NO BORRAR'!$A1595&lt;&gt;"Resultado total",('FUENTE NO BORRAR'!F1595),""))</f>
        <v>256.70999999999998</v>
      </c>
      <c r="G1577" s="6">
        <f>IF('FUENTE NO BORRAR'!G1595="","",IF('FUENTE NO BORRAR'!$A1595&lt;&gt;"Resultado total",('FUENTE NO BORRAR'!G1595),""))</f>
        <v>256.70999999999998</v>
      </c>
      <c r="H1577" s="6">
        <f>IF('FUENTE NO BORRAR'!H1595="","",IF('FUENTE NO BORRAR'!$A1595&lt;&gt;"Resultado total",('FUENTE NO BORRAR'!H1595),""))</f>
        <v>256.70999999999998</v>
      </c>
      <c r="I1577" s="6">
        <f>IF('FUENTE NO BORRAR'!I1595="","",IF('FUENTE NO BORRAR'!$A1595&lt;&gt;"Resultado total",('FUENTE NO BORRAR'!I1595),""))</f>
        <v>0</v>
      </c>
    </row>
    <row r="1578" spans="1:9" x14ac:dyDescent="0.2">
      <c r="A1578" s="5" t="str">
        <f>IF('FUENTE NO BORRAR'!A1596="","",(IF('FUENTE NO BORRAR'!A1596&lt;&gt;"Resultado total",'FUENTE NO BORRAR'!A1596,"")))</f>
        <v/>
      </c>
      <c r="B1578" s="5" t="str">
        <f>IF('FUENTE NO BORRAR'!B1596="","",'FUENTE NO BORRAR'!B1596)</f>
        <v/>
      </c>
      <c r="C1578" s="5" t="str">
        <f>IF('FUENTE NO BORRAR'!C1596="","",'FUENTE NO BORRAR'!C1596)</f>
        <v/>
      </c>
      <c r="D1578" s="5" t="str">
        <f>IF('FUENTE NO BORRAR'!D1596="","",'FUENTE NO BORRAR'!D1596)</f>
        <v/>
      </c>
      <c r="E1578" s="5" t="str">
        <f>IF('FUENTE NO BORRAR'!E1596="","",'FUENTE NO BORRAR'!E1596)</f>
        <v/>
      </c>
      <c r="F1578" s="6">
        <f>IF('FUENTE NO BORRAR'!F1596="","",IF('FUENTE NO BORRAR'!$A1596&lt;&gt;"Resultado total",('FUENTE NO BORRAR'!F1596),""))</f>
        <v>1124</v>
      </c>
      <c r="G1578" s="6">
        <f>IF('FUENTE NO BORRAR'!G1596="","",IF('FUENTE NO BORRAR'!$A1596&lt;&gt;"Resultado total",('FUENTE NO BORRAR'!G1596),""))</f>
        <v>1124</v>
      </c>
      <c r="H1578" s="6">
        <f>IF('FUENTE NO BORRAR'!H1596="","",IF('FUENTE NO BORRAR'!$A1596&lt;&gt;"Resultado total",('FUENTE NO BORRAR'!H1596),""))</f>
        <v>1124</v>
      </c>
      <c r="I1578" s="6">
        <f>IF('FUENTE NO BORRAR'!I1596="","",IF('FUENTE NO BORRAR'!$A1596&lt;&gt;"Resultado total",('FUENTE NO BORRAR'!I1596),""))</f>
        <v>0</v>
      </c>
    </row>
    <row r="1579" spans="1:9" x14ac:dyDescent="0.2">
      <c r="A1579" s="5" t="str">
        <f>IF('FUENTE NO BORRAR'!A1597="","",(IF('FUENTE NO BORRAR'!A1597&lt;&gt;"Resultado total",'FUENTE NO BORRAR'!A1597,"")))</f>
        <v/>
      </c>
      <c r="B1579" s="5" t="str">
        <f>IF('FUENTE NO BORRAR'!B1597="","",'FUENTE NO BORRAR'!B1597)</f>
        <v/>
      </c>
      <c r="C1579" s="5" t="str">
        <f>IF('FUENTE NO BORRAR'!C1597="","",'FUENTE NO BORRAR'!C1597)</f>
        <v/>
      </c>
      <c r="D1579" s="5" t="str">
        <f>IF('FUENTE NO BORRAR'!D1597="","",'FUENTE NO BORRAR'!D1597)</f>
        <v/>
      </c>
      <c r="E1579" s="5" t="str">
        <f>IF('FUENTE NO BORRAR'!E1597="","",'FUENTE NO BORRAR'!E1597)</f>
        <v/>
      </c>
      <c r="F1579" s="6">
        <f>IF('FUENTE NO BORRAR'!F1597="","",IF('FUENTE NO BORRAR'!$A1597&lt;&gt;"Resultado total",('FUENTE NO BORRAR'!F1597),""))</f>
        <v>0</v>
      </c>
      <c r="G1579" s="6">
        <f>IF('FUENTE NO BORRAR'!G1597="","",IF('FUENTE NO BORRAR'!$A1597&lt;&gt;"Resultado total",('FUENTE NO BORRAR'!G1597),""))</f>
        <v>0</v>
      </c>
      <c r="H1579" s="6">
        <f>IF('FUENTE NO BORRAR'!H1597="","",IF('FUENTE NO BORRAR'!$A1597&lt;&gt;"Resultado total",('FUENTE NO BORRAR'!H1597),""))</f>
        <v>0</v>
      </c>
      <c r="I1579" s="6">
        <f>IF('FUENTE NO BORRAR'!I1597="","",IF('FUENTE NO BORRAR'!$A1597&lt;&gt;"Resultado total",('FUENTE NO BORRAR'!I1597),""))</f>
        <v>0</v>
      </c>
    </row>
    <row r="1580" spans="1:9" x14ac:dyDescent="0.2">
      <c r="A1580" s="5" t="str">
        <f>IF('FUENTE NO BORRAR'!A1598="","",(IF('FUENTE NO BORRAR'!A1598&lt;&gt;"Resultado total",'FUENTE NO BORRAR'!A1598,"")))</f>
        <v/>
      </c>
      <c r="B1580" s="5" t="str">
        <f>IF('FUENTE NO BORRAR'!B1598="","",'FUENTE NO BORRAR'!B1598)</f>
        <v/>
      </c>
      <c r="C1580" s="5" t="str">
        <f>IF('FUENTE NO BORRAR'!C1598="","",'FUENTE NO BORRAR'!C1598)</f>
        <v/>
      </c>
      <c r="D1580" s="5" t="str">
        <f>IF('FUENTE NO BORRAR'!D1598="","",'FUENTE NO BORRAR'!D1598)</f>
        <v/>
      </c>
      <c r="E1580" s="5" t="str">
        <f>IF('FUENTE NO BORRAR'!E1598="","",'FUENTE NO BORRAR'!E1598)</f>
        <v/>
      </c>
      <c r="F1580" s="6">
        <f>IF('FUENTE NO BORRAR'!F1598="","",IF('FUENTE NO BORRAR'!$A1598&lt;&gt;"Resultado total",('FUENTE NO BORRAR'!F1598),""))</f>
        <v>27686.57</v>
      </c>
      <c r="G1580" s="6">
        <f>IF('FUENTE NO BORRAR'!G1598="","",IF('FUENTE NO BORRAR'!$A1598&lt;&gt;"Resultado total",('FUENTE NO BORRAR'!G1598),""))</f>
        <v>27686.57</v>
      </c>
      <c r="H1580" s="6">
        <f>IF('FUENTE NO BORRAR'!H1598="","",IF('FUENTE NO BORRAR'!$A1598&lt;&gt;"Resultado total",('FUENTE NO BORRAR'!H1598),""))</f>
        <v>27686.57</v>
      </c>
      <c r="I1580" s="6">
        <f>IF('FUENTE NO BORRAR'!I1598="","",IF('FUENTE NO BORRAR'!$A1598&lt;&gt;"Resultado total",('FUENTE NO BORRAR'!I1598),""))</f>
        <v>0</v>
      </c>
    </row>
    <row r="1581" spans="1:9" x14ac:dyDescent="0.2">
      <c r="A1581" s="5" t="str">
        <f>IF('FUENTE NO BORRAR'!A1599="","",(IF('FUENTE NO BORRAR'!A1599&lt;&gt;"Resultado total",'FUENTE NO BORRAR'!A1599,"")))</f>
        <v/>
      </c>
      <c r="B1581" s="5" t="str">
        <f>IF('FUENTE NO BORRAR'!B1599="","",'FUENTE NO BORRAR'!B1599)</f>
        <v/>
      </c>
      <c r="C1581" s="5" t="str">
        <f>IF('FUENTE NO BORRAR'!C1599="","",'FUENTE NO BORRAR'!C1599)</f>
        <v/>
      </c>
      <c r="D1581" s="5" t="str">
        <f>IF('FUENTE NO BORRAR'!D1599="","",'FUENTE NO BORRAR'!D1599)</f>
        <v/>
      </c>
      <c r="E1581" s="5" t="str">
        <f>IF('FUENTE NO BORRAR'!E1599="","",'FUENTE NO BORRAR'!E1599)</f>
        <v/>
      </c>
      <c r="F1581" s="6">
        <f>IF('FUENTE NO BORRAR'!F1599="","",IF('FUENTE NO BORRAR'!$A1599&lt;&gt;"Resultado total",('FUENTE NO BORRAR'!F1599),""))</f>
        <v>0</v>
      </c>
      <c r="G1581" s="6">
        <f>IF('FUENTE NO BORRAR'!G1599="","",IF('FUENTE NO BORRAR'!$A1599&lt;&gt;"Resultado total",('FUENTE NO BORRAR'!G1599),""))</f>
        <v>0</v>
      </c>
      <c r="H1581" s="6">
        <f>IF('FUENTE NO BORRAR'!H1599="","",IF('FUENTE NO BORRAR'!$A1599&lt;&gt;"Resultado total",('FUENTE NO BORRAR'!H1599),""))</f>
        <v>0</v>
      </c>
      <c r="I1581" s="6">
        <f>IF('FUENTE NO BORRAR'!I1599="","",IF('FUENTE NO BORRAR'!$A1599&lt;&gt;"Resultado total",('FUENTE NO BORRAR'!I1599),""))</f>
        <v>0</v>
      </c>
    </row>
    <row r="1582" spans="1:9" x14ac:dyDescent="0.2">
      <c r="A1582" s="5" t="str">
        <f>IF('FUENTE NO BORRAR'!A1600="","",(IF('FUENTE NO BORRAR'!A1600&lt;&gt;"Resultado total",'FUENTE NO BORRAR'!A1600,"")))</f>
        <v/>
      </c>
      <c r="B1582" s="5" t="str">
        <f>IF('FUENTE NO BORRAR'!B1600="","",'FUENTE NO BORRAR'!B1600)</f>
        <v/>
      </c>
      <c r="C1582" s="5" t="str">
        <f>IF('FUENTE NO BORRAR'!C1600="","",'FUENTE NO BORRAR'!C1600)</f>
        <v/>
      </c>
      <c r="D1582" s="5" t="str">
        <f>IF('FUENTE NO BORRAR'!D1600="","",'FUENTE NO BORRAR'!D1600)</f>
        <v/>
      </c>
      <c r="E1582" s="5" t="str">
        <f>IF('FUENTE NO BORRAR'!E1600="","",'FUENTE NO BORRAR'!E1600)</f>
        <v/>
      </c>
      <c r="F1582" s="6">
        <f>IF('FUENTE NO BORRAR'!F1600="","",IF('FUENTE NO BORRAR'!$A1600&lt;&gt;"Resultado total",('FUENTE NO BORRAR'!F1600),""))</f>
        <v>11287.5</v>
      </c>
      <c r="G1582" s="6">
        <f>IF('FUENTE NO BORRAR'!G1600="","",IF('FUENTE NO BORRAR'!$A1600&lt;&gt;"Resultado total",('FUENTE NO BORRAR'!G1600),""))</f>
        <v>11287.5</v>
      </c>
      <c r="H1582" s="6">
        <f>IF('FUENTE NO BORRAR'!H1600="","",IF('FUENTE NO BORRAR'!$A1600&lt;&gt;"Resultado total",('FUENTE NO BORRAR'!H1600),""))</f>
        <v>11287.5</v>
      </c>
      <c r="I1582" s="6">
        <f>IF('FUENTE NO BORRAR'!I1600="","",IF('FUENTE NO BORRAR'!$A1600&lt;&gt;"Resultado total",('FUENTE NO BORRAR'!I1600),""))</f>
        <v>0</v>
      </c>
    </row>
    <row r="1583" spans="1:9" x14ac:dyDescent="0.2">
      <c r="A1583" s="5" t="str">
        <f>IF('FUENTE NO BORRAR'!A1601="","",(IF('FUENTE NO BORRAR'!A1601&lt;&gt;"Resultado total",'FUENTE NO BORRAR'!A1601,"")))</f>
        <v/>
      </c>
      <c r="B1583" s="5" t="str">
        <f>IF('FUENTE NO BORRAR'!B1601="","",'FUENTE NO BORRAR'!B1601)</f>
        <v/>
      </c>
      <c r="C1583" s="5" t="str">
        <f>IF('FUENTE NO BORRAR'!C1601="","",'FUENTE NO BORRAR'!C1601)</f>
        <v/>
      </c>
      <c r="D1583" s="5" t="str">
        <f>IF('FUENTE NO BORRAR'!D1601="","",'FUENTE NO BORRAR'!D1601)</f>
        <v/>
      </c>
      <c r="E1583" s="5" t="str">
        <f>IF('FUENTE NO BORRAR'!E1601="","",'FUENTE NO BORRAR'!E1601)</f>
        <v/>
      </c>
      <c r="F1583" s="6">
        <f>IF('FUENTE NO BORRAR'!F1601="","",IF('FUENTE NO BORRAR'!$A1601&lt;&gt;"Resultado total",('FUENTE NO BORRAR'!F1601),""))</f>
        <v>328301.96000000002</v>
      </c>
      <c r="G1583" s="6">
        <f>IF('FUENTE NO BORRAR'!G1601="","",IF('FUENTE NO BORRAR'!$A1601&lt;&gt;"Resultado total",('FUENTE NO BORRAR'!G1601),""))</f>
        <v>328301.96000000002</v>
      </c>
      <c r="H1583" s="6">
        <f>IF('FUENTE NO BORRAR'!H1601="","",IF('FUENTE NO BORRAR'!$A1601&lt;&gt;"Resultado total",('FUENTE NO BORRAR'!H1601),""))</f>
        <v>300943.46000000002</v>
      </c>
      <c r="I1583" s="6">
        <f>IF('FUENTE NO BORRAR'!I1601="","",IF('FUENTE NO BORRAR'!$A1601&lt;&gt;"Resultado total",('FUENTE NO BORRAR'!I1601),""))</f>
        <v>0</v>
      </c>
    </row>
    <row r="1584" spans="1:9" x14ac:dyDescent="0.2">
      <c r="A1584" s="5" t="str">
        <f>IF('FUENTE NO BORRAR'!A1602="","",(IF('FUENTE NO BORRAR'!A1602&lt;&gt;"Resultado total",'FUENTE NO BORRAR'!A1602,"")))</f>
        <v/>
      </c>
      <c r="B1584" s="5" t="str">
        <f>IF('FUENTE NO BORRAR'!B1602="","",'FUENTE NO BORRAR'!B1602)</f>
        <v/>
      </c>
      <c r="C1584" s="5" t="str">
        <f>IF('FUENTE NO BORRAR'!C1602="","",'FUENTE NO BORRAR'!C1602)</f>
        <v/>
      </c>
      <c r="D1584" s="5" t="str">
        <f>IF('FUENTE NO BORRAR'!D1602="","",'FUENTE NO BORRAR'!D1602)</f>
        <v/>
      </c>
      <c r="E1584" s="5" t="str">
        <f>IF('FUENTE NO BORRAR'!E1602="","",'FUENTE NO BORRAR'!E1602)</f>
        <v/>
      </c>
      <c r="F1584" s="6">
        <f>IF('FUENTE NO BORRAR'!F1602="","",IF('FUENTE NO BORRAR'!$A1602&lt;&gt;"Resultado total",('FUENTE NO BORRAR'!F1602),""))</f>
        <v>2360</v>
      </c>
      <c r="G1584" s="6">
        <f>IF('FUENTE NO BORRAR'!G1602="","",IF('FUENTE NO BORRAR'!$A1602&lt;&gt;"Resultado total",('FUENTE NO BORRAR'!G1602),""))</f>
        <v>2360</v>
      </c>
      <c r="H1584" s="6">
        <f>IF('FUENTE NO BORRAR'!H1602="","",IF('FUENTE NO BORRAR'!$A1602&lt;&gt;"Resultado total",('FUENTE NO BORRAR'!H1602),""))</f>
        <v>2360</v>
      </c>
      <c r="I1584" s="6">
        <f>IF('FUENTE NO BORRAR'!I1602="","",IF('FUENTE NO BORRAR'!$A1602&lt;&gt;"Resultado total",('FUENTE NO BORRAR'!I1602),""))</f>
        <v>0</v>
      </c>
    </row>
    <row r="1585" spans="1:9" x14ac:dyDescent="0.2">
      <c r="A1585" s="5" t="str">
        <f>IF('FUENTE NO BORRAR'!A1603="","",(IF('FUENTE NO BORRAR'!A1603&lt;&gt;"Resultado total",'FUENTE NO BORRAR'!A1603,"")))</f>
        <v/>
      </c>
      <c r="B1585" s="5" t="str">
        <f>IF('FUENTE NO BORRAR'!B1603="","",'FUENTE NO BORRAR'!B1603)</f>
        <v/>
      </c>
      <c r="C1585" s="5" t="str">
        <f>IF('FUENTE NO BORRAR'!C1603="","",'FUENTE NO BORRAR'!C1603)</f>
        <v/>
      </c>
      <c r="D1585" s="5" t="str">
        <f>IF('FUENTE NO BORRAR'!D1603="","",'FUENTE NO BORRAR'!D1603)</f>
        <v/>
      </c>
      <c r="E1585" s="5" t="str">
        <f>IF('FUENTE NO BORRAR'!E1603="","",'FUENTE NO BORRAR'!E1603)</f>
        <v/>
      </c>
      <c r="F1585" s="6">
        <f>IF('FUENTE NO BORRAR'!F1603="","",IF('FUENTE NO BORRAR'!$A1603&lt;&gt;"Resultado total",('FUENTE NO BORRAR'!F1603),""))</f>
        <v>29004.23</v>
      </c>
      <c r="G1585" s="6">
        <f>IF('FUENTE NO BORRAR'!G1603="","",IF('FUENTE NO BORRAR'!$A1603&lt;&gt;"Resultado total",('FUENTE NO BORRAR'!G1603),""))</f>
        <v>29004.23</v>
      </c>
      <c r="H1585" s="6">
        <f>IF('FUENTE NO BORRAR'!H1603="","",IF('FUENTE NO BORRAR'!$A1603&lt;&gt;"Resultado total",('FUENTE NO BORRAR'!H1603),""))</f>
        <v>23104.18</v>
      </c>
      <c r="I1585" s="6">
        <f>IF('FUENTE NO BORRAR'!I1603="","",IF('FUENTE NO BORRAR'!$A1603&lt;&gt;"Resultado total",('FUENTE NO BORRAR'!I1603),""))</f>
        <v>0</v>
      </c>
    </row>
    <row r="1586" spans="1:9" x14ac:dyDescent="0.2">
      <c r="A1586" s="5" t="str">
        <f>IF('FUENTE NO BORRAR'!A1604="","",(IF('FUENTE NO BORRAR'!A1604&lt;&gt;"Resultado total",'FUENTE NO BORRAR'!A1604,"")))</f>
        <v/>
      </c>
      <c r="B1586" s="5" t="str">
        <f>IF('FUENTE NO BORRAR'!B1604="","",'FUENTE NO BORRAR'!B1604)</f>
        <v/>
      </c>
      <c r="C1586" s="5" t="str">
        <f>IF('FUENTE NO BORRAR'!C1604="","",'FUENTE NO BORRAR'!C1604)</f>
        <v/>
      </c>
      <c r="D1586" s="5" t="str">
        <f>IF('FUENTE NO BORRAR'!D1604="","",'FUENTE NO BORRAR'!D1604)</f>
        <v/>
      </c>
      <c r="E1586" s="5" t="str">
        <f>IF('FUENTE NO BORRAR'!E1604="","",'FUENTE NO BORRAR'!E1604)</f>
        <v/>
      </c>
      <c r="F1586" s="6">
        <f>IF('FUENTE NO BORRAR'!F1604="","",IF('FUENTE NO BORRAR'!$A1604&lt;&gt;"Resultado total",('FUENTE NO BORRAR'!F1604),""))</f>
        <v>55052.67</v>
      </c>
      <c r="G1586" s="6">
        <f>IF('FUENTE NO BORRAR'!G1604="","",IF('FUENTE NO BORRAR'!$A1604&lt;&gt;"Resultado total",('FUENTE NO BORRAR'!G1604),""))</f>
        <v>55052.67</v>
      </c>
      <c r="H1586" s="6">
        <f>IF('FUENTE NO BORRAR'!H1604="","",IF('FUENTE NO BORRAR'!$A1604&lt;&gt;"Resultado total",('FUENTE NO BORRAR'!H1604),""))</f>
        <v>0</v>
      </c>
      <c r="I1586" s="6">
        <f>IF('FUENTE NO BORRAR'!I1604="","",IF('FUENTE NO BORRAR'!$A1604&lt;&gt;"Resultado total",('FUENTE NO BORRAR'!I1604),""))</f>
        <v>0</v>
      </c>
    </row>
    <row r="1587" spans="1:9" x14ac:dyDescent="0.2">
      <c r="A1587" s="5" t="str">
        <f>IF('FUENTE NO BORRAR'!A1605="","",(IF('FUENTE NO BORRAR'!A1605&lt;&gt;"Resultado total",'FUENTE NO BORRAR'!A1605,"")))</f>
        <v/>
      </c>
      <c r="B1587" s="5" t="str">
        <f>IF('FUENTE NO BORRAR'!B1605="","",'FUENTE NO BORRAR'!B1605)</f>
        <v/>
      </c>
      <c r="C1587" s="5" t="str">
        <f>IF('FUENTE NO BORRAR'!C1605="","",'FUENTE NO BORRAR'!C1605)</f>
        <v/>
      </c>
      <c r="D1587" s="5" t="str">
        <f>IF('FUENTE NO BORRAR'!D1605="","",'FUENTE NO BORRAR'!D1605)</f>
        <v/>
      </c>
      <c r="E1587" s="5" t="str">
        <f>IF('FUENTE NO BORRAR'!E1605="","",'FUENTE NO BORRAR'!E1605)</f>
        <v/>
      </c>
      <c r="F1587" s="6">
        <f>IF('FUENTE NO BORRAR'!F1605="","",IF('FUENTE NO BORRAR'!$A1605&lt;&gt;"Resultado total",('FUENTE NO BORRAR'!F1605),""))</f>
        <v>522</v>
      </c>
      <c r="G1587" s="6">
        <f>IF('FUENTE NO BORRAR'!G1605="","",IF('FUENTE NO BORRAR'!$A1605&lt;&gt;"Resultado total",('FUENTE NO BORRAR'!G1605),""))</f>
        <v>522</v>
      </c>
      <c r="H1587" s="6">
        <f>IF('FUENTE NO BORRAR'!H1605="","",IF('FUENTE NO BORRAR'!$A1605&lt;&gt;"Resultado total",('FUENTE NO BORRAR'!H1605),""))</f>
        <v>522</v>
      </c>
      <c r="I1587" s="6">
        <f>IF('FUENTE NO BORRAR'!I1605="","",IF('FUENTE NO BORRAR'!$A1605&lt;&gt;"Resultado total",('FUENTE NO BORRAR'!I1605),""))</f>
        <v>0</v>
      </c>
    </row>
    <row r="1588" spans="1:9" x14ac:dyDescent="0.2">
      <c r="A1588" s="5" t="str">
        <f>IF('FUENTE NO BORRAR'!A1606="","",(IF('FUENTE NO BORRAR'!A1606&lt;&gt;"Resultado total",'FUENTE NO BORRAR'!A1606,"")))</f>
        <v/>
      </c>
      <c r="B1588" s="5" t="str">
        <f>IF('FUENTE NO BORRAR'!B1606="","",'FUENTE NO BORRAR'!B1606)</f>
        <v/>
      </c>
      <c r="C1588" s="5" t="str">
        <f>IF('FUENTE NO BORRAR'!C1606="","",'FUENTE NO BORRAR'!C1606)</f>
        <v/>
      </c>
      <c r="D1588" s="5" t="str">
        <f>IF('FUENTE NO BORRAR'!D1606="","",'FUENTE NO BORRAR'!D1606)</f>
        <v/>
      </c>
      <c r="E1588" s="5" t="str">
        <f>IF('FUENTE NO BORRAR'!E1606="","",'FUENTE NO BORRAR'!E1606)</f>
        <v/>
      </c>
      <c r="F1588" s="6">
        <f>IF('FUENTE NO BORRAR'!F1606="","",IF('FUENTE NO BORRAR'!$A1606&lt;&gt;"Resultado total",('FUENTE NO BORRAR'!F1606),""))</f>
        <v>0</v>
      </c>
      <c r="G1588" s="6">
        <f>IF('FUENTE NO BORRAR'!G1606="","",IF('FUENTE NO BORRAR'!$A1606&lt;&gt;"Resultado total",('FUENTE NO BORRAR'!G1606),""))</f>
        <v>0</v>
      </c>
      <c r="H1588" s="6">
        <f>IF('FUENTE NO BORRAR'!H1606="","",IF('FUENTE NO BORRAR'!$A1606&lt;&gt;"Resultado total",('FUENTE NO BORRAR'!H1606),""))</f>
        <v>0</v>
      </c>
      <c r="I1588" s="6">
        <f>IF('FUENTE NO BORRAR'!I1606="","",IF('FUENTE NO BORRAR'!$A1606&lt;&gt;"Resultado total",('FUENTE NO BORRAR'!I1606),""))</f>
        <v>0</v>
      </c>
    </row>
    <row r="1589" spans="1:9" x14ac:dyDescent="0.2">
      <c r="A1589" s="5" t="str">
        <f>IF('FUENTE NO BORRAR'!A1607="","",(IF('FUENTE NO BORRAR'!A1607&lt;&gt;"Resultado total",'FUENTE NO BORRAR'!A1607,"")))</f>
        <v/>
      </c>
      <c r="B1589" s="5" t="str">
        <f>IF('FUENTE NO BORRAR'!B1607="","",'FUENTE NO BORRAR'!B1607)</f>
        <v/>
      </c>
      <c r="C1589" s="5" t="str">
        <f>IF('FUENTE NO BORRAR'!C1607="","",'FUENTE NO BORRAR'!C1607)</f>
        <v/>
      </c>
      <c r="D1589" s="5" t="str">
        <f>IF('FUENTE NO BORRAR'!D1607="","",'FUENTE NO BORRAR'!D1607)</f>
        <v/>
      </c>
      <c r="E1589" s="5" t="str">
        <f>IF('FUENTE NO BORRAR'!E1607="","",'FUENTE NO BORRAR'!E1607)</f>
        <v/>
      </c>
      <c r="F1589" s="6">
        <f>IF('FUENTE NO BORRAR'!F1607="","",IF('FUENTE NO BORRAR'!$A1607&lt;&gt;"Resultado total",('FUENTE NO BORRAR'!F1607),""))</f>
        <v>0</v>
      </c>
      <c r="G1589" s="6">
        <f>IF('FUENTE NO BORRAR'!G1607="","",IF('FUENTE NO BORRAR'!$A1607&lt;&gt;"Resultado total",('FUENTE NO BORRAR'!G1607),""))</f>
        <v>0</v>
      </c>
      <c r="H1589" s="6">
        <f>IF('FUENTE NO BORRAR'!H1607="","",IF('FUENTE NO BORRAR'!$A1607&lt;&gt;"Resultado total",('FUENTE NO BORRAR'!H1607),""))</f>
        <v>0</v>
      </c>
      <c r="I1589" s="6">
        <f>IF('FUENTE NO BORRAR'!I1607="","",IF('FUENTE NO BORRAR'!$A1607&lt;&gt;"Resultado total",('FUENTE NO BORRAR'!I1607),""))</f>
        <v>0</v>
      </c>
    </row>
    <row r="1590" spans="1:9" x14ac:dyDescent="0.2">
      <c r="A1590" s="5" t="str">
        <f>IF('FUENTE NO BORRAR'!A1608="","",(IF('FUENTE NO BORRAR'!A1608&lt;&gt;"Resultado total",'FUENTE NO BORRAR'!A1608,"")))</f>
        <v/>
      </c>
      <c r="B1590" s="5" t="str">
        <f>IF('FUENTE NO BORRAR'!B1608="","",'FUENTE NO BORRAR'!B1608)</f>
        <v/>
      </c>
      <c r="C1590" s="5" t="str">
        <f>IF('FUENTE NO BORRAR'!C1608="","",'FUENTE NO BORRAR'!C1608)</f>
        <v/>
      </c>
      <c r="D1590" s="5" t="str">
        <f>IF('FUENTE NO BORRAR'!D1608="","",'FUENTE NO BORRAR'!D1608)</f>
        <v/>
      </c>
      <c r="E1590" s="5" t="str">
        <f>IF('FUENTE NO BORRAR'!E1608="","",'FUENTE NO BORRAR'!E1608)</f>
        <v/>
      </c>
      <c r="F1590" s="6">
        <f>IF('FUENTE NO BORRAR'!F1608="","",IF('FUENTE NO BORRAR'!$A1608&lt;&gt;"Resultado total",('FUENTE NO BORRAR'!F1608),""))</f>
        <v>40263.599999999999</v>
      </c>
      <c r="G1590" s="6">
        <f>IF('FUENTE NO BORRAR'!G1608="","",IF('FUENTE NO BORRAR'!$A1608&lt;&gt;"Resultado total",('FUENTE NO BORRAR'!G1608),""))</f>
        <v>40263.599999999999</v>
      </c>
      <c r="H1590" s="6">
        <f>IF('FUENTE NO BORRAR'!H1608="","",IF('FUENTE NO BORRAR'!$A1608&lt;&gt;"Resultado total",('FUENTE NO BORRAR'!H1608),""))</f>
        <v>3619.2</v>
      </c>
      <c r="I1590" s="6">
        <f>IF('FUENTE NO BORRAR'!I1608="","",IF('FUENTE NO BORRAR'!$A1608&lt;&gt;"Resultado total",('FUENTE NO BORRAR'!I1608),""))</f>
        <v>0</v>
      </c>
    </row>
    <row r="1591" spans="1:9" x14ac:dyDescent="0.2">
      <c r="A1591" s="5" t="str">
        <f>IF('FUENTE NO BORRAR'!A1609="","",(IF('FUENTE NO BORRAR'!A1609&lt;&gt;"Resultado total",'FUENTE NO BORRAR'!A1609,"")))</f>
        <v/>
      </c>
      <c r="B1591" s="5" t="str">
        <f>IF('FUENTE NO BORRAR'!B1609="","",'FUENTE NO BORRAR'!B1609)</f>
        <v/>
      </c>
      <c r="C1591" s="5" t="str">
        <f>IF('FUENTE NO BORRAR'!C1609="","",'FUENTE NO BORRAR'!C1609)</f>
        <v/>
      </c>
      <c r="D1591" s="5" t="str">
        <f>IF('FUENTE NO BORRAR'!D1609="","",'FUENTE NO BORRAR'!D1609)</f>
        <v/>
      </c>
      <c r="E1591" s="5" t="str">
        <f>IF('FUENTE NO BORRAR'!E1609="","",'FUENTE NO BORRAR'!E1609)</f>
        <v/>
      </c>
      <c r="F1591" s="6">
        <f>IF('FUENTE NO BORRAR'!F1609="","",IF('FUENTE NO BORRAR'!$A1609&lt;&gt;"Resultado total",('FUENTE NO BORRAR'!F1609),""))</f>
        <v>100</v>
      </c>
      <c r="G1591" s="6">
        <f>IF('FUENTE NO BORRAR'!G1609="","",IF('FUENTE NO BORRAR'!$A1609&lt;&gt;"Resultado total",('FUENTE NO BORRAR'!G1609),""))</f>
        <v>100</v>
      </c>
      <c r="H1591" s="6">
        <f>IF('FUENTE NO BORRAR'!H1609="","",IF('FUENTE NO BORRAR'!$A1609&lt;&gt;"Resultado total",('FUENTE NO BORRAR'!H1609),""))</f>
        <v>100</v>
      </c>
      <c r="I1591" s="6">
        <f>IF('FUENTE NO BORRAR'!I1609="","",IF('FUENTE NO BORRAR'!$A1609&lt;&gt;"Resultado total",('FUENTE NO BORRAR'!I1609),""))</f>
        <v>0</v>
      </c>
    </row>
    <row r="1592" spans="1:9" x14ac:dyDescent="0.2">
      <c r="A1592" s="5" t="str">
        <f>IF('FUENTE NO BORRAR'!A1610="","",(IF('FUENTE NO BORRAR'!A1610&lt;&gt;"Resultado total",'FUENTE NO BORRAR'!A1610,"")))</f>
        <v/>
      </c>
      <c r="B1592" s="5" t="str">
        <f>IF('FUENTE NO BORRAR'!B1610="","",'FUENTE NO BORRAR'!B1610)</f>
        <v/>
      </c>
      <c r="C1592" s="5" t="str">
        <f>IF('FUENTE NO BORRAR'!C1610="","",'FUENTE NO BORRAR'!C1610)</f>
        <v/>
      </c>
      <c r="D1592" s="5" t="str">
        <f>IF('FUENTE NO BORRAR'!D1610="","",'FUENTE NO BORRAR'!D1610)</f>
        <v/>
      </c>
      <c r="E1592" s="5" t="str">
        <f>IF('FUENTE NO BORRAR'!E1610="","",'FUENTE NO BORRAR'!E1610)</f>
        <v/>
      </c>
      <c r="F1592" s="6">
        <f>IF('FUENTE NO BORRAR'!F1610="","",IF('FUENTE NO BORRAR'!$A1610&lt;&gt;"Resultado total",('FUENTE NO BORRAR'!F1610),""))</f>
        <v>2767</v>
      </c>
      <c r="G1592" s="6">
        <f>IF('FUENTE NO BORRAR'!G1610="","",IF('FUENTE NO BORRAR'!$A1610&lt;&gt;"Resultado total",('FUENTE NO BORRAR'!G1610),""))</f>
        <v>2767</v>
      </c>
      <c r="H1592" s="6">
        <f>IF('FUENTE NO BORRAR'!H1610="","",IF('FUENTE NO BORRAR'!$A1610&lt;&gt;"Resultado total",('FUENTE NO BORRAR'!H1610),""))</f>
        <v>2767</v>
      </c>
      <c r="I1592" s="6">
        <f>IF('FUENTE NO BORRAR'!I1610="","",IF('FUENTE NO BORRAR'!$A1610&lt;&gt;"Resultado total",('FUENTE NO BORRAR'!I1610),""))</f>
        <v>0</v>
      </c>
    </row>
    <row r="1593" spans="1:9" x14ac:dyDescent="0.2">
      <c r="A1593" s="5" t="str">
        <f>IF('FUENTE NO BORRAR'!A1611="","",(IF('FUENTE NO BORRAR'!A1611&lt;&gt;"Resultado total",'FUENTE NO BORRAR'!A1611,"")))</f>
        <v/>
      </c>
      <c r="B1593" s="5" t="str">
        <f>IF('FUENTE NO BORRAR'!B1611="","",'FUENTE NO BORRAR'!B1611)</f>
        <v/>
      </c>
      <c r="C1593" s="5" t="str">
        <f>IF('FUENTE NO BORRAR'!C1611="","",'FUENTE NO BORRAR'!C1611)</f>
        <v/>
      </c>
      <c r="D1593" s="5" t="str">
        <f>IF('FUENTE NO BORRAR'!D1611="","",'FUENTE NO BORRAR'!D1611)</f>
        <v/>
      </c>
      <c r="E1593" s="5" t="str">
        <f>IF('FUENTE NO BORRAR'!E1611="","",'FUENTE NO BORRAR'!E1611)</f>
        <v/>
      </c>
      <c r="F1593" s="6">
        <f>IF('FUENTE NO BORRAR'!F1611="","",IF('FUENTE NO BORRAR'!$A1611&lt;&gt;"Resultado total",('FUENTE NO BORRAR'!F1611),""))</f>
        <v>1500</v>
      </c>
      <c r="G1593" s="6">
        <f>IF('FUENTE NO BORRAR'!G1611="","",IF('FUENTE NO BORRAR'!$A1611&lt;&gt;"Resultado total",('FUENTE NO BORRAR'!G1611),""))</f>
        <v>1500</v>
      </c>
      <c r="H1593" s="6">
        <f>IF('FUENTE NO BORRAR'!H1611="","",IF('FUENTE NO BORRAR'!$A1611&lt;&gt;"Resultado total",('FUENTE NO BORRAR'!H1611),""))</f>
        <v>1500</v>
      </c>
      <c r="I1593" s="6">
        <f>IF('FUENTE NO BORRAR'!I1611="","",IF('FUENTE NO BORRAR'!$A1611&lt;&gt;"Resultado total",('FUENTE NO BORRAR'!I1611),""))</f>
        <v>0</v>
      </c>
    </row>
    <row r="1594" spans="1:9" x14ac:dyDescent="0.2">
      <c r="A1594" s="5" t="str">
        <f>IF('FUENTE NO BORRAR'!A1612="","",(IF('FUENTE NO BORRAR'!A1612&lt;&gt;"Resultado total",'FUENTE NO BORRAR'!A1612,"")))</f>
        <v/>
      </c>
      <c r="B1594" s="5" t="str">
        <f>IF('FUENTE NO BORRAR'!B1612="","",'FUENTE NO BORRAR'!B1612)</f>
        <v/>
      </c>
      <c r="C1594" s="5" t="str">
        <f>IF('FUENTE NO BORRAR'!C1612="","",'FUENTE NO BORRAR'!C1612)</f>
        <v/>
      </c>
      <c r="D1594" s="5" t="str">
        <f>IF('FUENTE NO BORRAR'!D1612="","",'FUENTE NO BORRAR'!D1612)</f>
        <v/>
      </c>
      <c r="E1594" s="5" t="str">
        <f>IF('FUENTE NO BORRAR'!E1612="","",'FUENTE NO BORRAR'!E1612)</f>
        <v/>
      </c>
      <c r="F1594" s="6">
        <f>IF('FUENTE NO BORRAR'!F1612="","",IF('FUENTE NO BORRAR'!$A1612&lt;&gt;"Resultado total",('FUENTE NO BORRAR'!F1612),""))</f>
        <v>22840.400000000001</v>
      </c>
      <c r="G1594" s="6">
        <f>IF('FUENTE NO BORRAR'!G1612="","",IF('FUENTE NO BORRAR'!$A1612&lt;&gt;"Resultado total",('FUENTE NO BORRAR'!G1612),""))</f>
        <v>22840.400000000001</v>
      </c>
      <c r="H1594" s="6">
        <f>IF('FUENTE NO BORRAR'!H1612="","",IF('FUENTE NO BORRAR'!$A1612&lt;&gt;"Resultado total",('FUENTE NO BORRAR'!H1612),""))</f>
        <v>22840.400000000001</v>
      </c>
      <c r="I1594" s="6">
        <f>IF('FUENTE NO BORRAR'!I1612="","",IF('FUENTE NO BORRAR'!$A1612&lt;&gt;"Resultado total",('FUENTE NO BORRAR'!I1612),""))</f>
        <v>0</v>
      </c>
    </row>
    <row r="1595" spans="1:9" x14ac:dyDescent="0.2">
      <c r="A1595" s="5" t="str">
        <f>IF('FUENTE NO BORRAR'!A1613="","",(IF('FUENTE NO BORRAR'!A1613&lt;&gt;"Resultado total",'FUENTE NO BORRAR'!A1613,"")))</f>
        <v/>
      </c>
      <c r="B1595" s="5" t="str">
        <f>IF('FUENTE NO BORRAR'!B1613="","",'FUENTE NO BORRAR'!B1613)</f>
        <v/>
      </c>
      <c r="C1595" s="5" t="str">
        <f>IF('FUENTE NO BORRAR'!C1613="","",'FUENTE NO BORRAR'!C1613)</f>
        <v>24012063E203</v>
      </c>
      <c r="D1595" s="5" t="str">
        <f>IF('FUENTE NO BORRAR'!D1613="","",'FUENTE NO BORRAR'!D1613)</f>
        <v>24012063E203</v>
      </c>
      <c r="E1595" s="5" t="str">
        <f>IF('FUENTE NO BORRAR'!E1613="","",'FUENTE NO BORRAR'!E1613)</f>
        <v/>
      </c>
      <c r="F1595" s="6">
        <f>IF('FUENTE NO BORRAR'!F1613="","",IF('FUENTE NO BORRAR'!$A1613&lt;&gt;"Resultado total",('FUENTE NO BORRAR'!F1613),""))</f>
        <v>145157.93</v>
      </c>
      <c r="G1595" s="6">
        <f>IF('FUENTE NO BORRAR'!G1613="","",IF('FUENTE NO BORRAR'!$A1613&lt;&gt;"Resultado total",('FUENTE NO BORRAR'!G1613),""))</f>
        <v>145157.93</v>
      </c>
      <c r="H1595" s="6">
        <f>IF('FUENTE NO BORRAR'!H1613="","",IF('FUENTE NO BORRAR'!$A1613&lt;&gt;"Resultado total",('FUENTE NO BORRAR'!H1613),""))</f>
        <v>145157.93</v>
      </c>
      <c r="I1595" s="6">
        <f>IF('FUENTE NO BORRAR'!I1613="","",IF('FUENTE NO BORRAR'!$A1613&lt;&gt;"Resultado total",('FUENTE NO BORRAR'!I1613),""))</f>
        <v>0</v>
      </c>
    </row>
    <row r="1596" spans="1:9" x14ac:dyDescent="0.2">
      <c r="A1596" s="5" t="str">
        <f>IF('FUENTE NO BORRAR'!A1614="","",(IF('FUENTE NO BORRAR'!A1614&lt;&gt;"Resultado total",'FUENTE NO BORRAR'!A1614,"")))</f>
        <v/>
      </c>
      <c r="B1596" s="5" t="str">
        <f>IF('FUENTE NO BORRAR'!B1614="","",'FUENTE NO BORRAR'!B1614)</f>
        <v/>
      </c>
      <c r="C1596" s="5" t="str">
        <f>IF('FUENTE NO BORRAR'!C1614="","",'FUENTE NO BORRAR'!C1614)</f>
        <v/>
      </c>
      <c r="D1596" s="5" t="str">
        <f>IF('FUENTE NO BORRAR'!D1614="","",'FUENTE NO BORRAR'!D1614)</f>
        <v/>
      </c>
      <c r="E1596" s="5" t="str">
        <f>IF('FUENTE NO BORRAR'!E1614="","",'FUENTE NO BORRAR'!E1614)</f>
        <v/>
      </c>
      <c r="F1596" s="6">
        <f>IF('FUENTE NO BORRAR'!F1614="","",IF('FUENTE NO BORRAR'!$A1614&lt;&gt;"Resultado total",('FUENTE NO BORRAR'!F1614),""))</f>
        <v>254992.82</v>
      </c>
      <c r="G1596" s="6">
        <f>IF('FUENTE NO BORRAR'!G1614="","",IF('FUENTE NO BORRAR'!$A1614&lt;&gt;"Resultado total",('FUENTE NO BORRAR'!G1614),""))</f>
        <v>254992.82</v>
      </c>
      <c r="H1596" s="6">
        <f>IF('FUENTE NO BORRAR'!H1614="","",IF('FUENTE NO BORRAR'!$A1614&lt;&gt;"Resultado total",('FUENTE NO BORRAR'!H1614),""))</f>
        <v>254992.82</v>
      </c>
      <c r="I1596" s="6">
        <f>IF('FUENTE NO BORRAR'!I1614="","",IF('FUENTE NO BORRAR'!$A1614&lt;&gt;"Resultado total",('FUENTE NO BORRAR'!I1614),""))</f>
        <v>0</v>
      </c>
    </row>
    <row r="1597" spans="1:9" x14ac:dyDescent="0.2">
      <c r="A1597" s="5" t="str">
        <f>IF('FUENTE NO BORRAR'!A1615="","",(IF('FUENTE NO BORRAR'!A1615&lt;&gt;"Resultado total",'FUENTE NO BORRAR'!A1615,"")))</f>
        <v/>
      </c>
      <c r="B1597" s="5" t="str">
        <f>IF('FUENTE NO BORRAR'!B1615="","",'FUENTE NO BORRAR'!B1615)</f>
        <v/>
      </c>
      <c r="C1597" s="5" t="str">
        <f>IF('FUENTE NO BORRAR'!C1615="","",'FUENTE NO BORRAR'!C1615)</f>
        <v/>
      </c>
      <c r="D1597" s="5" t="str">
        <f>IF('FUENTE NO BORRAR'!D1615="","",'FUENTE NO BORRAR'!D1615)</f>
        <v/>
      </c>
      <c r="E1597" s="5" t="str">
        <f>IF('FUENTE NO BORRAR'!E1615="","",'FUENTE NO BORRAR'!E1615)</f>
        <v/>
      </c>
      <c r="F1597" s="6">
        <f>IF('FUENTE NO BORRAR'!F1615="","",IF('FUENTE NO BORRAR'!$A1615&lt;&gt;"Resultado total",('FUENTE NO BORRAR'!F1615),""))</f>
        <v>42000</v>
      </c>
      <c r="G1597" s="6">
        <f>IF('FUENTE NO BORRAR'!G1615="","",IF('FUENTE NO BORRAR'!$A1615&lt;&gt;"Resultado total",('FUENTE NO BORRAR'!G1615),""))</f>
        <v>42000</v>
      </c>
      <c r="H1597" s="6">
        <f>IF('FUENTE NO BORRAR'!H1615="","",IF('FUENTE NO BORRAR'!$A1615&lt;&gt;"Resultado total",('FUENTE NO BORRAR'!H1615),""))</f>
        <v>42000</v>
      </c>
      <c r="I1597" s="6">
        <f>IF('FUENTE NO BORRAR'!I1615="","",IF('FUENTE NO BORRAR'!$A1615&lt;&gt;"Resultado total",('FUENTE NO BORRAR'!I1615),""))</f>
        <v>0</v>
      </c>
    </row>
    <row r="1598" spans="1:9" x14ac:dyDescent="0.2">
      <c r="A1598" s="5" t="str">
        <f>IF('FUENTE NO BORRAR'!A1616="","",(IF('FUENTE NO BORRAR'!A1616&lt;&gt;"Resultado total",'FUENTE NO BORRAR'!A1616,"")))</f>
        <v/>
      </c>
      <c r="B1598" s="5" t="str">
        <f>IF('FUENTE NO BORRAR'!B1616="","",'FUENTE NO BORRAR'!B1616)</f>
        <v/>
      </c>
      <c r="C1598" s="5" t="str">
        <f>IF('FUENTE NO BORRAR'!C1616="","",'FUENTE NO BORRAR'!C1616)</f>
        <v/>
      </c>
      <c r="D1598" s="5" t="str">
        <f>IF('FUENTE NO BORRAR'!D1616="","",'FUENTE NO BORRAR'!D1616)</f>
        <v/>
      </c>
      <c r="E1598" s="5" t="str">
        <f>IF('FUENTE NO BORRAR'!E1616="","",'FUENTE NO BORRAR'!E1616)</f>
        <v/>
      </c>
      <c r="F1598" s="6">
        <f>IF('FUENTE NO BORRAR'!F1616="","",IF('FUENTE NO BORRAR'!$A1616&lt;&gt;"Resultado total",('FUENTE NO BORRAR'!F1616),""))</f>
        <v>16713.84</v>
      </c>
      <c r="G1598" s="6">
        <f>IF('FUENTE NO BORRAR'!G1616="","",IF('FUENTE NO BORRAR'!$A1616&lt;&gt;"Resultado total",('FUENTE NO BORRAR'!G1616),""))</f>
        <v>16713.84</v>
      </c>
      <c r="H1598" s="6">
        <f>IF('FUENTE NO BORRAR'!H1616="","",IF('FUENTE NO BORRAR'!$A1616&lt;&gt;"Resultado total",('FUENTE NO BORRAR'!H1616),""))</f>
        <v>16713.84</v>
      </c>
      <c r="I1598" s="6">
        <f>IF('FUENTE NO BORRAR'!I1616="","",IF('FUENTE NO BORRAR'!$A1616&lt;&gt;"Resultado total",('FUENTE NO BORRAR'!I1616),""))</f>
        <v>0</v>
      </c>
    </row>
    <row r="1599" spans="1:9" x14ac:dyDescent="0.2">
      <c r="A1599" s="5" t="str">
        <f>IF('FUENTE NO BORRAR'!A1617="","",(IF('FUENTE NO BORRAR'!A1617&lt;&gt;"Resultado total",'FUENTE NO BORRAR'!A1617,"")))</f>
        <v/>
      </c>
      <c r="B1599" s="5" t="str">
        <f>IF('FUENTE NO BORRAR'!B1617="","",'FUENTE NO BORRAR'!B1617)</f>
        <v/>
      </c>
      <c r="C1599" s="5" t="str">
        <f>IF('FUENTE NO BORRAR'!C1617="","",'FUENTE NO BORRAR'!C1617)</f>
        <v/>
      </c>
      <c r="D1599" s="5" t="str">
        <f>IF('FUENTE NO BORRAR'!D1617="","",'FUENTE NO BORRAR'!D1617)</f>
        <v/>
      </c>
      <c r="E1599" s="5" t="str">
        <f>IF('FUENTE NO BORRAR'!E1617="","",'FUENTE NO BORRAR'!E1617)</f>
        <v/>
      </c>
      <c r="F1599" s="6">
        <f>IF('FUENTE NO BORRAR'!F1617="","",IF('FUENTE NO BORRAR'!$A1617&lt;&gt;"Resultado total",('FUENTE NO BORRAR'!F1617),""))</f>
        <v>11338.59</v>
      </c>
      <c r="G1599" s="6">
        <f>IF('FUENTE NO BORRAR'!G1617="","",IF('FUENTE NO BORRAR'!$A1617&lt;&gt;"Resultado total",('FUENTE NO BORRAR'!G1617),""))</f>
        <v>11338.59</v>
      </c>
      <c r="H1599" s="6">
        <f>IF('FUENTE NO BORRAR'!H1617="","",IF('FUENTE NO BORRAR'!$A1617&lt;&gt;"Resultado total",('FUENTE NO BORRAR'!H1617),""))</f>
        <v>11338.59</v>
      </c>
      <c r="I1599" s="6">
        <f>IF('FUENTE NO BORRAR'!I1617="","",IF('FUENTE NO BORRAR'!$A1617&lt;&gt;"Resultado total",('FUENTE NO BORRAR'!I1617),""))</f>
        <v>0</v>
      </c>
    </row>
    <row r="1600" spans="1:9" x14ac:dyDescent="0.2">
      <c r="A1600" s="5" t="str">
        <f>IF('FUENTE NO BORRAR'!A1618="","",(IF('FUENTE NO BORRAR'!A1618&lt;&gt;"Resultado total",'FUENTE NO BORRAR'!A1618,"")))</f>
        <v/>
      </c>
      <c r="B1600" s="5" t="str">
        <f>IF('FUENTE NO BORRAR'!B1618="","",'FUENTE NO BORRAR'!B1618)</f>
        <v/>
      </c>
      <c r="C1600" s="5" t="str">
        <f>IF('FUENTE NO BORRAR'!C1618="","",'FUENTE NO BORRAR'!C1618)</f>
        <v/>
      </c>
      <c r="D1600" s="5" t="str">
        <f>IF('FUENTE NO BORRAR'!D1618="","",'FUENTE NO BORRAR'!D1618)</f>
        <v/>
      </c>
      <c r="E1600" s="5" t="str">
        <f>IF('FUENTE NO BORRAR'!E1618="","",'FUENTE NO BORRAR'!E1618)</f>
        <v/>
      </c>
      <c r="F1600" s="6">
        <f>IF('FUENTE NO BORRAR'!F1618="","",IF('FUENTE NO BORRAR'!$A1618&lt;&gt;"Resultado total",('FUENTE NO BORRAR'!F1618),""))</f>
        <v>16166.1</v>
      </c>
      <c r="G1600" s="6">
        <f>IF('FUENTE NO BORRAR'!G1618="","",IF('FUENTE NO BORRAR'!$A1618&lt;&gt;"Resultado total",('FUENTE NO BORRAR'!G1618),""))</f>
        <v>16166.1</v>
      </c>
      <c r="H1600" s="6">
        <f>IF('FUENTE NO BORRAR'!H1618="","",IF('FUENTE NO BORRAR'!$A1618&lt;&gt;"Resultado total",('FUENTE NO BORRAR'!H1618),""))</f>
        <v>16166.1</v>
      </c>
      <c r="I1600" s="6">
        <f>IF('FUENTE NO BORRAR'!I1618="","",IF('FUENTE NO BORRAR'!$A1618&lt;&gt;"Resultado total",('FUENTE NO BORRAR'!I1618),""))</f>
        <v>0</v>
      </c>
    </row>
    <row r="1601" spans="1:9" x14ac:dyDescent="0.2">
      <c r="A1601" s="5" t="str">
        <f>IF('FUENTE NO BORRAR'!A1619="","",(IF('FUENTE NO BORRAR'!A1619&lt;&gt;"Resultado total",'FUENTE NO BORRAR'!A1619,"")))</f>
        <v/>
      </c>
      <c r="B1601" s="5" t="str">
        <f>IF('FUENTE NO BORRAR'!B1619="","",'FUENTE NO BORRAR'!B1619)</f>
        <v/>
      </c>
      <c r="C1601" s="5" t="str">
        <f>IF('FUENTE NO BORRAR'!C1619="","",'FUENTE NO BORRAR'!C1619)</f>
        <v/>
      </c>
      <c r="D1601" s="5" t="str">
        <f>IF('FUENTE NO BORRAR'!D1619="","",'FUENTE NO BORRAR'!D1619)</f>
        <v/>
      </c>
      <c r="E1601" s="5" t="str">
        <f>IF('FUENTE NO BORRAR'!E1619="","",'FUENTE NO BORRAR'!E1619)</f>
        <v/>
      </c>
      <c r="F1601" s="6">
        <f>IF('FUENTE NO BORRAR'!F1619="","",IF('FUENTE NO BORRAR'!$A1619&lt;&gt;"Resultado total",('FUENTE NO BORRAR'!F1619),""))</f>
        <v>91425.57</v>
      </c>
      <c r="G1601" s="6">
        <f>IF('FUENTE NO BORRAR'!G1619="","",IF('FUENTE NO BORRAR'!$A1619&lt;&gt;"Resultado total",('FUENTE NO BORRAR'!G1619),""))</f>
        <v>91425.57</v>
      </c>
      <c r="H1601" s="6">
        <f>IF('FUENTE NO BORRAR'!H1619="","",IF('FUENTE NO BORRAR'!$A1619&lt;&gt;"Resultado total",('FUENTE NO BORRAR'!H1619),""))</f>
        <v>91425.57</v>
      </c>
      <c r="I1601" s="6">
        <f>IF('FUENTE NO BORRAR'!I1619="","",IF('FUENTE NO BORRAR'!$A1619&lt;&gt;"Resultado total",('FUENTE NO BORRAR'!I1619),""))</f>
        <v>0</v>
      </c>
    </row>
    <row r="1602" spans="1:9" x14ac:dyDescent="0.2">
      <c r="A1602" s="5" t="str">
        <f>IF('FUENTE NO BORRAR'!A1620="","",(IF('FUENTE NO BORRAR'!A1620&lt;&gt;"Resultado total",'FUENTE NO BORRAR'!A1620,"")))</f>
        <v/>
      </c>
      <c r="B1602" s="5" t="str">
        <f>IF('FUENTE NO BORRAR'!B1620="","",'FUENTE NO BORRAR'!B1620)</f>
        <v/>
      </c>
      <c r="C1602" s="5" t="str">
        <f>IF('FUENTE NO BORRAR'!C1620="","",'FUENTE NO BORRAR'!C1620)</f>
        <v/>
      </c>
      <c r="D1602" s="5" t="str">
        <f>IF('FUENTE NO BORRAR'!D1620="","",'FUENTE NO BORRAR'!D1620)</f>
        <v/>
      </c>
      <c r="E1602" s="5" t="str">
        <f>IF('FUENTE NO BORRAR'!E1620="","",'FUENTE NO BORRAR'!E1620)</f>
        <v/>
      </c>
      <c r="F1602" s="6">
        <f>IF('FUENTE NO BORRAR'!F1620="","",IF('FUENTE NO BORRAR'!$A1620&lt;&gt;"Resultado total",('FUENTE NO BORRAR'!F1620),""))</f>
        <v>195377.81</v>
      </c>
      <c r="G1602" s="6">
        <f>IF('FUENTE NO BORRAR'!G1620="","",IF('FUENTE NO BORRAR'!$A1620&lt;&gt;"Resultado total",('FUENTE NO BORRAR'!G1620),""))</f>
        <v>195377.81</v>
      </c>
      <c r="H1602" s="6">
        <f>IF('FUENTE NO BORRAR'!H1620="","",IF('FUENTE NO BORRAR'!$A1620&lt;&gt;"Resultado total",('FUENTE NO BORRAR'!H1620),""))</f>
        <v>198437.48</v>
      </c>
      <c r="I1602" s="6">
        <f>IF('FUENTE NO BORRAR'!I1620="","",IF('FUENTE NO BORRAR'!$A1620&lt;&gt;"Resultado total",('FUENTE NO BORRAR'!I1620),""))</f>
        <v>0</v>
      </c>
    </row>
    <row r="1603" spans="1:9" x14ac:dyDescent="0.2">
      <c r="A1603" s="5" t="str">
        <f>IF('FUENTE NO BORRAR'!A1621="","",(IF('FUENTE NO BORRAR'!A1621&lt;&gt;"Resultado total",'FUENTE NO BORRAR'!A1621,"")))</f>
        <v/>
      </c>
      <c r="B1603" s="5" t="str">
        <f>IF('FUENTE NO BORRAR'!B1621="","",'FUENTE NO BORRAR'!B1621)</f>
        <v/>
      </c>
      <c r="C1603" s="5" t="str">
        <f>IF('FUENTE NO BORRAR'!C1621="","",'FUENTE NO BORRAR'!C1621)</f>
        <v/>
      </c>
      <c r="D1603" s="5" t="str">
        <f>IF('FUENTE NO BORRAR'!D1621="","",'FUENTE NO BORRAR'!D1621)</f>
        <v/>
      </c>
      <c r="E1603" s="5" t="str">
        <f>IF('FUENTE NO BORRAR'!E1621="","",'FUENTE NO BORRAR'!E1621)</f>
        <v/>
      </c>
      <c r="F1603" s="6">
        <f>IF('FUENTE NO BORRAR'!F1621="","",IF('FUENTE NO BORRAR'!$A1621&lt;&gt;"Resultado total",('FUENTE NO BORRAR'!F1621),""))</f>
        <v>346474.26</v>
      </c>
      <c r="G1603" s="6">
        <f>IF('FUENTE NO BORRAR'!G1621="","",IF('FUENTE NO BORRAR'!$A1621&lt;&gt;"Resultado total",('FUENTE NO BORRAR'!G1621),""))</f>
        <v>346474.26</v>
      </c>
      <c r="H1603" s="6">
        <f>IF('FUENTE NO BORRAR'!H1621="","",IF('FUENTE NO BORRAR'!$A1621&lt;&gt;"Resultado total",('FUENTE NO BORRAR'!H1621),""))</f>
        <v>346474.26</v>
      </c>
      <c r="I1603" s="6">
        <f>IF('FUENTE NO BORRAR'!I1621="","",IF('FUENTE NO BORRAR'!$A1621&lt;&gt;"Resultado total",('FUENTE NO BORRAR'!I1621),""))</f>
        <v>0</v>
      </c>
    </row>
    <row r="1604" spans="1:9" x14ac:dyDescent="0.2">
      <c r="A1604" s="5" t="str">
        <f>IF('FUENTE NO BORRAR'!A1622="","",(IF('FUENTE NO BORRAR'!A1622&lt;&gt;"Resultado total",'FUENTE NO BORRAR'!A1622,"")))</f>
        <v/>
      </c>
      <c r="B1604" s="5" t="str">
        <f>IF('FUENTE NO BORRAR'!B1622="","",'FUENTE NO BORRAR'!B1622)</f>
        <v/>
      </c>
      <c r="C1604" s="5" t="str">
        <f>IF('FUENTE NO BORRAR'!C1622="","",'FUENTE NO BORRAR'!C1622)</f>
        <v/>
      </c>
      <c r="D1604" s="5" t="str">
        <f>IF('FUENTE NO BORRAR'!D1622="","",'FUENTE NO BORRAR'!D1622)</f>
        <v/>
      </c>
      <c r="E1604" s="5" t="str">
        <f>IF('FUENTE NO BORRAR'!E1622="","",'FUENTE NO BORRAR'!E1622)</f>
        <v/>
      </c>
      <c r="F1604" s="6">
        <f>IF('FUENTE NO BORRAR'!F1622="","",IF('FUENTE NO BORRAR'!$A1622&lt;&gt;"Resultado total",('FUENTE NO BORRAR'!F1622),""))</f>
        <v>89229.42</v>
      </c>
      <c r="G1604" s="6">
        <f>IF('FUENTE NO BORRAR'!G1622="","",IF('FUENTE NO BORRAR'!$A1622&lt;&gt;"Resultado total",('FUENTE NO BORRAR'!G1622),""))</f>
        <v>89229.42</v>
      </c>
      <c r="H1604" s="6">
        <f>IF('FUENTE NO BORRAR'!H1622="","",IF('FUENTE NO BORRAR'!$A1622&lt;&gt;"Resultado total",('FUENTE NO BORRAR'!H1622),""))</f>
        <v>89229.42</v>
      </c>
      <c r="I1604" s="6">
        <f>IF('FUENTE NO BORRAR'!I1622="","",IF('FUENTE NO BORRAR'!$A1622&lt;&gt;"Resultado total",('FUENTE NO BORRAR'!I1622),""))</f>
        <v>0</v>
      </c>
    </row>
    <row r="1605" spans="1:9" x14ac:dyDescent="0.2">
      <c r="A1605" s="5" t="str">
        <f>IF('FUENTE NO BORRAR'!A1623="","",(IF('FUENTE NO BORRAR'!A1623&lt;&gt;"Resultado total",'FUENTE NO BORRAR'!A1623,"")))</f>
        <v/>
      </c>
      <c r="B1605" s="5" t="str">
        <f>IF('FUENTE NO BORRAR'!B1623="","",'FUENTE NO BORRAR'!B1623)</f>
        <v/>
      </c>
      <c r="C1605" s="5" t="str">
        <f>IF('FUENTE NO BORRAR'!C1623="","",'FUENTE NO BORRAR'!C1623)</f>
        <v/>
      </c>
      <c r="D1605" s="5" t="str">
        <f>IF('FUENTE NO BORRAR'!D1623="","",'FUENTE NO BORRAR'!D1623)</f>
        <v/>
      </c>
      <c r="E1605" s="5" t="str">
        <f>IF('FUENTE NO BORRAR'!E1623="","",'FUENTE NO BORRAR'!E1623)</f>
        <v/>
      </c>
      <c r="F1605" s="6">
        <f>IF('FUENTE NO BORRAR'!F1623="","",IF('FUENTE NO BORRAR'!$A1623&lt;&gt;"Resultado total",('FUENTE NO BORRAR'!F1623),""))</f>
        <v>29346.02</v>
      </c>
      <c r="G1605" s="6">
        <f>IF('FUENTE NO BORRAR'!G1623="","",IF('FUENTE NO BORRAR'!$A1623&lt;&gt;"Resultado total",('FUENTE NO BORRAR'!G1623),""))</f>
        <v>29346.02</v>
      </c>
      <c r="H1605" s="6">
        <f>IF('FUENTE NO BORRAR'!H1623="","",IF('FUENTE NO BORRAR'!$A1623&lt;&gt;"Resultado total",('FUENTE NO BORRAR'!H1623),""))</f>
        <v>29346.02</v>
      </c>
      <c r="I1605" s="6">
        <f>IF('FUENTE NO BORRAR'!I1623="","",IF('FUENTE NO BORRAR'!$A1623&lt;&gt;"Resultado total",('FUENTE NO BORRAR'!I1623),""))</f>
        <v>0</v>
      </c>
    </row>
    <row r="1606" spans="1:9" x14ac:dyDescent="0.2">
      <c r="A1606" s="5" t="str">
        <f>IF('FUENTE NO BORRAR'!A1624="","",(IF('FUENTE NO BORRAR'!A1624&lt;&gt;"Resultado total",'FUENTE NO BORRAR'!A1624,"")))</f>
        <v/>
      </c>
      <c r="B1606" s="5" t="str">
        <f>IF('FUENTE NO BORRAR'!B1624="","",'FUENTE NO BORRAR'!B1624)</f>
        <v/>
      </c>
      <c r="C1606" s="5" t="str">
        <f>IF('FUENTE NO BORRAR'!C1624="","",'FUENTE NO BORRAR'!C1624)</f>
        <v/>
      </c>
      <c r="D1606" s="5" t="str">
        <f>IF('FUENTE NO BORRAR'!D1624="","",'FUENTE NO BORRAR'!D1624)</f>
        <v/>
      </c>
      <c r="E1606" s="5" t="str">
        <f>IF('FUENTE NO BORRAR'!E1624="","",'FUENTE NO BORRAR'!E1624)</f>
        <v/>
      </c>
      <c r="F1606" s="6">
        <f>IF('FUENTE NO BORRAR'!F1624="","",IF('FUENTE NO BORRAR'!$A1624&lt;&gt;"Resultado total",('FUENTE NO BORRAR'!F1624),""))</f>
        <v>14651.12</v>
      </c>
      <c r="G1606" s="6">
        <f>IF('FUENTE NO BORRAR'!G1624="","",IF('FUENTE NO BORRAR'!$A1624&lt;&gt;"Resultado total",('FUENTE NO BORRAR'!G1624),""))</f>
        <v>14651.12</v>
      </c>
      <c r="H1606" s="6">
        <f>IF('FUENTE NO BORRAR'!H1624="","",IF('FUENTE NO BORRAR'!$A1624&lt;&gt;"Resultado total",('FUENTE NO BORRAR'!H1624),""))</f>
        <v>14651.12</v>
      </c>
      <c r="I1606" s="6">
        <f>IF('FUENTE NO BORRAR'!I1624="","",IF('FUENTE NO BORRAR'!$A1624&lt;&gt;"Resultado total",('FUENTE NO BORRAR'!I1624),""))</f>
        <v>0</v>
      </c>
    </row>
    <row r="1607" spans="1:9" x14ac:dyDescent="0.2">
      <c r="A1607" s="5" t="str">
        <f>IF('FUENTE NO BORRAR'!A1625="","",(IF('FUENTE NO BORRAR'!A1625&lt;&gt;"Resultado total",'FUENTE NO BORRAR'!A1625,"")))</f>
        <v/>
      </c>
      <c r="B1607" s="5" t="str">
        <f>IF('FUENTE NO BORRAR'!B1625="","",'FUENTE NO BORRAR'!B1625)</f>
        <v/>
      </c>
      <c r="C1607" s="5" t="str">
        <f>IF('FUENTE NO BORRAR'!C1625="","",'FUENTE NO BORRAR'!C1625)</f>
        <v/>
      </c>
      <c r="D1607" s="5" t="str">
        <f>IF('FUENTE NO BORRAR'!D1625="","",'FUENTE NO BORRAR'!D1625)</f>
        <v/>
      </c>
      <c r="E1607" s="5" t="str">
        <f>IF('FUENTE NO BORRAR'!E1625="","",'FUENTE NO BORRAR'!E1625)</f>
        <v/>
      </c>
      <c r="F1607" s="6">
        <f>IF('FUENTE NO BORRAR'!F1625="","",IF('FUENTE NO BORRAR'!$A1625&lt;&gt;"Resultado total",('FUENTE NO BORRAR'!F1625),""))</f>
        <v>48152.88</v>
      </c>
      <c r="G1607" s="6">
        <f>IF('FUENTE NO BORRAR'!G1625="","",IF('FUENTE NO BORRAR'!$A1625&lt;&gt;"Resultado total",('FUENTE NO BORRAR'!G1625),""))</f>
        <v>48152.88</v>
      </c>
      <c r="H1607" s="6">
        <f>IF('FUENTE NO BORRAR'!H1625="","",IF('FUENTE NO BORRAR'!$A1625&lt;&gt;"Resultado total",('FUENTE NO BORRAR'!H1625),""))</f>
        <v>48152.88</v>
      </c>
      <c r="I1607" s="6">
        <f>IF('FUENTE NO BORRAR'!I1625="","",IF('FUENTE NO BORRAR'!$A1625&lt;&gt;"Resultado total",('FUENTE NO BORRAR'!I1625),""))</f>
        <v>0</v>
      </c>
    </row>
    <row r="1608" spans="1:9" x14ac:dyDescent="0.2">
      <c r="A1608" s="5" t="str">
        <f>IF('FUENTE NO BORRAR'!A1626="","",(IF('FUENTE NO BORRAR'!A1626&lt;&gt;"Resultado total",'FUENTE NO BORRAR'!A1626,"")))</f>
        <v/>
      </c>
      <c r="B1608" s="5" t="str">
        <f>IF('FUENTE NO BORRAR'!B1626="","",'FUENTE NO BORRAR'!B1626)</f>
        <v/>
      </c>
      <c r="C1608" s="5" t="str">
        <f>IF('FUENTE NO BORRAR'!C1626="","",'FUENTE NO BORRAR'!C1626)</f>
        <v/>
      </c>
      <c r="D1608" s="5" t="str">
        <f>IF('FUENTE NO BORRAR'!D1626="","",'FUENTE NO BORRAR'!D1626)</f>
        <v/>
      </c>
      <c r="E1608" s="5" t="str">
        <f>IF('FUENTE NO BORRAR'!E1626="","",'FUENTE NO BORRAR'!E1626)</f>
        <v/>
      </c>
      <c r="F1608" s="6">
        <f>IF('FUENTE NO BORRAR'!F1626="","",IF('FUENTE NO BORRAR'!$A1626&lt;&gt;"Resultado total",('FUENTE NO BORRAR'!F1626),""))</f>
        <v>184309.03</v>
      </c>
      <c r="G1608" s="6">
        <f>IF('FUENTE NO BORRAR'!G1626="","",IF('FUENTE NO BORRAR'!$A1626&lt;&gt;"Resultado total",('FUENTE NO BORRAR'!G1626),""))</f>
        <v>184309.03</v>
      </c>
      <c r="H1608" s="6">
        <f>IF('FUENTE NO BORRAR'!H1626="","",IF('FUENTE NO BORRAR'!$A1626&lt;&gt;"Resultado total",('FUENTE NO BORRAR'!H1626),""))</f>
        <v>184309.03</v>
      </c>
      <c r="I1608" s="6">
        <f>IF('FUENTE NO BORRAR'!I1626="","",IF('FUENTE NO BORRAR'!$A1626&lt;&gt;"Resultado total",('FUENTE NO BORRAR'!I1626),""))</f>
        <v>0</v>
      </c>
    </row>
    <row r="1609" spans="1:9" x14ac:dyDescent="0.2">
      <c r="A1609" s="5" t="str">
        <f>IF('FUENTE NO BORRAR'!A1627="","",(IF('FUENTE NO BORRAR'!A1627&lt;&gt;"Resultado total",'FUENTE NO BORRAR'!A1627,"")))</f>
        <v/>
      </c>
      <c r="B1609" s="5" t="str">
        <f>IF('FUENTE NO BORRAR'!B1627="","",'FUENTE NO BORRAR'!B1627)</f>
        <v/>
      </c>
      <c r="C1609" s="5" t="str">
        <f>IF('FUENTE NO BORRAR'!C1627="","",'FUENTE NO BORRAR'!C1627)</f>
        <v/>
      </c>
      <c r="D1609" s="5" t="str">
        <f>IF('FUENTE NO BORRAR'!D1627="","",'FUENTE NO BORRAR'!D1627)</f>
        <v/>
      </c>
      <c r="E1609" s="5" t="str">
        <f>IF('FUENTE NO BORRAR'!E1627="","",'FUENTE NO BORRAR'!E1627)</f>
        <v/>
      </c>
      <c r="F1609" s="6">
        <f>IF('FUENTE NO BORRAR'!F1627="","",IF('FUENTE NO BORRAR'!$A1627&lt;&gt;"Resultado total",('FUENTE NO BORRAR'!F1627),""))</f>
        <v>1070.68</v>
      </c>
      <c r="G1609" s="6">
        <f>IF('FUENTE NO BORRAR'!G1627="","",IF('FUENTE NO BORRAR'!$A1627&lt;&gt;"Resultado total",('FUENTE NO BORRAR'!G1627),""))</f>
        <v>1070.68</v>
      </c>
      <c r="H1609" s="6">
        <f>IF('FUENTE NO BORRAR'!H1627="","",IF('FUENTE NO BORRAR'!$A1627&lt;&gt;"Resultado total",('FUENTE NO BORRAR'!H1627),""))</f>
        <v>1070.68</v>
      </c>
      <c r="I1609" s="6">
        <f>IF('FUENTE NO BORRAR'!I1627="","",IF('FUENTE NO BORRAR'!$A1627&lt;&gt;"Resultado total",('FUENTE NO BORRAR'!I1627),""))</f>
        <v>0</v>
      </c>
    </row>
    <row r="1610" spans="1:9" x14ac:dyDescent="0.2">
      <c r="A1610" s="5" t="str">
        <f>IF('FUENTE NO BORRAR'!A1628="","",(IF('FUENTE NO BORRAR'!A1628&lt;&gt;"Resultado total",'FUENTE NO BORRAR'!A1628,"")))</f>
        <v/>
      </c>
      <c r="B1610" s="5" t="str">
        <f>IF('FUENTE NO BORRAR'!B1628="","",'FUENTE NO BORRAR'!B1628)</f>
        <v/>
      </c>
      <c r="C1610" s="5" t="str">
        <f>IF('FUENTE NO BORRAR'!C1628="","",'FUENTE NO BORRAR'!C1628)</f>
        <v/>
      </c>
      <c r="D1610" s="5" t="str">
        <f>IF('FUENTE NO BORRAR'!D1628="","",'FUENTE NO BORRAR'!D1628)</f>
        <v/>
      </c>
      <c r="E1610" s="5" t="str">
        <f>IF('FUENTE NO BORRAR'!E1628="","",'FUENTE NO BORRAR'!E1628)</f>
        <v/>
      </c>
      <c r="F1610" s="6">
        <f>IF('FUENTE NO BORRAR'!F1628="","",IF('FUENTE NO BORRAR'!$A1628&lt;&gt;"Resultado total",('FUENTE NO BORRAR'!F1628),""))</f>
        <v>0</v>
      </c>
      <c r="G1610" s="6">
        <f>IF('FUENTE NO BORRAR'!G1628="","",IF('FUENTE NO BORRAR'!$A1628&lt;&gt;"Resultado total",('FUENTE NO BORRAR'!G1628),""))</f>
        <v>0</v>
      </c>
      <c r="H1610" s="6">
        <f>IF('FUENTE NO BORRAR'!H1628="","",IF('FUENTE NO BORRAR'!$A1628&lt;&gt;"Resultado total",('FUENTE NO BORRAR'!H1628),""))</f>
        <v>0</v>
      </c>
      <c r="I1610" s="6">
        <f>IF('FUENTE NO BORRAR'!I1628="","",IF('FUENTE NO BORRAR'!$A1628&lt;&gt;"Resultado total",('FUENTE NO BORRAR'!I1628),""))</f>
        <v>0</v>
      </c>
    </row>
    <row r="1611" spans="1:9" x14ac:dyDescent="0.2">
      <c r="A1611" s="5" t="str">
        <f>IF('FUENTE NO BORRAR'!A1629="","",(IF('FUENTE NO BORRAR'!A1629&lt;&gt;"Resultado total",'FUENTE NO BORRAR'!A1629,"")))</f>
        <v/>
      </c>
      <c r="B1611" s="5" t="str">
        <f>IF('FUENTE NO BORRAR'!B1629="","",'FUENTE NO BORRAR'!B1629)</f>
        <v/>
      </c>
      <c r="C1611" s="5" t="str">
        <f>IF('FUENTE NO BORRAR'!C1629="","",'FUENTE NO BORRAR'!C1629)</f>
        <v/>
      </c>
      <c r="D1611" s="5" t="str">
        <f>IF('FUENTE NO BORRAR'!D1629="","",'FUENTE NO BORRAR'!D1629)</f>
        <v/>
      </c>
      <c r="E1611" s="5" t="str">
        <f>IF('FUENTE NO BORRAR'!E1629="","",'FUENTE NO BORRAR'!E1629)</f>
        <v/>
      </c>
      <c r="F1611" s="6">
        <f>IF('FUENTE NO BORRAR'!F1629="","",IF('FUENTE NO BORRAR'!$A1629&lt;&gt;"Resultado total",('FUENTE NO BORRAR'!F1629),""))</f>
        <v>678</v>
      </c>
      <c r="G1611" s="6">
        <f>IF('FUENTE NO BORRAR'!G1629="","",IF('FUENTE NO BORRAR'!$A1629&lt;&gt;"Resultado total",('FUENTE NO BORRAR'!G1629),""))</f>
        <v>678</v>
      </c>
      <c r="H1611" s="6">
        <f>IF('FUENTE NO BORRAR'!H1629="","",IF('FUENTE NO BORRAR'!$A1629&lt;&gt;"Resultado total",('FUENTE NO BORRAR'!H1629),""))</f>
        <v>678</v>
      </c>
      <c r="I1611" s="6">
        <f>IF('FUENTE NO BORRAR'!I1629="","",IF('FUENTE NO BORRAR'!$A1629&lt;&gt;"Resultado total",('FUENTE NO BORRAR'!I1629),""))</f>
        <v>0</v>
      </c>
    </row>
    <row r="1612" spans="1:9" x14ac:dyDescent="0.2">
      <c r="A1612" s="5" t="str">
        <f>IF('FUENTE NO BORRAR'!A1630="","",(IF('FUENTE NO BORRAR'!A1630&lt;&gt;"Resultado total",'FUENTE NO BORRAR'!A1630,"")))</f>
        <v/>
      </c>
      <c r="B1612" s="5" t="str">
        <f>IF('FUENTE NO BORRAR'!B1630="","",'FUENTE NO BORRAR'!B1630)</f>
        <v/>
      </c>
      <c r="C1612" s="5" t="str">
        <f>IF('FUENTE NO BORRAR'!C1630="","",'FUENTE NO BORRAR'!C1630)</f>
        <v/>
      </c>
      <c r="D1612" s="5" t="str">
        <f>IF('FUENTE NO BORRAR'!D1630="","",'FUENTE NO BORRAR'!D1630)</f>
        <v/>
      </c>
      <c r="E1612" s="5" t="str">
        <f>IF('FUENTE NO BORRAR'!E1630="","",'FUENTE NO BORRAR'!E1630)</f>
        <v/>
      </c>
      <c r="F1612" s="6">
        <f>IF('FUENTE NO BORRAR'!F1630="","",IF('FUENTE NO BORRAR'!$A1630&lt;&gt;"Resultado total",('FUENTE NO BORRAR'!F1630),""))</f>
        <v>7744.16</v>
      </c>
      <c r="G1612" s="6">
        <f>IF('FUENTE NO BORRAR'!G1630="","",IF('FUENTE NO BORRAR'!$A1630&lt;&gt;"Resultado total",('FUENTE NO BORRAR'!G1630),""))</f>
        <v>7744.16</v>
      </c>
      <c r="H1612" s="6">
        <f>IF('FUENTE NO BORRAR'!H1630="","",IF('FUENTE NO BORRAR'!$A1630&lt;&gt;"Resultado total",('FUENTE NO BORRAR'!H1630),""))</f>
        <v>7744.16</v>
      </c>
      <c r="I1612" s="6">
        <f>IF('FUENTE NO BORRAR'!I1630="","",IF('FUENTE NO BORRAR'!$A1630&lt;&gt;"Resultado total",('FUENTE NO BORRAR'!I1630),""))</f>
        <v>0</v>
      </c>
    </row>
    <row r="1613" spans="1:9" x14ac:dyDescent="0.2">
      <c r="A1613" s="5" t="str">
        <f>IF('FUENTE NO BORRAR'!A1631="","",(IF('FUENTE NO BORRAR'!A1631&lt;&gt;"Resultado total",'FUENTE NO BORRAR'!A1631,"")))</f>
        <v/>
      </c>
      <c r="B1613" s="5" t="str">
        <f>IF('FUENTE NO BORRAR'!B1631="","",'FUENTE NO BORRAR'!B1631)</f>
        <v/>
      </c>
      <c r="C1613" s="5" t="str">
        <f>IF('FUENTE NO BORRAR'!C1631="","",'FUENTE NO BORRAR'!C1631)</f>
        <v/>
      </c>
      <c r="D1613" s="5" t="str">
        <f>IF('FUENTE NO BORRAR'!D1631="","",'FUENTE NO BORRAR'!D1631)</f>
        <v/>
      </c>
      <c r="E1613" s="5" t="str">
        <f>IF('FUENTE NO BORRAR'!E1631="","",'FUENTE NO BORRAR'!E1631)</f>
        <v/>
      </c>
      <c r="F1613" s="6">
        <f>IF('FUENTE NO BORRAR'!F1631="","",IF('FUENTE NO BORRAR'!$A1631&lt;&gt;"Resultado total",('FUENTE NO BORRAR'!F1631),""))</f>
        <v>6041.47</v>
      </c>
      <c r="G1613" s="6">
        <f>IF('FUENTE NO BORRAR'!G1631="","",IF('FUENTE NO BORRAR'!$A1631&lt;&gt;"Resultado total",('FUENTE NO BORRAR'!G1631),""))</f>
        <v>6041.47</v>
      </c>
      <c r="H1613" s="6">
        <f>IF('FUENTE NO BORRAR'!H1631="","",IF('FUENTE NO BORRAR'!$A1631&lt;&gt;"Resultado total",('FUENTE NO BORRAR'!H1631),""))</f>
        <v>6041.47</v>
      </c>
      <c r="I1613" s="6">
        <f>IF('FUENTE NO BORRAR'!I1631="","",IF('FUENTE NO BORRAR'!$A1631&lt;&gt;"Resultado total",('FUENTE NO BORRAR'!I1631),""))</f>
        <v>0</v>
      </c>
    </row>
    <row r="1614" spans="1:9" x14ac:dyDescent="0.2">
      <c r="A1614" s="5" t="str">
        <f>IF('FUENTE NO BORRAR'!A1632="","",(IF('FUENTE NO BORRAR'!A1632&lt;&gt;"Resultado total",'FUENTE NO BORRAR'!A1632,"")))</f>
        <v/>
      </c>
      <c r="B1614" s="5" t="str">
        <f>IF('FUENTE NO BORRAR'!B1632="","",'FUENTE NO BORRAR'!B1632)</f>
        <v/>
      </c>
      <c r="C1614" s="5" t="str">
        <f>IF('FUENTE NO BORRAR'!C1632="","",'FUENTE NO BORRAR'!C1632)</f>
        <v/>
      </c>
      <c r="D1614" s="5" t="str">
        <f>IF('FUENTE NO BORRAR'!D1632="","",'FUENTE NO BORRAR'!D1632)</f>
        <v/>
      </c>
      <c r="E1614" s="5" t="str">
        <f>IF('FUENTE NO BORRAR'!E1632="","",'FUENTE NO BORRAR'!E1632)</f>
        <v/>
      </c>
      <c r="F1614" s="6">
        <f>IF('FUENTE NO BORRAR'!F1632="","",IF('FUENTE NO BORRAR'!$A1632&lt;&gt;"Resultado total",('FUENTE NO BORRAR'!F1632),""))</f>
        <v>1008</v>
      </c>
      <c r="G1614" s="6">
        <f>IF('FUENTE NO BORRAR'!G1632="","",IF('FUENTE NO BORRAR'!$A1632&lt;&gt;"Resultado total",('FUENTE NO BORRAR'!G1632),""))</f>
        <v>1008</v>
      </c>
      <c r="H1614" s="6">
        <f>IF('FUENTE NO BORRAR'!H1632="","",IF('FUENTE NO BORRAR'!$A1632&lt;&gt;"Resultado total",('FUENTE NO BORRAR'!H1632),""))</f>
        <v>1008</v>
      </c>
      <c r="I1614" s="6">
        <f>IF('FUENTE NO BORRAR'!I1632="","",IF('FUENTE NO BORRAR'!$A1632&lt;&gt;"Resultado total",('FUENTE NO BORRAR'!I1632),""))</f>
        <v>0</v>
      </c>
    </row>
    <row r="1615" spans="1:9" x14ac:dyDescent="0.2">
      <c r="A1615" s="5" t="str">
        <f>IF('FUENTE NO BORRAR'!A1633="","",(IF('FUENTE NO BORRAR'!A1633&lt;&gt;"Resultado total",'FUENTE NO BORRAR'!A1633,"")))</f>
        <v/>
      </c>
      <c r="B1615" s="5" t="str">
        <f>IF('FUENTE NO BORRAR'!B1633="","",'FUENTE NO BORRAR'!B1633)</f>
        <v/>
      </c>
      <c r="C1615" s="5" t="str">
        <f>IF('FUENTE NO BORRAR'!C1633="","",'FUENTE NO BORRAR'!C1633)</f>
        <v/>
      </c>
      <c r="D1615" s="5" t="str">
        <f>IF('FUENTE NO BORRAR'!D1633="","",'FUENTE NO BORRAR'!D1633)</f>
        <v/>
      </c>
      <c r="E1615" s="5" t="str">
        <f>IF('FUENTE NO BORRAR'!E1633="","",'FUENTE NO BORRAR'!E1633)</f>
        <v/>
      </c>
      <c r="F1615" s="6">
        <f>IF('FUENTE NO BORRAR'!F1633="","",IF('FUENTE NO BORRAR'!$A1633&lt;&gt;"Resultado total",('FUENTE NO BORRAR'!F1633),""))</f>
        <v>1179</v>
      </c>
      <c r="G1615" s="6">
        <f>IF('FUENTE NO BORRAR'!G1633="","",IF('FUENTE NO BORRAR'!$A1633&lt;&gt;"Resultado total",('FUENTE NO BORRAR'!G1633),""))</f>
        <v>1179</v>
      </c>
      <c r="H1615" s="6">
        <f>IF('FUENTE NO BORRAR'!H1633="","",IF('FUENTE NO BORRAR'!$A1633&lt;&gt;"Resultado total",('FUENTE NO BORRAR'!H1633),""))</f>
        <v>1179</v>
      </c>
      <c r="I1615" s="6">
        <f>IF('FUENTE NO BORRAR'!I1633="","",IF('FUENTE NO BORRAR'!$A1633&lt;&gt;"Resultado total",('FUENTE NO BORRAR'!I1633),""))</f>
        <v>0</v>
      </c>
    </row>
    <row r="1616" spans="1:9" x14ac:dyDescent="0.2">
      <c r="A1616" s="5" t="str">
        <f>IF('FUENTE NO BORRAR'!A1634="","",(IF('FUENTE NO BORRAR'!A1634&lt;&gt;"Resultado total",'FUENTE NO BORRAR'!A1634,"")))</f>
        <v/>
      </c>
      <c r="B1616" s="5" t="str">
        <f>IF('FUENTE NO BORRAR'!B1634="","",'FUENTE NO BORRAR'!B1634)</f>
        <v/>
      </c>
      <c r="C1616" s="5" t="str">
        <f>IF('FUENTE NO BORRAR'!C1634="","",'FUENTE NO BORRAR'!C1634)</f>
        <v/>
      </c>
      <c r="D1616" s="5" t="str">
        <f>IF('FUENTE NO BORRAR'!D1634="","",'FUENTE NO BORRAR'!D1634)</f>
        <v/>
      </c>
      <c r="E1616" s="5" t="str">
        <f>IF('FUENTE NO BORRAR'!E1634="","",'FUENTE NO BORRAR'!E1634)</f>
        <v/>
      </c>
      <c r="F1616" s="6">
        <f>IF('FUENTE NO BORRAR'!F1634="","",IF('FUENTE NO BORRAR'!$A1634&lt;&gt;"Resultado total",('FUENTE NO BORRAR'!F1634),""))</f>
        <v>276.02999999999997</v>
      </c>
      <c r="G1616" s="6">
        <f>IF('FUENTE NO BORRAR'!G1634="","",IF('FUENTE NO BORRAR'!$A1634&lt;&gt;"Resultado total",('FUENTE NO BORRAR'!G1634),""))</f>
        <v>276.02999999999997</v>
      </c>
      <c r="H1616" s="6">
        <f>IF('FUENTE NO BORRAR'!H1634="","",IF('FUENTE NO BORRAR'!$A1634&lt;&gt;"Resultado total",('FUENTE NO BORRAR'!H1634),""))</f>
        <v>0</v>
      </c>
      <c r="I1616" s="6">
        <f>IF('FUENTE NO BORRAR'!I1634="","",IF('FUENTE NO BORRAR'!$A1634&lt;&gt;"Resultado total",('FUENTE NO BORRAR'!I1634),""))</f>
        <v>0</v>
      </c>
    </row>
    <row r="1617" spans="1:9" x14ac:dyDescent="0.2">
      <c r="A1617" s="5" t="str">
        <f>IF('FUENTE NO BORRAR'!A1635="","",(IF('FUENTE NO BORRAR'!A1635&lt;&gt;"Resultado total",'FUENTE NO BORRAR'!A1635,"")))</f>
        <v/>
      </c>
      <c r="B1617" s="5" t="str">
        <f>IF('FUENTE NO BORRAR'!B1635="","",'FUENTE NO BORRAR'!B1635)</f>
        <v/>
      </c>
      <c r="C1617" s="5" t="str">
        <f>IF('FUENTE NO BORRAR'!C1635="","",'FUENTE NO BORRAR'!C1635)</f>
        <v/>
      </c>
      <c r="D1617" s="5" t="str">
        <f>IF('FUENTE NO BORRAR'!D1635="","",'FUENTE NO BORRAR'!D1635)</f>
        <v/>
      </c>
      <c r="E1617" s="5" t="str">
        <f>IF('FUENTE NO BORRAR'!E1635="","",'FUENTE NO BORRAR'!E1635)</f>
        <v/>
      </c>
      <c r="F1617" s="6">
        <f>IF('FUENTE NO BORRAR'!F1635="","",IF('FUENTE NO BORRAR'!$A1635&lt;&gt;"Resultado total",('FUENTE NO BORRAR'!F1635),""))</f>
        <v>3566.01</v>
      </c>
      <c r="G1617" s="6">
        <f>IF('FUENTE NO BORRAR'!G1635="","",IF('FUENTE NO BORRAR'!$A1635&lt;&gt;"Resultado total",('FUENTE NO BORRAR'!G1635),""))</f>
        <v>3566.01</v>
      </c>
      <c r="H1617" s="6">
        <f>IF('FUENTE NO BORRAR'!H1635="","",IF('FUENTE NO BORRAR'!$A1635&lt;&gt;"Resultado total",('FUENTE NO BORRAR'!H1635),""))</f>
        <v>0</v>
      </c>
      <c r="I1617" s="6">
        <f>IF('FUENTE NO BORRAR'!I1635="","",IF('FUENTE NO BORRAR'!$A1635&lt;&gt;"Resultado total",('FUENTE NO BORRAR'!I1635),""))</f>
        <v>0</v>
      </c>
    </row>
    <row r="1618" spans="1:9" x14ac:dyDescent="0.2">
      <c r="A1618" s="5" t="str">
        <f>IF('FUENTE NO BORRAR'!A1636="","",(IF('FUENTE NO BORRAR'!A1636&lt;&gt;"Resultado total",'FUENTE NO BORRAR'!A1636,"")))</f>
        <v/>
      </c>
      <c r="B1618" s="5" t="str">
        <f>IF('FUENTE NO BORRAR'!B1636="","",'FUENTE NO BORRAR'!B1636)</f>
        <v/>
      </c>
      <c r="C1618" s="5" t="str">
        <f>IF('FUENTE NO BORRAR'!C1636="","",'FUENTE NO BORRAR'!C1636)</f>
        <v/>
      </c>
      <c r="D1618" s="5" t="str">
        <f>IF('FUENTE NO BORRAR'!D1636="","",'FUENTE NO BORRAR'!D1636)</f>
        <v/>
      </c>
      <c r="E1618" s="5" t="str">
        <f>IF('FUENTE NO BORRAR'!E1636="","",'FUENTE NO BORRAR'!E1636)</f>
        <v/>
      </c>
      <c r="F1618" s="6">
        <f>IF('FUENTE NO BORRAR'!F1636="","",IF('FUENTE NO BORRAR'!$A1636&lt;&gt;"Resultado total",('FUENTE NO BORRAR'!F1636),""))</f>
        <v>890</v>
      </c>
      <c r="G1618" s="6">
        <f>IF('FUENTE NO BORRAR'!G1636="","",IF('FUENTE NO BORRAR'!$A1636&lt;&gt;"Resultado total",('FUENTE NO BORRAR'!G1636),""))</f>
        <v>890</v>
      </c>
      <c r="H1618" s="6">
        <f>IF('FUENTE NO BORRAR'!H1636="","",IF('FUENTE NO BORRAR'!$A1636&lt;&gt;"Resultado total",('FUENTE NO BORRAR'!H1636),""))</f>
        <v>890</v>
      </c>
      <c r="I1618" s="6">
        <f>IF('FUENTE NO BORRAR'!I1636="","",IF('FUENTE NO BORRAR'!$A1636&lt;&gt;"Resultado total",('FUENTE NO BORRAR'!I1636),""))</f>
        <v>0</v>
      </c>
    </row>
    <row r="1619" spans="1:9" x14ac:dyDescent="0.2">
      <c r="A1619" s="5" t="str">
        <f>IF('FUENTE NO BORRAR'!A1637="","",(IF('FUENTE NO BORRAR'!A1637&lt;&gt;"Resultado total",'FUENTE NO BORRAR'!A1637,"")))</f>
        <v/>
      </c>
      <c r="B1619" s="5" t="str">
        <f>IF('FUENTE NO BORRAR'!B1637="","",'FUENTE NO BORRAR'!B1637)</f>
        <v/>
      </c>
      <c r="C1619" s="5" t="str">
        <f>IF('FUENTE NO BORRAR'!C1637="","",'FUENTE NO BORRAR'!C1637)</f>
        <v/>
      </c>
      <c r="D1619" s="5" t="str">
        <f>IF('FUENTE NO BORRAR'!D1637="","",'FUENTE NO BORRAR'!D1637)</f>
        <v/>
      </c>
      <c r="E1619" s="5" t="str">
        <f>IF('FUENTE NO BORRAR'!E1637="","",'FUENTE NO BORRAR'!E1637)</f>
        <v/>
      </c>
      <c r="F1619" s="6">
        <f>IF('FUENTE NO BORRAR'!F1637="","",IF('FUENTE NO BORRAR'!$A1637&lt;&gt;"Resultado total",('FUENTE NO BORRAR'!F1637),""))</f>
        <v>1890.8</v>
      </c>
      <c r="G1619" s="6">
        <f>IF('FUENTE NO BORRAR'!G1637="","",IF('FUENTE NO BORRAR'!$A1637&lt;&gt;"Resultado total",('FUENTE NO BORRAR'!G1637),""))</f>
        <v>1890.8</v>
      </c>
      <c r="H1619" s="6">
        <f>IF('FUENTE NO BORRAR'!H1637="","",IF('FUENTE NO BORRAR'!$A1637&lt;&gt;"Resultado total",('FUENTE NO BORRAR'!H1637),""))</f>
        <v>1890.8</v>
      </c>
      <c r="I1619" s="6">
        <f>IF('FUENTE NO BORRAR'!I1637="","",IF('FUENTE NO BORRAR'!$A1637&lt;&gt;"Resultado total",('FUENTE NO BORRAR'!I1637),""))</f>
        <v>0</v>
      </c>
    </row>
    <row r="1620" spans="1:9" x14ac:dyDescent="0.2">
      <c r="A1620" s="5" t="str">
        <f>IF('FUENTE NO BORRAR'!A1638="","",(IF('FUENTE NO BORRAR'!A1638&lt;&gt;"Resultado total",'FUENTE NO BORRAR'!A1638,"")))</f>
        <v/>
      </c>
      <c r="B1620" s="5" t="str">
        <f>IF('FUENTE NO BORRAR'!B1638="","",'FUENTE NO BORRAR'!B1638)</f>
        <v/>
      </c>
      <c r="C1620" s="5" t="str">
        <f>IF('FUENTE NO BORRAR'!C1638="","",'FUENTE NO BORRAR'!C1638)</f>
        <v/>
      </c>
      <c r="D1620" s="5" t="str">
        <f>IF('FUENTE NO BORRAR'!D1638="","",'FUENTE NO BORRAR'!D1638)</f>
        <v/>
      </c>
      <c r="E1620" s="5" t="str">
        <f>IF('FUENTE NO BORRAR'!E1638="","",'FUENTE NO BORRAR'!E1638)</f>
        <v/>
      </c>
      <c r="F1620" s="6">
        <f>IF('FUENTE NO BORRAR'!F1638="","",IF('FUENTE NO BORRAR'!$A1638&lt;&gt;"Resultado total",('FUENTE NO BORRAR'!F1638),""))</f>
        <v>153.02000000000001</v>
      </c>
      <c r="G1620" s="6">
        <f>IF('FUENTE NO BORRAR'!G1638="","",IF('FUENTE NO BORRAR'!$A1638&lt;&gt;"Resultado total",('FUENTE NO BORRAR'!G1638),""))</f>
        <v>153.02000000000001</v>
      </c>
      <c r="H1620" s="6">
        <f>IF('FUENTE NO BORRAR'!H1638="","",IF('FUENTE NO BORRAR'!$A1638&lt;&gt;"Resultado total",('FUENTE NO BORRAR'!H1638),""))</f>
        <v>0</v>
      </c>
      <c r="I1620" s="6">
        <f>IF('FUENTE NO BORRAR'!I1638="","",IF('FUENTE NO BORRAR'!$A1638&lt;&gt;"Resultado total",('FUENTE NO BORRAR'!I1638),""))</f>
        <v>0</v>
      </c>
    </row>
    <row r="1621" spans="1:9" x14ac:dyDescent="0.2">
      <c r="A1621" s="5" t="str">
        <f>IF('FUENTE NO BORRAR'!A1639="","",(IF('FUENTE NO BORRAR'!A1639&lt;&gt;"Resultado total",'FUENTE NO BORRAR'!A1639,"")))</f>
        <v/>
      </c>
      <c r="B1621" s="5" t="str">
        <f>IF('FUENTE NO BORRAR'!B1639="","",'FUENTE NO BORRAR'!B1639)</f>
        <v/>
      </c>
      <c r="C1621" s="5" t="str">
        <f>IF('FUENTE NO BORRAR'!C1639="","",'FUENTE NO BORRAR'!C1639)</f>
        <v/>
      </c>
      <c r="D1621" s="5" t="str">
        <f>IF('FUENTE NO BORRAR'!D1639="","",'FUENTE NO BORRAR'!D1639)</f>
        <v/>
      </c>
      <c r="E1621" s="5" t="str">
        <f>IF('FUENTE NO BORRAR'!E1639="","",'FUENTE NO BORRAR'!E1639)</f>
        <v/>
      </c>
      <c r="F1621" s="6">
        <f>IF('FUENTE NO BORRAR'!F1639="","",IF('FUENTE NO BORRAR'!$A1639&lt;&gt;"Resultado total",('FUENTE NO BORRAR'!F1639),""))</f>
        <v>10483.19</v>
      </c>
      <c r="G1621" s="6">
        <f>IF('FUENTE NO BORRAR'!G1639="","",IF('FUENTE NO BORRAR'!$A1639&lt;&gt;"Resultado total",('FUENTE NO BORRAR'!G1639),""))</f>
        <v>10483.19</v>
      </c>
      <c r="H1621" s="6">
        <f>IF('FUENTE NO BORRAR'!H1639="","",IF('FUENTE NO BORRAR'!$A1639&lt;&gt;"Resultado total",('FUENTE NO BORRAR'!H1639),""))</f>
        <v>10483.19</v>
      </c>
      <c r="I1621" s="6">
        <f>IF('FUENTE NO BORRAR'!I1639="","",IF('FUENTE NO BORRAR'!$A1639&lt;&gt;"Resultado total",('FUENTE NO BORRAR'!I1639),""))</f>
        <v>0</v>
      </c>
    </row>
    <row r="1622" spans="1:9" x14ac:dyDescent="0.2">
      <c r="A1622" s="5" t="str">
        <f>IF('FUENTE NO BORRAR'!A1640="","",(IF('FUENTE NO BORRAR'!A1640&lt;&gt;"Resultado total",'FUENTE NO BORRAR'!A1640,"")))</f>
        <v/>
      </c>
      <c r="B1622" s="5" t="str">
        <f>IF('FUENTE NO BORRAR'!B1640="","",'FUENTE NO BORRAR'!B1640)</f>
        <v/>
      </c>
      <c r="C1622" s="5" t="str">
        <f>IF('FUENTE NO BORRAR'!C1640="","",'FUENTE NO BORRAR'!C1640)</f>
        <v/>
      </c>
      <c r="D1622" s="5" t="str">
        <f>IF('FUENTE NO BORRAR'!D1640="","",'FUENTE NO BORRAR'!D1640)</f>
        <v/>
      </c>
      <c r="E1622" s="5" t="str">
        <f>IF('FUENTE NO BORRAR'!E1640="","",'FUENTE NO BORRAR'!E1640)</f>
        <v/>
      </c>
      <c r="F1622" s="6">
        <f>IF('FUENTE NO BORRAR'!F1640="","",IF('FUENTE NO BORRAR'!$A1640&lt;&gt;"Resultado total",('FUENTE NO BORRAR'!F1640),""))</f>
        <v>3985</v>
      </c>
      <c r="G1622" s="6">
        <f>IF('FUENTE NO BORRAR'!G1640="","",IF('FUENTE NO BORRAR'!$A1640&lt;&gt;"Resultado total",('FUENTE NO BORRAR'!G1640),""))</f>
        <v>3985</v>
      </c>
      <c r="H1622" s="6">
        <f>IF('FUENTE NO BORRAR'!H1640="","",IF('FUENTE NO BORRAR'!$A1640&lt;&gt;"Resultado total",('FUENTE NO BORRAR'!H1640),""))</f>
        <v>3985</v>
      </c>
      <c r="I1622" s="6">
        <f>IF('FUENTE NO BORRAR'!I1640="","",IF('FUENTE NO BORRAR'!$A1640&lt;&gt;"Resultado total",('FUENTE NO BORRAR'!I1640),""))</f>
        <v>0</v>
      </c>
    </row>
    <row r="1623" spans="1:9" x14ac:dyDescent="0.2">
      <c r="A1623" s="5" t="str">
        <f>IF('FUENTE NO BORRAR'!A1641="","",(IF('FUENTE NO BORRAR'!A1641&lt;&gt;"Resultado total",'FUENTE NO BORRAR'!A1641,"")))</f>
        <v/>
      </c>
      <c r="B1623" s="5" t="str">
        <f>IF('FUENTE NO BORRAR'!B1641="","",'FUENTE NO BORRAR'!B1641)</f>
        <v/>
      </c>
      <c r="C1623" s="5" t="str">
        <f>IF('FUENTE NO BORRAR'!C1641="","",'FUENTE NO BORRAR'!C1641)</f>
        <v/>
      </c>
      <c r="D1623" s="5" t="str">
        <f>IF('FUENTE NO BORRAR'!D1641="","",'FUENTE NO BORRAR'!D1641)</f>
        <v/>
      </c>
      <c r="E1623" s="5" t="str">
        <f>IF('FUENTE NO BORRAR'!E1641="","",'FUENTE NO BORRAR'!E1641)</f>
        <v/>
      </c>
      <c r="F1623" s="6">
        <f>IF('FUENTE NO BORRAR'!F1641="","",IF('FUENTE NO BORRAR'!$A1641&lt;&gt;"Resultado total",('FUENTE NO BORRAR'!F1641),""))</f>
        <v>11385.15</v>
      </c>
      <c r="G1623" s="6">
        <f>IF('FUENTE NO BORRAR'!G1641="","",IF('FUENTE NO BORRAR'!$A1641&lt;&gt;"Resultado total",('FUENTE NO BORRAR'!G1641),""))</f>
        <v>11385.15</v>
      </c>
      <c r="H1623" s="6">
        <f>IF('FUENTE NO BORRAR'!H1641="","",IF('FUENTE NO BORRAR'!$A1641&lt;&gt;"Resultado total",('FUENTE NO BORRAR'!H1641),""))</f>
        <v>11385.15</v>
      </c>
      <c r="I1623" s="6">
        <f>IF('FUENTE NO BORRAR'!I1641="","",IF('FUENTE NO BORRAR'!$A1641&lt;&gt;"Resultado total",('FUENTE NO BORRAR'!I1641),""))</f>
        <v>0</v>
      </c>
    </row>
    <row r="1624" spans="1:9" x14ac:dyDescent="0.2">
      <c r="A1624" s="5" t="str">
        <f>IF('FUENTE NO BORRAR'!A1642="","",(IF('FUENTE NO BORRAR'!A1642&lt;&gt;"Resultado total",'FUENTE NO BORRAR'!A1642,"")))</f>
        <v/>
      </c>
      <c r="B1624" s="5" t="str">
        <f>IF('FUENTE NO BORRAR'!B1642="","",'FUENTE NO BORRAR'!B1642)</f>
        <v/>
      </c>
      <c r="C1624" s="5" t="str">
        <f>IF('FUENTE NO BORRAR'!C1642="","",'FUENTE NO BORRAR'!C1642)</f>
        <v/>
      </c>
      <c r="D1624" s="5" t="str">
        <f>IF('FUENTE NO BORRAR'!D1642="","",'FUENTE NO BORRAR'!D1642)</f>
        <v/>
      </c>
      <c r="E1624" s="5" t="str">
        <f>IF('FUENTE NO BORRAR'!E1642="","",'FUENTE NO BORRAR'!E1642)</f>
        <v/>
      </c>
      <c r="F1624" s="6">
        <f>IF('FUENTE NO BORRAR'!F1642="","",IF('FUENTE NO BORRAR'!$A1642&lt;&gt;"Resultado total",('FUENTE NO BORRAR'!F1642),""))</f>
        <v>9052</v>
      </c>
      <c r="G1624" s="6">
        <f>IF('FUENTE NO BORRAR'!G1642="","",IF('FUENTE NO BORRAR'!$A1642&lt;&gt;"Resultado total",('FUENTE NO BORRAR'!G1642),""))</f>
        <v>9052</v>
      </c>
      <c r="H1624" s="6">
        <f>IF('FUENTE NO BORRAR'!H1642="","",IF('FUENTE NO BORRAR'!$A1642&lt;&gt;"Resultado total",('FUENTE NO BORRAR'!H1642),""))</f>
        <v>6612</v>
      </c>
      <c r="I1624" s="6">
        <f>IF('FUENTE NO BORRAR'!I1642="","",IF('FUENTE NO BORRAR'!$A1642&lt;&gt;"Resultado total",('FUENTE NO BORRAR'!I1642),""))</f>
        <v>0</v>
      </c>
    </row>
    <row r="1625" spans="1:9" x14ac:dyDescent="0.2">
      <c r="A1625" s="5" t="str">
        <f>IF('FUENTE NO BORRAR'!A1643="","",(IF('FUENTE NO BORRAR'!A1643&lt;&gt;"Resultado total",'FUENTE NO BORRAR'!A1643,"")))</f>
        <v/>
      </c>
      <c r="B1625" s="5" t="str">
        <f>IF('FUENTE NO BORRAR'!B1643="","",'FUENTE NO BORRAR'!B1643)</f>
        <v/>
      </c>
      <c r="C1625" s="5" t="str">
        <f>IF('FUENTE NO BORRAR'!C1643="","",'FUENTE NO BORRAR'!C1643)</f>
        <v/>
      </c>
      <c r="D1625" s="5" t="str">
        <f>IF('FUENTE NO BORRAR'!D1643="","",'FUENTE NO BORRAR'!D1643)</f>
        <v/>
      </c>
      <c r="E1625" s="5" t="str">
        <f>IF('FUENTE NO BORRAR'!E1643="","",'FUENTE NO BORRAR'!E1643)</f>
        <v/>
      </c>
      <c r="F1625" s="6">
        <f>IF('FUENTE NO BORRAR'!F1643="","",IF('FUENTE NO BORRAR'!$A1643&lt;&gt;"Resultado total",('FUENTE NO BORRAR'!F1643),""))</f>
        <v>2238.8000000000002</v>
      </c>
      <c r="G1625" s="6">
        <f>IF('FUENTE NO BORRAR'!G1643="","",IF('FUENTE NO BORRAR'!$A1643&lt;&gt;"Resultado total",('FUENTE NO BORRAR'!G1643),""))</f>
        <v>2238.8000000000002</v>
      </c>
      <c r="H1625" s="6">
        <f>IF('FUENTE NO BORRAR'!H1643="","",IF('FUENTE NO BORRAR'!$A1643&lt;&gt;"Resultado total",('FUENTE NO BORRAR'!H1643),""))</f>
        <v>2238.8000000000002</v>
      </c>
      <c r="I1625" s="6">
        <f>IF('FUENTE NO BORRAR'!I1643="","",IF('FUENTE NO BORRAR'!$A1643&lt;&gt;"Resultado total",('FUENTE NO BORRAR'!I1643),""))</f>
        <v>0</v>
      </c>
    </row>
    <row r="1626" spans="1:9" x14ac:dyDescent="0.2">
      <c r="A1626" s="5" t="str">
        <f>IF('FUENTE NO BORRAR'!A1644="","",(IF('FUENTE NO BORRAR'!A1644&lt;&gt;"Resultado total",'FUENTE NO BORRAR'!A1644,"")))</f>
        <v/>
      </c>
      <c r="B1626" s="5" t="str">
        <f>IF('FUENTE NO BORRAR'!B1644="","",'FUENTE NO BORRAR'!B1644)</f>
        <v/>
      </c>
      <c r="C1626" s="5" t="str">
        <f>IF('FUENTE NO BORRAR'!C1644="","",'FUENTE NO BORRAR'!C1644)</f>
        <v/>
      </c>
      <c r="D1626" s="5" t="str">
        <f>IF('FUENTE NO BORRAR'!D1644="","",'FUENTE NO BORRAR'!D1644)</f>
        <v/>
      </c>
      <c r="E1626" s="5" t="str">
        <f>IF('FUENTE NO BORRAR'!E1644="","",'FUENTE NO BORRAR'!E1644)</f>
        <v/>
      </c>
      <c r="F1626" s="6">
        <f>IF('FUENTE NO BORRAR'!F1644="","",IF('FUENTE NO BORRAR'!$A1644&lt;&gt;"Resultado total",('FUENTE NO BORRAR'!F1644),""))</f>
        <v>150.80000000000001</v>
      </c>
      <c r="G1626" s="6">
        <f>IF('FUENTE NO BORRAR'!G1644="","",IF('FUENTE NO BORRAR'!$A1644&lt;&gt;"Resultado total",('FUENTE NO BORRAR'!G1644),""))</f>
        <v>150.80000000000001</v>
      </c>
      <c r="H1626" s="6">
        <f>IF('FUENTE NO BORRAR'!H1644="","",IF('FUENTE NO BORRAR'!$A1644&lt;&gt;"Resultado total",('FUENTE NO BORRAR'!H1644),""))</f>
        <v>150.80000000000001</v>
      </c>
      <c r="I1626" s="6">
        <f>IF('FUENTE NO BORRAR'!I1644="","",IF('FUENTE NO BORRAR'!$A1644&lt;&gt;"Resultado total",('FUENTE NO BORRAR'!I1644),""))</f>
        <v>0</v>
      </c>
    </row>
    <row r="1627" spans="1:9" x14ac:dyDescent="0.2">
      <c r="A1627" s="5" t="str">
        <f>IF('FUENTE NO BORRAR'!A1645="","",(IF('FUENTE NO BORRAR'!A1645&lt;&gt;"Resultado total",'FUENTE NO BORRAR'!A1645,"")))</f>
        <v/>
      </c>
      <c r="B1627" s="5" t="str">
        <f>IF('FUENTE NO BORRAR'!B1645="","",'FUENTE NO BORRAR'!B1645)</f>
        <v/>
      </c>
      <c r="C1627" s="5" t="str">
        <f>IF('FUENTE NO BORRAR'!C1645="","",'FUENTE NO BORRAR'!C1645)</f>
        <v/>
      </c>
      <c r="D1627" s="5" t="str">
        <f>IF('FUENTE NO BORRAR'!D1645="","",'FUENTE NO BORRAR'!D1645)</f>
        <v/>
      </c>
      <c r="E1627" s="5" t="str">
        <f>IF('FUENTE NO BORRAR'!E1645="","",'FUENTE NO BORRAR'!E1645)</f>
        <v/>
      </c>
      <c r="F1627" s="6">
        <f>IF('FUENTE NO BORRAR'!F1645="","",IF('FUENTE NO BORRAR'!$A1645&lt;&gt;"Resultado total",('FUENTE NO BORRAR'!F1645),""))</f>
        <v>504</v>
      </c>
      <c r="G1627" s="6">
        <f>IF('FUENTE NO BORRAR'!G1645="","",IF('FUENTE NO BORRAR'!$A1645&lt;&gt;"Resultado total",('FUENTE NO BORRAR'!G1645),""))</f>
        <v>504</v>
      </c>
      <c r="H1627" s="6">
        <f>IF('FUENTE NO BORRAR'!H1645="","",IF('FUENTE NO BORRAR'!$A1645&lt;&gt;"Resultado total",('FUENTE NO BORRAR'!H1645),""))</f>
        <v>504</v>
      </c>
      <c r="I1627" s="6">
        <f>IF('FUENTE NO BORRAR'!I1645="","",IF('FUENTE NO BORRAR'!$A1645&lt;&gt;"Resultado total",('FUENTE NO BORRAR'!I1645),""))</f>
        <v>0</v>
      </c>
    </row>
    <row r="1628" spans="1:9" x14ac:dyDescent="0.2">
      <c r="A1628" s="5" t="str">
        <f>IF('FUENTE NO BORRAR'!A1646="","",(IF('FUENTE NO BORRAR'!A1646&lt;&gt;"Resultado total",'FUENTE NO BORRAR'!A1646,"")))</f>
        <v/>
      </c>
      <c r="B1628" s="5" t="str">
        <f>IF('FUENTE NO BORRAR'!B1646="","",'FUENTE NO BORRAR'!B1646)</f>
        <v/>
      </c>
      <c r="C1628" s="5" t="str">
        <f>IF('FUENTE NO BORRAR'!C1646="","",'FUENTE NO BORRAR'!C1646)</f>
        <v/>
      </c>
      <c r="D1628" s="5" t="str">
        <f>IF('FUENTE NO BORRAR'!D1646="","",'FUENTE NO BORRAR'!D1646)</f>
        <v/>
      </c>
      <c r="E1628" s="5" t="str">
        <f>IF('FUENTE NO BORRAR'!E1646="","",'FUENTE NO BORRAR'!E1646)</f>
        <v/>
      </c>
      <c r="F1628" s="6">
        <f>IF('FUENTE NO BORRAR'!F1646="","",IF('FUENTE NO BORRAR'!$A1646&lt;&gt;"Resultado total",('FUENTE NO BORRAR'!F1646),""))</f>
        <v>123662</v>
      </c>
      <c r="G1628" s="6">
        <f>IF('FUENTE NO BORRAR'!G1646="","",IF('FUENTE NO BORRAR'!$A1646&lt;&gt;"Resultado total",('FUENTE NO BORRAR'!G1646),""))</f>
        <v>123662</v>
      </c>
      <c r="H1628" s="6">
        <f>IF('FUENTE NO BORRAR'!H1646="","",IF('FUENTE NO BORRAR'!$A1646&lt;&gt;"Resultado total",('FUENTE NO BORRAR'!H1646),""))</f>
        <v>51662</v>
      </c>
      <c r="I1628" s="6">
        <f>IF('FUENTE NO BORRAR'!I1646="","",IF('FUENTE NO BORRAR'!$A1646&lt;&gt;"Resultado total",('FUENTE NO BORRAR'!I1646),""))</f>
        <v>0</v>
      </c>
    </row>
    <row r="1629" spans="1:9" x14ac:dyDescent="0.2">
      <c r="A1629" s="5" t="str">
        <f>IF('FUENTE NO BORRAR'!A1647="","",(IF('FUENTE NO BORRAR'!A1647&lt;&gt;"Resultado total",'FUENTE NO BORRAR'!A1647,"")))</f>
        <v/>
      </c>
      <c r="B1629" s="5" t="str">
        <f>IF('FUENTE NO BORRAR'!B1647="","",'FUENTE NO BORRAR'!B1647)</f>
        <v/>
      </c>
      <c r="C1629" s="5" t="str">
        <f>IF('FUENTE NO BORRAR'!C1647="","",'FUENTE NO BORRAR'!C1647)</f>
        <v>24022022E202</v>
      </c>
      <c r="D1629" s="5" t="str">
        <f>IF('FUENTE NO BORRAR'!D1647="","",'FUENTE NO BORRAR'!D1647)</f>
        <v>24022022E202</v>
      </c>
      <c r="E1629" s="5" t="str">
        <f>IF('FUENTE NO BORRAR'!E1647="","",'FUENTE NO BORRAR'!E1647)</f>
        <v/>
      </c>
      <c r="F1629" s="6">
        <f>IF('FUENTE NO BORRAR'!F1647="","",IF('FUENTE NO BORRAR'!$A1647&lt;&gt;"Resultado total",('FUENTE NO BORRAR'!F1647),""))</f>
        <v>1211922.17</v>
      </c>
      <c r="G1629" s="6">
        <f>IF('FUENTE NO BORRAR'!G1647="","",IF('FUENTE NO BORRAR'!$A1647&lt;&gt;"Resultado total",('FUENTE NO BORRAR'!G1647),""))</f>
        <v>1211922.17</v>
      </c>
      <c r="H1629" s="6">
        <f>IF('FUENTE NO BORRAR'!H1647="","",IF('FUENTE NO BORRAR'!$A1647&lt;&gt;"Resultado total",('FUENTE NO BORRAR'!H1647),""))</f>
        <v>1211922.17</v>
      </c>
      <c r="I1629" s="6">
        <f>IF('FUENTE NO BORRAR'!I1647="","",IF('FUENTE NO BORRAR'!$A1647&lt;&gt;"Resultado total",('FUENTE NO BORRAR'!I1647),""))</f>
        <v>0</v>
      </c>
    </row>
    <row r="1630" spans="1:9" x14ac:dyDescent="0.2">
      <c r="A1630" s="5" t="str">
        <f>IF('FUENTE NO BORRAR'!A1648="","",(IF('FUENTE NO BORRAR'!A1648&lt;&gt;"Resultado total",'FUENTE NO BORRAR'!A1648,"")))</f>
        <v/>
      </c>
      <c r="B1630" s="5" t="str">
        <f>IF('FUENTE NO BORRAR'!B1648="","",'FUENTE NO BORRAR'!B1648)</f>
        <v/>
      </c>
      <c r="C1630" s="5" t="str">
        <f>IF('FUENTE NO BORRAR'!C1648="","",'FUENTE NO BORRAR'!C1648)</f>
        <v/>
      </c>
      <c r="D1630" s="5" t="str">
        <f>IF('FUENTE NO BORRAR'!D1648="","",'FUENTE NO BORRAR'!D1648)</f>
        <v/>
      </c>
      <c r="E1630" s="5" t="str">
        <f>IF('FUENTE NO BORRAR'!E1648="","",'FUENTE NO BORRAR'!E1648)</f>
        <v/>
      </c>
      <c r="F1630" s="6">
        <f>IF('FUENTE NO BORRAR'!F1648="","",IF('FUENTE NO BORRAR'!$A1648&lt;&gt;"Resultado total",('FUENTE NO BORRAR'!F1648),""))</f>
        <v>750639.88</v>
      </c>
      <c r="G1630" s="6">
        <f>IF('FUENTE NO BORRAR'!G1648="","",IF('FUENTE NO BORRAR'!$A1648&lt;&gt;"Resultado total",('FUENTE NO BORRAR'!G1648),""))</f>
        <v>750639.88</v>
      </c>
      <c r="H1630" s="6">
        <f>IF('FUENTE NO BORRAR'!H1648="","",IF('FUENTE NO BORRAR'!$A1648&lt;&gt;"Resultado total",('FUENTE NO BORRAR'!H1648),""))</f>
        <v>750639.88</v>
      </c>
      <c r="I1630" s="6">
        <f>IF('FUENTE NO BORRAR'!I1648="","",IF('FUENTE NO BORRAR'!$A1648&lt;&gt;"Resultado total",('FUENTE NO BORRAR'!I1648),""))</f>
        <v>0</v>
      </c>
    </row>
    <row r="1631" spans="1:9" x14ac:dyDescent="0.2">
      <c r="A1631" s="5" t="str">
        <f>IF('FUENTE NO BORRAR'!A1649="","",(IF('FUENTE NO BORRAR'!A1649&lt;&gt;"Resultado total",'FUENTE NO BORRAR'!A1649,"")))</f>
        <v/>
      </c>
      <c r="B1631" s="5" t="str">
        <f>IF('FUENTE NO BORRAR'!B1649="","",'FUENTE NO BORRAR'!B1649)</f>
        <v/>
      </c>
      <c r="C1631" s="5" t="str">
        <f>IF('FUENTE NO BORRAR'!C1649="","",'FUENTE NO BORRAR'!C1649)</f>
        <v/>
      </c>
      <c r="D1631" s="5" t="str">
        <f>IF('FUENTE NO BORRAR'!D1649="","",'FUENTE NO BORRAR'!D1649)</f>
        <v/>
      </c>
      <c r="E1631" s="5" t="str">
        <f>IF('FUENTE NO BORRAR'!E1649="","",'FUENTE NO BORRAR'!E1649)</f>
        <v/>
      </c>
      <c r="F1631" s="6">
        <f>IF('FUENTE NO BORRAR'!F1649="","",IF('FUENTE NO BORRAR'!$A1649&lt;&gt;"Resultado total",('FUENTE NO BORRAR'!F1649),""))</f>
        <v>255940.1</v>
      </c>
      <c r="G1631" s="6">
        <f>IF('FUENTE NO BORRAR'!G1649="","",IF('FUENTE NO BORRAR'!$A1649&lt;&gt;"Resultado total",('FUENTE NO BORRAR'!G1649),""))</f>
        <v>255940.1</v>
      </c>
      <c r="H1631" s="6">
        <f>IF('FUENTE NO BORRAR'!H1649="","",IF('FUENTE NO BORRAR'!$A1649&lt;&gt;"Resultado total",('FUENTE NO BORRAR'!H1649),""))</f>
        <v>255940.1</v>
      </c>
      <c r="I1631" s="6">
        <f>IF('FUENTE NO BORRAR'!I1649="","",IF('FUENTE NO BORRAR'!$A1649&lt;&gt;"Resultado total",('FUENTE NO BORRAR'!I1649),""))</f>
        <v>0</v>
      </c>
    </row>
    <row r="1632" spans="1:9" x14ac:dyDescent="0.2">
      <c r="A1632" s="5" t="str">
        <f>IF('FUENTE NO BORRAR'!A1650="","",(IF('FUENTE NO BORRAR'!A1650&lt;&gt;"Resultado total",'FUENTE NO BORRAR'!A1650,"")))</f>
        <v/>
      </c>
      <c r="B1632" s="5" t="str">
        <f>IF('FUENTE NO BORRAR'!B1650="","",'FUENTE NO BORRAR'!B1650)</f>
        <v/>
      </c>
      <c r="C1632" s="5" t="str">
        <f>IF('FUENTE NO BORRAR'!C1650="","",'FUENTE NO BORRAR'!C1650)</f>
        <v/>
      </c>
      <c r="D1632" s="5" t="str">
        <f>IF('FUENTE NO BORRAR'!D1650="","",'FUENTE NO BORRAR'!D1650)</f>
        <v/>
      </c>
      <c r="E1632" s="5" t="str">
        <f>IF('FUENTE NO BORRAR'!E1650="","",'FUENTE NO BORRAR'!E1650)</f>
        <v/>
      </c>
      <c r="F1632" s="6">
        <f>IF('FUENTE NO BORRAR'!F1650="","",IF('FUENTE NO BORRAR'!$A1650&lt;&gt;"Resultado total",('FUENTE NO BORRAR'!F1650),""))</f>
        <v>175424.09</v>
      </c>
      <c r="G1632" s="6">
        <f>IF('FUENTE NO BORRAR'!G1650="","",IF('FUENTE NO BORRAR'!$A1650&lt;&gt;"Resultado total",('FUENTE NO BORRAR'!G1650),""))</f>
        <v>175424.09</v>
      </c>
      <c r="H1632" s="6">
        <f>IF('FUENTE NO BORRAR'!H1650="","",IF('FUENTE NO BORRAR'!$A1650&lt;&gt;"Resultado total",('FUENTE NO BORRAR'!H1650),""))</f>
        <v>175424.09</v>
      </c>
      <c r="I1632" s="6">
        <f>IF('FUENTE NO BORRAR'!I1650="","",IF('FUENTE NO BORRAR'!$A1650&lt;&gt;"Resultado total",('FUENTE NO BORRAR'!I1650),""))</f>
        <v>0</v>
      </c>
    </row>
    <row r="1633" spans="1:9" x14ac:dyDescent="0.2">
      <c r="A1633" s="5" t="str">
        <f>IF('FUENTE NO BORRAR'!A1651="","",(IF('FUENTE NO BORRAR'!A1651&lt;&gt;"Resultado total",'FUENTE NO BORRAR'!A1651,"")))</f>
        <v/>
      </c>
      <c r="B1633" s="5" t="str">
        <f>IF('FUENTE NO BORRAR'!B1651="","",'FUENTE NO BORRAR'!B1651)</f>
        <v/>
      </c>
      <c r="C1633" s="5" t="str">
        <f>IF('FUENTE NO BORRAR'!C1651="","",'FUENTE NO BORRAR'!C1651)</f>
        <v/>
      </c>
      <c r="D1633" s="5" t="str">
        <f>IF('FUENTE NO BORRAR'!D1651="","",'FUENTE NO BORRAR'!D1651)</f>
        <v/>
      </c>
      <c r="E1633" s="5" t="str">
        <f>IF('FUENTE NO BORRAR'!E1651="","",'FUENTE NO BORRAR'!E1651)</f>
        <v/>
      </c>
      <c r="F1633" s="6">
        <f>IF('FUENTE NO BORRAR'!F1651="","",IF('FUENTE NO BORRAR'!$A1651&lt;&gt;"Resultado total",('FUENTE NO BORRAR'!F1651),""))</f>
        <v>50283.16</v>
      </c>
      <c r="G1633" s="6">
        <f>IF('FUENTE NO BORRAR'!G1651="","",IF('FUENTE NO BORRAR'!$A1651&lt;&gt;"Resultado total",('FUENTE NO BORRAR'!G1651),""))</f>
        <v>50283.16</v>
      </c>
      <c r="H1633" s="6">
        <f>IF('FUENTE NO BORRAR'!H1651="","",IF('FUENTE NO BORRAR'!$A1651&lt;&gt;"Resultado total",('FUENTE NO BORRAR'!H1651),""))</f>
        <v>50283.16</v>
      </c>
      <c r="I1633" s="6">
        <f>IF('FUENTE NO BORRAR'!I1651="","",IF('FUENTE NO BORRAR'!$A1651&lt;&gt;"Resultado total",('FUENTE NO BORRAR'!I1651),""))</f>
        <v>0</v>
      </c>
    </row>
    <row r="1634" spans="1:9" x14ac:dyDescent="0.2">
      <c r="A1634" s="5" t="str">
        <f>IF('FUENTE NO BORRAR'!A1652="","",(IF('FUENTE NO BORRAR'!A1652&lt;&gt;"Resultado total",'FUENTE NO BORRAR'!A1652,"")))</f>
        <v/>
      </c>
      <c r="B1634" s="5" t="str">
        <f>IF('FUENTE NO BORRAR'!B1652="","",'FUENTE NO BORRAR'!B1652)</f>
        <v/>
      </c>
      <c r="C1634" s="5" t="str">
        <f>IF('FUENTE NO BORRAR'!C1652="","",'FUENTE NO BORRAR'!C1652)</f>
        <v/>
      </c>
      <c r="D1634" s="5" t="str">
        <f>IF('FUENTE NO BORRAR'!D1652="","",'FUENTE NO BORRAR'!D1652)</f>
        <v/>
      </c>
      <c r="E1634" s="5" t="str">
        <f>IF('FUENTE NO BORRAR'!E1652="","",'FUENTE NO BORRAR'!E1652)</f>
        <v/>
      </c>
      <c r="F1634" s="6">
        <f>IF('FUENTE NO BORRAR'!F1652="","",IF('FUENTE NO BORRAR'!$A1652&lt;&gt;"Resultado total",('FUENTE NO BORRAR'!F1652),""))</f>
        <v>93594.09</v>
      </c>
      <c r="G1634" s="6">
        <f>IF('FUENTE NO BORRAR'!G1652="","",IF('FUENTE NO BORRAR'!$A1652&lt;&gt;"Resultado total",('FUENTE NO BORRAR'!G1652),""))</f>
        <v>93594.09</v>
      </c>
      <c r="H1634" s="6">
        <f>IF('FUENTE NO BORRAR'!H1652="","",IF('FUENTE NO BORRAR'!$A1652&lt;&gt;"Resultado total",('FUENTE NO BORRAR'!H1652),""))</f>
        <v>93594.09</v>
      </c>
      <c r="I1634" s="6">
        <f>IF('FUENTE NO BORRAR'!I1652="","",IF('FUENTE NO BORRAR'!$A1652&lt;&gt;"Resultado total",('FUENTE NO BORRAR'!I1652),""))</f>
        <v>0</v>
      </c>
    </row>
    <row r="1635" spans="1:9" x14ac:dyDescent="0.2">
      <c r="A1635" s="5" t="str">
        <f>IF('FUENTE NO BORRAR'!A1653="","",(IF('FUENTE NO BORRAR'!A1653&lt;&gt;"Resultado total",'FUENTE NO BORRAR'!A1653,"")))</f>
        <v/>
      </c>
      <c r="B1635" s="5" t="str">
        <f>IF('FUENTE NO BORRAR'!B1653="","",'FUENTE NO BORRAR'!B1653)</f>
        <v/>
      </c>
      <c r="C1635" s="5" t="str">
        <f>IF('FUENTE NO BORRAR'!C1653="","",'FUENTE NO BORRAR'!C1653)</f>
        <v/>
      </c>
      <c r="D1635" s="5" t="str">
        <f>IF('FUENTE NO BORRAR'!D1653="","",'FUENTE NO BORRAR'!D1653)</f>
        <v/>
      </c>
      <c r="E1635" s="5" t="str">
        <f>IF('FUENTE NO BORRAR'!E1653="","",'FUENTE NO BORRAR'!E1653)</f>
        <v/>
      </c>
      <c r="F1635" s="6">
        <f>IF('FUENTE NO BORRAR'!F1653="","",IF('FUENTE NO BORRAR'!$A1653&lt;&gt;"Resultado total",('FUENTE NO BORRAR'!F1653),""))</f>
        <v>434012.66</v>
      </c>
      <c r="G1635" s="6">
        <f>IF('FUENTE NO BORRAR'!G1653="","",IF('FUENTE NO BORRAR'!$A1653&lt;&gt;"Resultado total",('FUENTE NO BORRAR'!G1653),""))</f>
        <v>434012.66</v>
      </c>
      <c r="H1635" s="6">
        <f>IF('FUENTE NO BORRAR'!H1653="","",IF('FUENTE NO BORRAR'!$A1653&lt;&gt;"Resultado total",('FUENTE NO BORRAR'!H1653),""))</f>
        <v>434012.66</v>
      </c>
      <c r="I1635" s="6">
        <f>IF('FUENTE NO BORRAR'!I1653="","",IF('FUENTE NO BORRAR'!$A1653&lt;&gt;"Resultado total",('FUENTE NO BORRAR'!I1653),""))</f>
        <v>0</v>
      </c>
    </row>
    <row r="1636" spans="1:9" x14ac:dyDescent="0.2">
      <c r="A1636" s="5" t="str">
        <f>IF('FUENTE NO BORRAR'!A1654="","",(IF('FUENTE NO BORRAR'!A1654&lt;&gt;"Resultado total",'FUENTE NO BORRAR'!A1654,"")))</f>
        <v/>
      </c>
      <c r="B1636" s="5" t="str">
        <f>IF('FUENTE NO BORRAR'!B1654="","",'FUENTE NO BORRAR'!B1654)</f>
        <v/>
      </c>
      <c r="C1636" s="5" t="str">
        <f>IF('FUENTE NO BORRAR'!C1654="","",'FUENTE NO BORRAR'!C1654)</f>
        <v/>
      </c>
      <c r="D1636" s="5" t="str">
        <f>IF('FUENTE NO BORRAR'!D1654="","",'FUENTE NO BORRAR'!D1654)</f>
        <v/>
      </c>
      <c r="E1636" s="5" t="str">
        <f>IF('FUENTE NO BORRAR'!E1654="","",'FUENTE NO BORRAR'!E1654)</f>
        <v/>
      </c>
      <c r="F1636" s="6">
        <f>IF('FUENTE NO BORRAR'!F1654="","",IF('FUENTE NO BORRAR'!$A1654&lt;&gt;"Resultado total",('FUENTE NO BORRAR'!F1654),""))</f>
        <v>131322.99</v>
      </c>
      <c r="G1636" s="6">
        <f>IF('FUENTE NO BORRAR'!G1654="","",IF('FUENTE NO BORRAR'!$A1654&lt;&gt;"Resultado total",('FUENTE NO BORRAR'!G1654),""))</f>
        <v>131322.99</v>
      </c>
      <c r="H1636" s="6">
        <f>IF('FUENTE NO BORRAR'!H1654="","",IF('FUENTE NO BORRAR'!$A1654&lt;&gt;"Resultado total",('FUENTE NO BORRAR'!H1654),""))</f>
        <v>131322.99</v>
      </c>
      <c r="I1636" s="6">
        <f>IF('FUENTE NO BORRAR'!I1654="","",IF('FUENTE NO BORRAR'!$A1654&lt;&gt;"Resultado total",('FUENTE NO BORRAR'!I1654),""))</f>
        <v>0</v>
      </c>
    </row>
    <row r="1637" spans="1:9" x14ac:dyDescent="0.2">
      <c r="A1637" s="5" t="str">
        <f>IF('FUENTE NO BORRAR'!A1655="","",(IF('FUENTE NO BORRAR'!A1655&lt;&gt;"Resultado total",'FUENTE NO BORRAR'!A1655,"")))</f>
        <v/>
      </c>
      <c r="B1637" s="5" t="str">
        <f>IF('FUENTE NO BORRAR'!B1655="","",'FUENTE NO BORRAR'!B1655)</f>
        <v/>
      </c>
      <c r="C1637" s="5" t="str">
        <f>IF('FUENTE NO BORRAR'!C1655="","",'FUENTE NO BORRAR'!C1655)</f>
        <v/>
      </c>
      <c r="D1637" s="5" t="str">
        <f>IF('FUENTE NO BORRAR'!D1655="","",'FUENTE NO BORRAR'!D1655)</f>
        <v/>
      </c>
      <c r="E1637" s="5" t="str">
        <f>IF('FUENTE NO BORRAR'!E1655="","",'FUENTE NO BORRAR'!E1655)</f>
        <v/>
      </c>
      <c r="F1637" s="6">
        <f>IF('FUENTE NO BORRAR'!F1655="","",IF('FUENTE NO BORRAR'!$A1655&lt;&gt;"Resultado total",('FUENTE NO BORRAR'!F1655),""))</f>
        <v>1148513.57</v>
      </c>
      <c r="G1637" s="6">
        <f>IF('FUENTE NO BORRAR'!G1655="","",IF('FUENTE NO BORRAR'!$A1655&lt;&gt;"Resultado total",('FUENTE NO BORRAR'!G1655),""))</f>
        <v>1148513.57</v>
      </c>
      <c r="H1637" s="6">
        <f>IF('FUENTE NO BORRAR'!H1655="","",IF('FUENTE NO BORRAR'!$A1655&lt;&gt;"Resultado total",('FUENTE NO BORRAR'!H1655),""))</f>
        <v>1165881.8500000001</v>
      </c>
      <c r="I1637" s="6">
        <f>IF('FUENTE NO BORRAR'!I1655="","",IF('FUENTE NO BORRAR'!$A1655&lt;&gt;"Resultado total",('FUENTE NO BORRAR'!I1655),""))</f>
        <v>0</v>
      </c>
    </row>
    <row r="1638" spans="1:9" x14ac:dyDescent="0.2">
      <c r="A1638" s="5" t="str">
        <f>IF('FUENTE NO BORRAR'!A1656="","",(IF('FUENTE NO BORRAR'!A1656&lt;&gt;"Resultado total",'FUENTE NO BORRAR'!A1656,"")))</f>
        <v/>
      </c>
      <c r="B1638" s="5" t="str">
        <f>IF('FUENTE NO BORRAR'!B1656="","",'FUENTE NO BORRAR'!B1656)</f>
        <v/>
      </c>
      <c r="C1638" s="5" t="str">
        <f>IF('FUENTE NO BORRAR'!C1656="","",'FUENTE NO BORRAR'!C1656)</f>
        <v/>
      </c>
      <c r="D1638" s="5" t="str">
        <f>IF('FUENTE NO BORRAR'!D1656="","",'FUENTE NO BORRAR'!D1656)</f>
        <v/>
      </c>
      <c r="E1638" s="5" t="str">
        <f>IF('FUENTE NO BORRAR'!E1656="","",'FUENTE NO BORRAR'!E1656)</f>
        <v/>
      </c>
      <c r="F1638" s="6">
        <f>IF('FUENTE NO BORRAR'!F1656="","",IF('FUENTE NO BORRAR'!$A1656&lt;&gt;"Resultado total",('FUENTE NO BORRAR'!F1656),""))</f>
        <v>1448443.16</v>
      </c>
      <c r="G1638" s="6">
        <f>IF('FUENTE NO BORRAR'!G1656="","",IF('FUENTE NO BORRAR'!$A1656&lt;&gt;"Resultado total",('FUENTE NO BORRAR'!G1656),""))</f>
        <v>1448443.16</v>
      </c>
      <c r="H1638" s="6">
        <f>IF('FUENTE NO BORRAR'!H1656="","",IF('FUENTE NO BORRAR'!$A1656&lt;&gt;"Resultado total",('FUENTE NO BORRAR'!H1656),""))</f>
        <v>1448443.16</v>
      </c>
      <c r="I1638" s="6">
        <f>IF('FUENTE NO BORRAR'!I1656="","",IF('FUENTE NO BORRAR'!$A1656&lt;&gt;"Resultado total",('FUENTE NO BORRAR'!I1656),""))</f>
        <v>0</v>
      </c>
    </row>
    <row r="1639" spans="1:9" x14ac:dyDescent="0.2">
      <c r="A1639" s="5" t="str">
        <f>IF('FUENTE NO BORRAR'!A1657="","",(IF('FUENTE NO BORRAR'!A1657&lt;&gt;"Resultado total",'FUENTE NO BORRAR'!A1657,"")))</f>
        <v/>
      </c>
      <c r="B1639" s="5" t="str">
        <f>IF('FUENTE NO BORRAR'!B1657="","",'FUENTE NO BORRAR'!B1657)</f>
        <v/>
      </c>
      <c r="C1639" s="5" t="str">
        <f>IF('FUENTE NO BORRAR'!C1657="","",'FUENTE NO BORRAR'!C1657)</f>
        <v/>
      </c>
      <c r="D1639" s="5" t="str">
        <f>IF('FUENTE NO BORRAR'!D1657="","",'FUENTE NO BORRAR'!D1657)</f>
        <v/>
      </c>
      <c r="E1639" s="5" t="str">
        <f>IF('FUENTE NO BORRAR'!E1657="","",'FUENTE NO BORRAR'!E1657)</f>
        <v/>
      </c>
      <c r="F1639" s="6">
        <f>IF('FUENTE NO BORRAR'!F1657="","",IF('FUENTE NO BORRAR'!$A1657&lt;&gt;"Resultado total",('FUENTE NO BORRAR'!F1657),""))</f>
        <v>403205.41</v>
      </c>
      <c r="G1639" s="6">
        <f>IF('FUENTE NO BORRAR'!G1657="","",IF('FUENTE NO BORRAR'!$A1657&lt;&gt;"Resultado total",('FUENTE NO BORRAR'!G1657),""))</f>
        <v>403205.41</v>
      </c>
      <c r="H1639" s="6">
        <f>IF('FUENTE NO BORRAR'!H1657="","",IF('FUENTE NO BORRAR'!$A1657&lt;&gt;"Resultado total",('FUENTE NO BORRAR'!H1657),""))</f>
        <v>403205.41</v>
      </c>
      <c r="I1639" s="6">
        <f>IF('FUENTE NO BORRAR'!I1657="","",IF('FUENTE NO BORRAR'!$A1657&lt;&gt;"Resultado total",('FUENTE NO BORRAR'!I1657),""))</f>
        <v>0</v>
      </c>
    </row>
    <row r="1640" spans="1:9" x14ac:dyDescent="0.2">
      <c r="A1640" s="5" t="str">
        <f>IF('FUENTE NO BORRAR'!A1658="","",(IF('FUENTE NO BORRAR'!A1658&lt;&gt;"Resultado total",'FUENTE NO BORRAR'!A1658,"")))</f>
        <v/>
      </c>
      <c r="B1640" s="5" t="str">
        <f>IF('FUENTE NO BORRAR'!B1658="","",'FUENTE NO BORRAR'!B1658)</f>
        <v/>
      </c>
      <c r="C1640" s="5" t="str">
        <f>IF('FUENTE NO BORRAR'!C1658="","",'FUENTE NO BORRAR'!C1658)</f>
        <v/>
      </c>
      <c r="D1640" s="5" t="str">
        <f>IF('FUENTE NO BORRAR'!D1658="","",'FUENTE NO BORRAR'!D1658)</f>
        <v/>
      </c>
      <c r="E1640" s="5" t="str">
        <f>IF('FUENTE NO BORRAR'!E1658="","",'FUENTE NO BORRAR'!E1658)</f>
        <v/>
      </c>
      <c r="F1640" s="6">
        <f>IF('FUENTE NO BORRAR'!F1658="","",IF('FUENTE NO BORRAR'!$A1658&lt;&gt;"Resultado total",('FUENTE NO BORRAR'!F1658),""))</f>
        <v>128533.04</v>
      </c>
      <c r="G1640" s="6">
        <f>IF('FUENTE NO BORRAR'!G1658="","",IF('FUENTE NO BORRAR'!$A1658&lt;&gt;"Resultado total",('FUENTE NO BORRAR'!G1658),""))</f>
        <v>128533.04</v>
      </c>
      <c r="H1640" s="6">
        <f>IF('FUENTE NO BORRAR'!H1658="","",IF('FUENTE NO BORRAR'!$A1658&lt;&gt;"Resultado total",('FUENTE NO BORRAR'!H1658),""))</f>
        <v>128533.04</v>
      </c>
      <c r="I1640" s="6">
        <f>IF('FUENTE NO BORRAR'!I1658="","",IF('FUENTE NO BORRAR'!$A1658&lt;&gt;"Resultado total",('FUENTE NO BORRAR'!I1658),""))</f>
        <v>0</v>
      </c>
    </row>
    <row r="1641" spans="1:9" x14ac:dyDescent="0.2">
      <c r="A1641" s="5" t="str">
        <f>IF('FUENTE NO BORRAR'!A1659="","",(IF('FUENTE NO BORRAR'!A1659&lt;&gt;"Resultado total",'FUENTE NO BORRAR'!A1659,"")))</f>
        <v/>
      </c>
      <c r="B1641" s="5" t="str">
        <f>IF('FUENTE NO BORRAR'!B1659="","",'FUENTE NO BORRAR'!B1659)</f>
        <v/>
      </c>
      <c r="C1641" s="5" t="str">
        <f>IF('FUENTE NO BORRAR'!C1659="","",'FUENTE NO BORRAR'!C1659)</f>
        <v/>
      </c>
      <c r="D1641" s="5" t="str">
        <f>IF('FUENTE NO BORRAR'!D1659="","",'FUENTE NO BORRAR'!D1659)</f>
        <v/>
      </c>
      <c r="E1641" s="5" t="str">
        <f>IF('FUENTE NO BORRAR'!E1659="","",'FUENTE NO BORRAR'!E1659)</f>
        <v/>
      </c>
      <c r="F1641" s="6">
        <f>IF('FUENTE NO BORRAR'!F1659="","",IF('FUENTE NO BORRAR'!$A1659&lt;&gt;"Resultado total",('FUENTE NO BORRAR'!F1659),""))</f>
        <v>60623</v>
      </c>
      <c r="G1641" s="6">
        <f>IF('FUENTE NO BORRAR'!G1659="","",IF('FUENTE NO BORRAR'!$A1659&lt;&gt;"Resultado total",('FUENTE NO BORRAR'!G1659),""))</f>
        <v>60623</v>
      </c>
      <c r="H1641" s="6">
        <f>IF('FUENTE NO BORRAR'!H1659="","",IF('FUENTE NO BORRAR'!$A1659&lt;&gt;"Resultado total",('FUENTE NO BORRAR'!H1659),""))</f>
        <v>60623</v>
      </c>
      <c r="I1641" s="6">
        <f>IF('FUENTE NO BORRAR'!I1659="","",IF('FUENTE NO BORRAR'!$A1659&lt;&gt;"Resultado total",('FUENTE NO BORRAR'!I1659),""))</f>
        <v>0</v>
      </c>
    </row>
    <row r="1642" spans="1:9" x14ac:dyDescent="0.2">
      <c r="A1642" s="5" t="str">
        <f>IF('FUENTE NO BORRAR'!A1660="","",(IF('FUENTE NO BORRAR'!A1660&lt;&gt;"Resultado total",'FUENTE NO BORRAR'!A1660,"")))</f>
        <v/>
      </c>
      <c r="B1642" s="5" t="str">
        <f>IF('FUENTE NO BORRAR'!B1660="","",'FUENTE NO BORRAR'!B1660)</f>
        <v/>
      </c>
      <c r="C1642" s="5" t="str">
        <f>IF('FUENTE NO BORRAR'!C1660="","",'FUENTE NO BORRAR'!C1660)</f>
        <v/>
      </c>
      <c r="D1642" s="5" t="str">
        <f>IF('FUENTE NO BORRAR'!D1660="","",'FUENTE NO BORRAR'!D1660)</f>
        <v/>
      </c>
      <c r="E1642" s="5" t="str">
        <f>IF('FUENTE NO BORRAR'!E1660="","",'FUENTE NO BORRAR'!E1660)</f>
        <v/>
      </c>
      <c r="F1642" s="6">
        <f>IF('FUENTE NO BORRAR'!F1660="","",IF('FUENTE NO BORRAR'!$A1660&lt;&gt;"Resultado total",('FUENTE NO BORRAR'!F1660),""))</f>
        <v>235556.76</v>
      </c>
      <c r="G1642" s="6">
        <f>IF('FUENTE NO BORRAR'!G1660="","",IF('FUENTE NO BORRAR'!$A1660&lt;&gt;"Resultado total",('FUENTE NO BORRAR'!G1660),""))</f>
        <v>235556.76</v>
      </c>
      <c r="H1642" s="6">
        <f>IF('FUENTE NO BORRAR'!H1660="","",IF('FUENTE NO BORRAR'!$A1660&lt;&gt;"Resultado total",('FUENTE NO BORRAR'!H1660),""))</f>
        <v>235556.76</v>
      </c>
      <c r="I1642" s="6">
        <f>IF('FUENTE NO BORRAR'!I1660="","",IF('FUENTE NO BORRAR'!$A1660&lt;&gt;"Resultado total",('FUENTE NO BORRAR'!I1660),""))</f>
        <v>0</v>
      </c>
    </row>
    <row r="1643" spans="1:9" x14ac:dyDescent="0.2">
      <c r="A1643" s="5" t="str">
        <f>IF('FUENTE NO BORRAR'!A1661="","",(IF('FUENTE NO BORRAR'!A1661&lt;&gt;"Resultado total",'FUENTE NO BORRAR'!A1661,"")))</f>
        <v/>
      </c>
      <c r="B1643" s="5" t="str">
        <f>IF('FUENTE NO BORRAR'!B1661="","",'FUENTE NO BORRAR'!B1661)</f>
        <v/>
      </c>
      <c r="C1643" s="5" t="str">
        <f>IF('FUENTE NO BORRAR'!C1661="","",'FUENTE NO BORRAR'!C1661)</f>
        <v/>
      </c>
      <c r="D1643" s="5" t="str">
        <f>IF('FUENTE NO BORRAR'!D1661="","",'FUENTE NO BORRAR'!D1661)</f>
        <v/>
      </c>
      <c r="E1643" s="5" t="str">
        <f>IF('FUENTE NO BORRAR'!E1661="","",'FUENTE NO BORRAR'!E1661)</f>
        <v/>
      </c>
      <c r="F1643" s="6">
        <f>IF('FUENTE NO BORRAR'!F1661="","",IF('FUENTE NO BORRAR'!$A1661&lt;&gt;"Resultado total",('FUENTE NO BORRAR'!F1661),""))</f>
        <v>1036759.2</v>
      </c>
      <c r="G1643" s="6">
        <f>IF('FUENTE NO BORRAR'!G1661="","",IF('FUENTE NO BORRAR'!$A1661&lt;&gt;"Resultado total",('FUENTE NO BORRAR'!G1661),""))</f>
        <v>1036759.2</v>
      </c>
      <c r="H1643" s="6">
        <f>IF('FUENTE NO BORRAR'!H1661="","",IF('FUENTE NO BORRAR'!$A1661&lt;&gt;"Resultado total",('FUENTE NO BORRAR'!H1661),""))</f>
        <v>1036759.2</v>
      </c>
      <c r="I1643" s="6">
        <f>IF('FUENTE NO BORRAR'!I1661="","",IF('FUENTE NO BORRAR'!$A1661&lt;&gt;"Resultado total",('FUENTE NO BORRAR'!I1661),""))</f>
        <v>0</v>
      </c>
    </row>
    <row r="1644" spans="1:9" x14ac:dyDescent="0.2">
      <c r="A1644" s="5" t="str">
        <f>IF('FUENTE NO BORRAR'!A1662="","",(IF('FUENTE NO BORRAR'!A1662&lt;&gt;"Resultado total",'FUENTE NO BORRAR'!A1662,"")))</f>
        <v/>
      </c>
      <c r="B1644" s="5" t="str">
        <f>IF('FUENTE NO BORRAR'!B1662="","",'FUENTE NO BORRAR'!B1662)</f>
        <v/>
      </c>
      <c r="C1644" s="5" t="str">
        <f>IF('FUENTE NO BORRAR'!C1662="","",'FUENTE NO BORRAR'!C1662)</f>
        <v/>
      </c>
      <c r="D1644" s="5" t="str">
        <f>IF('FUENTE NO BORRAR'!D1662="","",'FUENTE NO BORRAR'!D1662)</f>
        <v/>
      </c>
      <c r="E1644" s="5" t="str">
        <f>IF('FUENTE NO BORRAR'!E1662="","",'FUENTE NO BORRAR'!E1662)</f>
        <v/>
      </c>
      <c r="F1644" s="6">
        <f>IF('FUENTE NO BORRAR'!F1662="","",IF('FUENTE NO BORRAR'!$A1662&lt;&gt;"Resultado total",('FUENTE NO BORRAR'!F1662),""))</f>
        <v>673.84</v>
      </c>
      <c r="G1644" s="6">
        <f>IF('FUENTE NO BORRAR'!G1662="","",IF('FUENTE NO BORRAR'!$A1662&lt;&gt;"Resultado total",('FUENTE NO BORRAR'!G1662),""))</f>
        <v>673.84</v>
      </c>
      <c r="H1644" s="6">
        <f>IF('FUENTE NO BORRAR'!H1662="","",IF('FUENTE NO BORRAR'!$A1662&lt;&gt;"Resultado total",('FUENTE NO BORRAR'!H1662),""))</f>
        <v>673.84</v>
      </c>
      <c r="I1644" s="6">
        <f>IF('FUENTE NO BORRAR'!I1662="","",IF('FUENTE NO BORRAR'!$A1662&lt;&gt;"Resultado total",('FUENTE NO BORRAR'!I1662),""))</f>
        <v>0</v>
      </c>
    </row>
    <row r="1645" spans="1:9" x14ac:dyDescent="0.2">
      <c r="A1645" s="5" t="str">
        <f>IF('FUENTE NO BORRAR'!A1663="","",(IF('FUENTE NO BORRAR'!A1663&lt;&gt;"Resultado total",'FUENTE NO BORRAR'!A1663,"")))</f>
        <v/>
      </c>
      <c r="B1645" s="5" t="str">
        <f>IF('FUENTE NO BORRAR'!B1663="","",'FUENTE NO BORRAR'!B1663)</f>
        <v/>
      </c>
      <c r="C1645" s="5" t="str">
        <f>IF('FUENTE NO BORRAR'!C1663="","",'FUENTE NO BORRAR'!C1663)</f>
        <v/>
      </c>
      <c r="D1645" s="5" t="str">
        <f>IF('FUENTE NO BORRAR'!D1663="","",'FUENTE NO BORRAR'!D1663)</f>
        <v/>
      </c>
      <c r="E1645" s="5" t="str">
        <f>IF('FUENTE NO BORRAR'!E1663="","",'FUENTE NO BORRAR'!E1663)</f>
        <v/>
      </c>
      <c r="F1645" s="6">
        <f>IF('FUENTE NO BORRAR'!F1663="","",IF('FUENTE NO BORRAR'!$A1663&lt;&gt;"Resultado total",('FUENTE NO BORRAR'!F1663),""))</f>
        <v>989.8</v>
      </c>
      <c r="G1645" s="6">
        <f>IF('FUENTE NO BORRAR'!G1663="","",IF('FUENTE NO BORRAR'!$A1663&lt;&gt;"Resultado total",('FUENTE NO BORRAR'!G1663),""))</f>
        <v>989.8</v>
      </c>
      <c r="H1645" s="6">
        <f>IF('FUENTE NO BORRAR'!H1663="","",IF('FUENTE NO BORRAR'!$A1663&lt;&gt;"Resultado total",('FUENTE NO BORRAR'!H1663),""))</f>
        <v>989.8</v>
      </c>
      <c r="I1645" s="6">
        <f>IF('FUENTE NO BORRAR'!I1663="","",IF('FUENTE NO BORRAR'!$A1663&lt;&gt;"Resultado total",('FUENTE NO BORRAR'!I1663),""))</f>
        <v>0</v>
      </c>
    </row>
    <row r="1646" spans="1:9" x14ac:dyDescent="0.2">
      <c r="A1646" s="5" t="str">
        <f>IF('FUENTE NO BORRAR'!A1664="","",(IF('FUENTE NO BORRAR'!A1664&lt;&gt;"Resultado total",'FUENTE NO BORRAR'!A1664,"")))</f>
        <v/>
      </c>
      <c r="B1646" s="5" t="str">
        <f>IF('FUENTE NO BORRAR'!B1664="","",'FUENTE NO BORRAR'!B1664)</f>
        <v/>
      </c>
      <c r="C1646" s="5" t="str">
        <f>IF('FUENTE NO BORRAR'!C1664="","",'FUENTE NO BORRAR'!C1664)</f>
        <v/>
      </c>
      <c r="D1646" s="5" t="str">
        <f>IF('FUENTE NO BORRAR'!D1664="","",'FUENTE NO BORRAR'!D1664)</f>
        <v/>
      </c>
      <c r="E1646" s="5" t="str">
        <f>IF('FUENTE NO BORRAR'!E1664="","",'FUENTE NO BORRAR'!E1664)</f>
        <v/>
      </c>
      <c r="F1646" s="6">
        <f>IF('FUENTE NO BORRAR'!F1664="","",IF('FUENTE NO BORRAR'!$A1664&lt;&gt;"Resultado total",('FUENTE NO BORRAR'!F1664),""))</f>
        <v>638</v>
      </c>
      <c r="G1646" s="6">
        <f>IF('FUENTE NO BORRAR'!G1664="","",IF('FUENTE NO BORRAR'!$A1664&lt;&gt;"Resultado total",('FUENTE NO BORRAR'!G1664),""))</f>
        <v>638</v>
      </c>
      <c r="H1646" s="6">
        <f>IF('FUENTE NO BORRAR'!H1664="","",IF('FUENTE NO BORRAR'!$A1664&lt;&gt;"Resultado total",('FUENTE NO BORRAR'!H1664),""))</f>
        <v>638</v>
      </c>
      <c r="I1646" s="6">
        <f>IF('FUENTE NO BORRAR'!I1664="","",IF('FUENTE NO BORRAR'!$A1664&lt;&gt;"Resultado total",('FUENTE NO BORRAR'!I1664),""))</f>
        <v>0</v>
      </c>
    </row>
    <row r="1647" spans="1:9" x14ac:dyDescent="0.2">
      <c r="A1647" s="5" t="str">
        <f>IF('FUENTE NO BORRAR'!A1665="","",(IF('FUENTE NO BORRAR'!A1665&lt;&gt;"Resultado total",'FUENTE NO BORRAR'!A1665,"")))</f>
        <v/>
      </c>
      <c r="B1647" s="5" t="str">
        <f>IF('FUENTE NO BORRAR'!B1665="","",'FUENTE NO BORRAR'!B1665)</f>
        <v/>
      </c>
      <c r="C1647" s="5" t="str">
        <f>IF('FUENTE NO BORRAR'!C1665="","",'FUENTE NO BORRAR'!C1665)</f>
        <v/>
      </c>
      <c r="D1647" s="5" t="str">
        <f>IF('FUENTE NO BORRAR'!D1665="","",'FUENTE NO BORRAR'!D1665)</f>
        <v/>
      </c>
      <c r="E1647" s="5" t="str">
        <f>IF('FUENTE NO BORRAR'!E1665="","",'FUENTE NO BORRAR'!E1665)</f>
        <v/>
      </c>
      <c r="F1647" s="6">
        <f>IF('FUENTE NO BORRAR'!F1665="","",IF('FUENTE NO BORRAR'!$A1665&lt;&gt;"Resultado total",('FUENTE NO BORRAR'!F1665),""))</f>
        <v>2314.1999999999998</v>
      </c>
      <c r="G1647" s="6">
        <f>IF('FUENTE NO BORRAR'!G1665="","",IF('FUENTE NO BORRAR'!$A1665&lt;&gt;"Resultado total",('FUENTE NO BORRAR'!G1665),""))</f>
        <v>2314.1999999999998</v>
      </c>
      <c r="H1647" s="6">
        <f>IF('FUENTE NO BORRAR'!H1665="","",IF('FUENTE NO BORRAR'!$A1665&lt;&gt;"Resultado total",('FUENTE NO BORRAR'!H1665),""))</f>
        <v>2314.1999999999998</v>
      </c>
      <c r="I1647" s="6">
        <f>IF('FUENTE NO BORRAR'!I1665="","",IF('FUENTE NO BORRAR'!$A1665&lt;&gt;"Resultado total",('FUENTE NO BORRAR'!I1665),""))</f>
        <v>0</v>
      </c>
    </row>
    <row r="1648" spans="1:9" x14ac:dyDescent="0.2">
      <c r="A1648" s="5" t="str">
        <f>IF('FUENTE NO BORRAR'!A1666="","",(IF('FUENTE NO BORRAR'!A1666&lt;&gt;"Resultado total",'FUENTE NO BORRAR'!A1666,"")))</f>
        <v/>
      </c>
      <c r="B1648" s="5" t="str">
        <f>IF('FUENTE NO BORRAR'!B1666="","",'FUENTE NO BORRAR'!B1666)</f>
        <v/>
      </c>
      <c r="C1648" s="5" t="str">
        <f>IF('FUENTE NO BORRAR'!C1666="","",'FUENTE NO BORRAR'!C1666)</f>
        <v/>
      </c>
      <c r="D1648" s="5" t="str">
        <f>IF('FUENTE NO BORRAR'!D1666="","",'FUENTE NO BORRAR'!D1666)</f>
        <v/>
      </c>
      <c r="E1648" s="5" t="str">
        <f>IF('FUENTE NO BORRAR'!E1666="","",'FUENTE NO BORRAR'!E1666)</f>
        <v/>
      </c>
      <c r="F1648" s="6">
        <f>IF('FUENTE NO BORRAR'!F1666="","",IF('FUENTE NO BORRAR'!$A1666&lt;&gt;"Resultado total",('FUENTE NO BORRAR'!F1666),""))</f>
        <v>137197.84</v>
      </c>
      <c r="G1648" s="6">
        <f>IF('FUENTE NO BORRAR'!G1666="","",IF('FUENTE NO BORRAR'!$A1666&lt;&gt;"Resultado total",('FUENTE NO BORRAR'!G1666),""))</f>
        <v>137197.84</v>
      </c>
      <c r="H1648" s="6">
        <f>IF('FUENTE NO BORRAR'!H1666="","",IF('FUENTE NO BORRAR'!$A1666&lt;&gt;"Resultado total",('FUENTE NO BORRAR'!H1666),""))</f>
        <v>88160</v>
      </c>
      <c r="I1648" s="6">
        <f>IF('FUENTE NO BORRAR'!I1666="","",IF('FUENTE NO BORRAR'!$A1666&lt;&gt;"Resultado total",('FUENTE NO BORRAR'!I1666),""))</f>
        <v>0</v>
      </c>
    </row>
    <row r="1649" spans="1:9" x14ac:dyDescent="0.2">
      <c r="A1649" s="5" t="str">
        <f>IF('FUENTE NO BORRAR'!A1667="","",(IF('FUENTE NO BORRAR'!A1667&lt;&gt;"Resultado total",'FUENTE NO BORRAR'!A1667,"")))</f>
        <v/>
      </c>
      <c r="B1649" s="5" t="str">
        <f>IF('FUENTE NO BORRAR'!B1667="","",'FUENTE NO BORRAR'!B1667)</f>
        <v/>
      </c>
      <c r="C1649" s="5" t="str">
        <f>IF('FUENTE NO BORRAR'!C1667="","",'FUENTE NO BORRAR'!C1667)</f>
        <v/>
      </c>
      <c r="D1649" s="5" t="str">
        <f>IF('FUENTE NO BORRAR'!D1667="","",'FUENTE NO BORRAR'!D1667)</f>
        <v/>
      </c>
      <c r="E1649" s="5" t="str">
        <f>IF('FUENTE NO BORRAR'!E1667="","",'FUENTE NO BORRAR'!E1667)</f>
        <v/>
      </c>
      <c r="F1649" s="6">
        <f>IF('FUENTE NO BORRAR'!F1667="","",IF('FUENTE NO BORRAR'!$A1667&lt;&gt;"Resultado total",('FUENTE NO BORRAR'!F1667),""))</f>
        <v>15950</v>
      </c>
      <c r="G1649" s="6">
        <f>IF('FUENTE NO BORRAR'!G1667="","",IF('FUENTE NO BORRAR'!$A1667&lt;&gt;"Resultado total",('FUENTE NO BORRAR'!G1667),""))</f>
        <v>15950</v>
      </c>
      <c r="H1649" s="6">
        <f>IF('FUENTE NO BORRAR'!H1667="","",IF('FUENTE NO BORRAR'!$A1667&lt;&gt;"Resultado total",('FUENTE NO BORRAR'!H1667),""))</f>
        <v>15950</v>
      </c>
      <c r="I1649" s="6">
        <f>IF('FUENTE NO BORRAR'!I1667="","",IF('FUENTE NO BORRAR'!$A1667&lt;&gt;"Resultado total",('FUENTE NO BORRAR'!I1667),""))</f>
        <v>0</v>
      </c>
    </row>
    <row r="1650" spans="1:9" x14ac:dyDescent="0.2">
      <c r="A1650" s="5" t="str">
        <f>IF('FUENTE NO BORRAR'!A1668="","",(IF('FUENTE NO BORRAR'!A1668&lt;&gt;"Resultado total",'FUENTE NO BORRAR'!A1668,"")))</f>
        <v/>
      </c>
      <c r="B1650" s="5" t="str">
        <f>IF('FUENTE NO BORRAR'!B1668="","",'FUENTE NO BORRAR'!B1668)</f>
        <v/>
      </c>
      <c r="C1650" s="5" t="str">
        <f>IF('FUENTE NO BORRAR'!C1668="","",'FUENTE NO BORRAR'!C1668)</f>
        <v/>
      </c>
      <c r="D1650" s="5" t="str">
        <f>IF('FUENTE NO BORRAR'!D1668="","",'FUENTE NO BORRAR'!D1668)</f>
        <v/>
      </c>
      <c r="E1650" s="5" t="str">
        <f>IF('FUENTE NO BORRAR'!E1668="","",'FUENTE NO BORRAR'!E1668)</f>
        <v/>
      </c>
      <c r="F1650" s="6">
        <f>IF('FUENTE NO BORRAR'!F1668="","",IF('FUENTE NO BORRAR'!$A1668&lt;&gt;"Resultado total",('FUENTE NO BORRAR'!F1668),""))</f>
        <v>19949</v>
      </c>
      <c r="G1650" s="6">
        <f>IF('FUENTE NO BORRAR'!G1668="","",IF('FUENTE NO BORRAR'!$A1668&lt;&gt;"Resultado total",('FUENTE NO BORRAR'!G1668),""))</f>
        <v>19949</v>
      </c>
      <c r="H1650" s="6">
        <f>IF('FUENTE NO BORRAR'!H1668="","",IF('FUENTE NO BORRAR'!$A1668&lt;&gt;"Resultado total",('FUENTE NO BORRAR'!H1668),""))</f>
        <v>19949</v>
      </c>
      <c r="I1650" s="6">
        <f>IF('FUENTE NO BORRAR'!I1668="","",IF('FUENTE NO BORRAR'!$A1668&lt;&gt;"Resultado total",('FUENTE NO BORRAR'!I1668),""))</f>
        <v>0</v>
      </c>
    </row>
    <row r="1651" spans="1:9" x14ac:dyDescent="0.2">
      <c r="A1651" s="5" t="str">
        <f>IF('FUENTE NO BORRAR'!A1669="","",(IF('FUENTE NO BORRAR'!A1669&lt;&gt;"Resultado total",'FUENTE NO BORRAR'!A1669,"")))</f>
        <v/>
      </c>
      <c r="B1651" s="5" t="str">
        <f>IF('FUENTE NO BORRAR'!B1669="","",'FUENTE NO BORRAR'!B1669)</f>
        <v/>
      </c>
      <c r="C1651" s="5" t="str">
        <f>IF('FUENTE NO BORRAR'!C1669="","",'FUENTE NO BORRAR'!C1669)</f>
        <v/>
      </c>
      <c r="D1651" s="5" t="str">
        <f>IF('FUENTE NO BORRAR'!D1669="","",'FUENTE NO BORRAR'!D1669)</f>
        <v/>
      </c>
      <c r="E1651" s="5" t="str">
        <f>IF('FUENTE NO BORRAR'!E1669="","",'FUENTE NO BORRAR'!E1669)</f>
        <v/>
      </c>
      <c r="F1651" s="6">
        <f>IF('FUENTE NO BORRAR'!F1669="","",IF('FUENTE NO BORRAR'!$A1669&lt;&gt;"Resultado total",('FUENTE NO BORRAR'!F1669),""))</f>
        <v>399.85</v>
      </c>
      <c r="G1651" s="6">
        <f>IF('FUENTE NO BORRAR'!G1669="","",IF('FUENTE NO BORRAR'!$A1669&lt;&gt;"Resultado total",('FUENTE NO BORRAR'!G1669),""))</f>
        <v>399.85</v>
      </c>
      <c r="H1651" s="6">
        <f>IF('FUENTE NO BORRAR'!H1669="","",IF('FUENTE NO BORRAR'!$A1669&lt;&gt;"Resultado total",('FUENTE NO BORRAR'!H1669),""))</f>
        <v>399.85</v>
      </c>
      <c r="I1651" s="6">
        <f>IF('FUENTE NO BORRAR'!I1669="","",IF('FUENTE NO BORRAR'!$A1669&lt;&gt;"Resultado total",('FUENTE NO BORRAR'!I1669),""))</f>
        <v>0</v>
      </c>
    </row>
    <row r="1652" spans="1:9" x14ac:dyDescent="0.2">
      <c r="A1652" s="5" t="str">
        <f>IF('FUENTE NO BORRAR'!A1670="","",(IF('FUENTE NO BORRAR'!A1670&lt;&gt;"Resultado total",'FUENTE NO BORRAR'!A1670,"")))</f>
        <v/>
      </c>
      <c r="B1652" s="5" t="str">
        <f>IF('FUENTE NO BORRAR'!B1670="","",'FUENTE NO BORRAR'!B1670)</f>
        <v/>
      </c>
      <c r="C1652" s="5" t="str">
        <f>IF('FUENTE NO BORRAR'!C1670="","",'FUENTE NO BORRAR'!C1670)</f>
        <v/>
      </c>
      <c r="D1652" s="5" t="str">
        <f>IF('FUENTE NO BORRAR'!D1670="","",'FUENTE NO BORRAR'!D1670)</f>
        <v/>
      </c>
      <c r="E1652" s="5" t="str">
        <f>IF('FUENTE NO BORRAR'!E1670="","",'FUENTE NO BORRAR'!E1670)</f>
        <v/>
      </c>
      <c r="F1652" s="6">
        <f>IF('FUENTE NO BORRAR'!F1670="","",IF('FUENTE NO BORRAR'!$A1670&lt;&gt;"Resultado total",('FUENTE NO BORRAR'!F1670),""))</f>
        <v>14880.48</v>
      </c>
      <c r="G1652" s="6">
        <f>IF('FUENTE NO BORRAR'!G1670="","",IF('FUENTE NO BORRAR'!$A1670&lt;&gt;"Resultado total",('FUENTE NO BORRAR'!G1670),""))</f>
        <v>14880.48</v>
      </c>
      <c r="H1652" s="6">
        <f>IF('FUENTE NO BORRAR'!H1670="","",IF('FUENTE NO BORRAR'!$A1670&lt;&gt;"Resultado total",('FUENTE NO BORRAR'!H1670),""))</f>
        <v>14880.48</v>
      </c>
      <c r="I1652" s="6">
        <f>IF('FUENTE NO BORRAR'!I1670="","",IF('FUENTE NO BORRAR'!$A1670&lt;&gt;"Resultado total",('FUENTE NO BORRAR'!I1670),""))</f>
        <v>0</v>
      </c>
    </row>
    <row r="1653" spans="1:9" x14ac:dyDescent="0.2">
      <c r="A1653" s="5" t="str">
        <f>IF('FUENTE NO BORRAR'!A1671="","",(IF('FUENTE NO BORRAR'!A1671&lt;&gt;"Resultado total",'FUENTE NO BORRAR'!A1671,"")))</f>
        <v/>
      </c>
      <c r="B1653" s="5" t="str">
        <f>IF('FUENTE NO BORRAR'!B1671="","",'FUENTE NO BORRAR'!B1671)</f>
        <v/>
      </c>
      <c r="C1653" s="5" t="str">
        <f>IF('FUENTE NO BORRAR'!C1671="","",'FUENTE NO BORRAR'!C1671)</f>
        <v/>
      </c>
      <c r="D1653" s="5" t="str">
        <f>IF('FUENTE NO BORRAR'!D1671="","",'FUENTE NO BORRAR'!D1671)</f>
        <v/>
      </c>
      <c r="E1653" s="5" t="str">
        <f>IF('FUENTE NO BORRAR'!E1671="","",'FUENTE NO BORRAR'!E1671)</f>
        <v/>
      </c>
      <c r="F1653" s="6">
        <f>IF('FUENTE NO BORRAR'!F1671="","",IF('FUENTE NO BORRAR'!$A1671&lt;&gt;"Resultado total",('FUENTE NO BORRAR'!F1671),""))</f>
        <v>18677.09</v>
      </c>
      <c r="G1653" s="6">
        <f>IF('FUENTE NO BORRAR'!G1671="","",IF('FUENTE NO BORRAR'!$A1671&lt;&gt;"Resultado total",('FUENTE NO BORRAR'!G1671),""))</f>
        <v>18677.09</v>
      </c>
      <c r="H1653" s="6">
        <f>IF('FUENTE NO BORRAR'!H1671="","",IF('FUENTE NO BORRAR'!$A1671&lt;&gt;"Resultado total",('FUENTE NO BORRAR'!H1671),""))</f>
        <v>18677.09</v>
      </c>
      <c r="I1653" s="6">
        <f>IF('FUENTE NO BORRAR'!I1671="","",IF('FUENTE NO BORRAR'!$A1671&lt;&gt;"Resultado total",('FUENTE NO BORRAR'!I1671),""))</f>
        <v>0</v>
      </c>
    </row>
    <row r="1654" spans="1:9" x14ac:dyDescent="0.2">
      <c r="A1654" s="5" t="str">
        <f>IF('FUENTE NO BORRAR'!A1672="","",(IF('FUENTE NO BORRAR'!A1672&lt;&gt;"Resultado total",'FUENTE NO BORRAR'!A1672,"")))</f>
        <v/>
      </c>
      <c r="B1654" s="5" t="str">
        <f>IF('FUENTE NO BORRAR'!B1672="","",'FUENTE NO BORRAR'!B1672)</f>
        <v/>
      </c>
      <c r="C1654" s="5" t="str">
        <f>IF('FUENTE NO BORRAR'!C1672="","",'FUENTE NO BORRAR'!C1672)</f>
        <v/>
      </c>
      <c r="D1654" s="5" t="str">
        <f>IF('FUENTE NO BORRAR'!D1672="","",'FUENTE NO BORRAR'!D1672)</f>
        <v/>
      </c>
      <c r="E1654" s="5" t="str">
        <f>IF('FUENTE NO BORRAR'!E1672="","",'FUENTE NO BORRAR'!E1672)</f>
        <v/>
      </c>
      <c r="F1654" s="6">
        <f>IF('FUENTE NO BORRAR'!F1672="","",IF('FUENTE NO BORRAR'!$A1672&lt;&gt;"Resultado total",('FUENTE NO BORRAR'!F1672),""))</f>
        <v>56.26</v>
      </c>
      <c r="G1654" s="6">
        <f>IF('FUENTE NO BORRAR'!G1672="","",IF('FUENTE NO BORRAR'!$A1672&lt;&gt;"Resultado total",('FUENTE NO BORRAR'!G1672),""))</f>
        <v>56.26</v>
      </c>
      <c r="H1654" s="6">
        <f>IF('FUENTE NO BORRAR'!H1672="","",IF('FUENTE NO BORRAR'!$A1672&lt;&gt;"Resultado total",('FUENTE NO BORRAR'!H1672),""))</f>
        <v>0</v>
      </c>
      <c r="I1654" s="6">
        <f>IF('FUENTE NO BORRAR'!I1672="","",IF('FUENTE NO BORRAR'!$A1672&lt;&gt;"Resultado total",('FUENTE NO BORRAR'!I1672),""))</f>
        <v>0</v>
      </c>
    </row>
    <row r="1655" spans="1:9" x14ac:dyDescent="0.2">
      <c r="A1655" s="5" t="str">
        <f>IF('FUENTE NO BORRAR'!A1673="","",(IF('FUENTE NO BORRAR'!A1673&lt;&gt;"Resultado total",'FUENTE NO BORRAR'!A1673,"")))</f>
        <v/>
      </c>
      <c r="B1655" s="5" t="str">
        <f>IF('FUENTE NO BORRAR'!B1673="","",'FUENTE NO BORRAR'!B1673)</f>
        <v/>
      </c>
      <c r="C1655" s="5" t="str">
        <f>IF('FUENTE NO BORRAR'!C1673="","",'FUENTE NO BORRAR'!C1673)</f>
        <v/>
      </c>
      <c r="D1655" s="5" t="str">
        <f>IF('FUENTE NO BORRAR'!D1673="","",'FUENTE NO BORRAR'!D1673)</f>
        <v/>
      </c>
      <c r="E1655" s="5" t="str">
        <f>IF('FUENTE NO BORRAR'!E1673="","",'FUENTE NO BORRAR'!E1673)</f>
        <v/>
      </c>
      <c r="F1655" s="6">
        <f>IF('FUENTE NO BORRAR'!F1673="","",IF('FUENTE NO BORRAR'!$A1673&lt;&gt;"Resultado total",('FUENTE NO BORRAR'!F1673),""))</f>
        <v>45895.1</v>
      </c>
      <c r="G1655" s="6">
        <f>IF('FUENTE NO BORRAR'!G1673="","",IF('FUENTE NO BORRAR'!$A1673&lt;&gt;"Resultado total",('FUENTE NO BORRAR'!G1673),""))</f>
        <v>45895.1</v>
      </c>
      <c r="H1655" s="6">
        <f>IF('FUENTE NO BORRAR'!H1673="","",IF('FUENTE NO BORRAR'!$A1673&lt;&gt;"Resultado total",('FUENTE NO BORRAR'!H1673),""))</f>
        <v>38970.07</v>
      </c>
      <c r="I1655" s="6">
        <f>IF('FUENTE NO BORRAR'!I1673="","",IF('FUENTE NO BORRAR'!$A1673&lt;&gt;"Resultado total",('FUENTE NO BORRAR'!I1673),""))</f>
        <v>0</v>
      </c>
    </row>
    <row r="1656" spans="1:9" x14ac:dyDescent="0.2">
      <c r="A1656" s="5" t="str">
        <f>IF('FUENTE NO BORRAR'!A1674="","",(IF('FUENTE NO BORRAR'!A1674&lt;&gt;"Resultado total",'FUENTE NO BORRAR'!A1674,"")))</f>
        <v/>
      </c>
      <c r="B1656" s="5" t="str">
        <f>IF('FUENTE NO BORRAR'!B1674="","",'FUENTE NO BORRAR'!B1674)</f>
        <v/>
      </c>
      <c r="C1656" s="5" t="str">
        <f>IF('FUENTE NO BORRAR'!C1674="","",'FUENTE NO BORRAR'!C1674)</f>
        <v/>
      </c>
      <c r="D1656" s="5" t="str">
        <f>IF('FUENTE NO BORRAR'!D1674="","",'FUENTE NO BORRAR'!D1674)</f>
        <v/>
      </c>
      <c r="E1656" s="5" t="str">
        <f>IF('FUENTE NO BORRAR'!E1674="","",'FUENTE NO BORRAR'!E1674)</f>
        <v/>
      </c>
      <c r="F1656" s="6">
        <f>IF('FUENTE NO BORRAR'!F1674="","",IF('FUENTE NO BORRAR'!$A1674&lt;&gt;"Resultado total",('FUENTE NO BORRAR'!F1674),""))</f>
        <v>4188.6899999999996</v>
      </c>
      <c r="G1656" s="6">
        <f>IF('FUENTE NO BORRAR'!G1674="","",IF('FUENTE NO BORRAR'!$A1674&lt;&gt;"Resultado total",('FUENTE NO BORRAR'!G1674),""))</f>
        <v>4188.6899999999996</v>
      </c>
      <c r="H1656" s="6">
        <f>IF('FUENTE NO BORRAR'!H1674="","",IF('FUENTE NO BORRAR'!$A1674&lt;&gt;"Resultado total",('FUENTE NO BORRAR'!H1674),""))</f>
        <v>130.05000000000001</v>
      </c>
      <c r="I1656" s="6">
        <f>IF('FUENTE NO BORRAR'!I1674="","",IF('FUENTE NO BORRAR'!$A1674&lt;&gt;"Resultado total",('FUENTE NO BORRAR'!I1674),""))</f>
        <v>0</v>
      </c>
    </row>
    <row r="1657" spans="1:9" x14ac:dyDescent="0.2">
      <c r="A1657" s="5" t="str">
        <f>IF('FUENTE NO BORRAR'!A1675="","",(IF('FUENTE NO BORRAR'!A1675&lt;&gt;"Resultado total",'FUENTE NO BORRAR'!A1675,"")))</f>
        <v/>
      </c>
      <c r="B1657" s="5" t="str">
        <f>IF('FUENTE NO BORRAR'!B1675="","",'FUENTE NO BORRAR'!B1675)</f>
        <v/>
      </c>
      <c r="C1657" s="5" t="str">
        <f>IF('FUENTE NO BORRAR'!C1675="","",'FUENTE NO BORRAR'!C1675)</f>
        <v/>
      </c>
      <c r="D1657" s="5" t="str">
        <f>IF('FUENTE NO BORRAR'!D1675="","",'FUENTE NO BORRAR'!D1675)</f>
        <v/>
      </c>
      <c r="E1657" s="5" t="str">
        <f>IF('FUENTE NO BORRAR'!E1675="","",'FUENTE NO BORRAR'!E1675)</f>
        <v/>
      </c>
      <c r="F1657" s="6">
        <f>IF('FUENTE NO BORRAR'!F1675="","",IF('FUENTE NO BORRAR'!$A1675&lt;&gt;"Resultado total",('FUENTE NO BORRAR'!F1675),""))</f>
        <v>7686.94</v>
      </c>
      <c r="G1657" s="6">
        <f>IF('FUENTE NO BORRAR'!G1675="","",IF('FUENTE NO BORRAR'!$A1675&lt;&gt;"Resultado total",('FUENTE NO BORRAR'!G1675),""))</f>
        <v>7686.94</v>
      </c>
      <c r="H1657" s="6">
        <f>IF('FUENTE NO BORRAR'!H1675="","",IF('FUENTE NO BORRAR'!$A1675&lt;&gt;"Resultado total",('FUENTE NO BORRAR'!H1675),""))</f>
        <v>7427.8</v>
      </c>
      <c r="I1657" s="6">
        <f>IF('FUENTE NO BORRAR'!I1675="","",IF('FUENTE NO BORRAR'!$A1675&lt;&gt;"Resultado total",('FUENTE NO BORRAR'!I1675),""))</f>
        <v>0</v>
      </c>
    </row>
    <row r="1658" spans="1:9" x14ac:dyDescent="0.2">
      <c r="A1658" s="5" t="str">
        <f>IF('FUENTE NO BORRAR'!A1676="","",(IF('FUENTE NO BORRAR'!A1676&lt;&gt;"Resultado total",'FUENTE NO BORRAR'!A1676,"")))</f>
        <v/>
      </c>
      <c r="B1658" s="5" t="str">
        <f>IF('FUENTE NO BORRAR'!B1676="","",'FUENTE NO BORRAR'!B1676)</f>
        <v/>
      </c>
      <c r="C1658" s="5" t="str">
        <f>IF('FUENTE NO BORRAR'!C1676="","",'FUENTE NO BORRAR'!C1676)</f>
        <v/>
      </c>
      <c r="D1658" s="5" t="str">
        <f>IF('FUENTE NO BORRAR'!D1676="","",'FUENTE NO BORRAR'!D1676)</f>
        <v/>
      </c>
      <c r="E1658" s="5" t="str">
        <f>IF('FUENTE NO BORRAR'!E1676="","",'FUENTE NO BORRAR'!E1676)</f>
        <v/>
      </c>
      <c r="F1658" s="6">
        <f>IF('FUENTE NO BORRAR'!F1676="","",IF('FUENTE NO BORRAR'!$A1676&lt;&gt;"Resultado total",('FUENTE NO BORRAR'!F1676),""))</f>
        <v>3219.7</v>
      </c>
      <c r="G1658" s="6">
        <f>IF('FUENTE NO BORRAR'!G1676="","",IF('FUENTE NO BORRAR'!$A1676&lt;&gt;"Resultado total",('FUENTE NO BORRAR'!G1676),""))</f>
        <v>3219.7</v>
      </c>
      <c r="H1658" s="6">
        <f>IF('FUENTE NO BORRAR'!H1676="","",IF('FUENTE NO BORRAR'!$A1676&lt;&gt;"Resultado total",('FUENTE NO BORRAR'!H1676),""))</f>
        <v>713.02</v>
      </c>
      <c r="I1658" s="6">
        <f>IF('FUENTE NO BORRAR'!I1676="","",IF('FUENTE NO BORRAR'!$A1676&lt;&gt;"Resultado total",('FUENTE NO BORRAR'!I1676),""))</f>
        <v>0</v>
      </c>
    </row>
    <row r="1659" spans="1:9" x14ac:dyDescent="0.2">
      <c r="A1659" s="5" t="str">
        <f>IF('FUENTE NO BORRAR'!A1677="","",(IF('FUENTE NO BORRAR'!A1677&lt;&gt;"Resultado total",'FUENTE NO BORRAR'!A1677,"")))</f>
        <v/>
      </c>
      <c r="B1659" s="5" t="str">
        <f>IF('FUENTE NO BORRAR'!B1677="","",'FUENTE NO BORRAR'!B1677)</f>
        <v/>
      </c>
      <c r="C1659" s="5" t="str">
        <f>IF('FUENTE NO BORRAR'!C1677="","",'FUENTE NO BORRAR'!C1677)</f>
        <v/>
      </c>
      <c r="D1659" s="5" t="str">
        <f>IF('FUENTE NO BORRAR'!D1677="","",'FUENTE NO BORRAR'!D1677)</f>
        <v/>
      </c>
      <c r="E1659" s="5" t="str">
        <f>IF('FUENTE NO BORRAR'!E1677="","",'FUENTE NO BORRAR'!E1677)</f>
        <v/>
      </c>
      <c r="F1659" s="6">
        <f>IF('FUENTE NO BORRAR'!F1677="","",IF('FUENTE NO BORRAR'!$A1677&lt;&gt;"Resultado total",('FUENTE NO BORRAR'!F1677),""))</f>
        <v>2427</v>
      </c>
      <c r="G1659" s="6">
        <f>IF('FUENTE NO BORRAR'!G1677="","",IF('FUENTE NO BORRAR'!$A1677&lt;&gt;"Resultado total",('FUENTE NO BORRAR'!G1677),""))</f>
        <v>2427</v>
      </c>
      <c r="H1659" s="6">
        <f>IF('FUENTE NO BORRAR'!H1677="","",IF('FUENTE NO BORRAR'!$A1677&lt;&gt;"Resultado total",('FUENTE NO BORRAR'!H1677),""))</f>
        <v>2427</v>
      </c>
      <c r="I1659" s="6">
        <f>IF('FUENTE NO BORRAR'!I1677="","",IF('FUENTE NO BORRAR'!$A1677&lt;&gt;"Resultado total",('FUENTE NO BORRAR'!I1677),""))</f>
        <v>0</v>
      </c>
    </row>
    <row r="1660" spans="1:9" x14ac:dyDescent="0.2">
      <c r="A1660" s="5" t="str">
        <f>IF('FUENTE NO BORRAR'!A1678="","",(IF('FUENTE NO BORRAR'!A1678&lt;&gt;"Resultado total",'FUENTE NO BORRAR'!A1678,"")))</f>
        <v/>
      </c>
      <c r="B1660" s="5" t="str">
        <f>IF('FUENTE NO BORRAR'!B1678="","",'FUENTE NO BORRAR'!B1678)</f>
        <v/>
      </c>
      <c r="C1660" s="5" t="str">
        <f>IF('FUENTE NO BORRAR'!C1678="","",'FUENTE NO BORRAR'!C1678)</f>
        <v/>
      </c>
      <c r="D1660" s="5" t="str">
        <f>IF('FUENTE NO BORRAR'!D1678="","",'FUENTE NO BORRAR'!D1678)</f>
        <v/>
      </c>
      <c r="E1660" s="5" t="str">
        <f>IF('FUENTE NO BORRAR'!E1678="","",'FUENTE NO BORRAR'!E1678)</f>
        <v/>
      </c>
      <c r="F1660" s="6">
        <f>IF('FUENTE NO BORRAR'!F1678="","",IF('FUENTE NO BORRAR'!$A1678&lt;&gt;"Resultado total",('FUENTE NO BORRAR'!F1678),""))</f>
        <v>2842</v>
      </c>
      <c r="G1660" s="6">
        <f>IF('FUENTE NO BORRAR'!G1678="","",IF('FUENTE NO BORRAR'!$A1678&lt;&gt;"Resultado total",('FUENTE NO BORRAR'!G1678),""))</f>
        <v>2842</v>
      </c>
      <c r="H1660" s="6">
        <f>IF('FUENTE NO BORRAR'!H1678="","",IF('FUENTE NO BORRAR'!$A1678&lt;&gt;"Resultado total",('FUENTE NO BORRAR'!H1678),""))</f>
        <v>2842</v>
      </c>
      <c r="I1660" s="6">
        <f>IF('FUENTE NO BORRAR'!I1678="","",IF('FUENTE NO BORRAR'!$A1678&lt;&gt;"Resultado total",('FUENTE NO BORRAR'!I1678),""))</f>
        <v>0</v>
      </c>
    </row>
    <row r="1661" spans="1:9" x14ac:dyDescent="0.2">
      <c r="A1661" s="5" t="str">
        <f>IF('FUENTE NO BORRAR'!A1679="","",(IF('FUENTE NO BORRAR'!A1679&lt;&gt;"Resultado total",'FUENTE NO BORRAR'!A1679,"")))</f>
        <v/>
      </c>
      <c r="B1661" s="5" t="str">
        <f>IF('FUENTE NO BORRAR'!B1679="","",'FUENTE NO BORRAR'!B1679)</f>
        <v/>
      </c>
      <c r="C1661" s="5" t="str">
        <f>IF('FUENTE NO BORRAR'!C1679="","",'FUENTE NO BORRAR'!C1679)</f>
        <v/>
      </c>
      <c r="D1661" s="5" t="str">
        <f>IF('FUENTE NO BORRAR'!D1679="","",'FUENTE NO BORRAR'!D1679)</f>
        <v/>
      </c>
      <c r="E1661" s="5" t="str">
        <f>IF('FUENTE NO BORRAR'!E1679="","",'FUENTE NO BORRAR'!E1679)</f>
        <v/>
      </c>
      <c r="F1661" s="6">
        <f>IF('FUENTE NO BORRAR'!F1679="","",IF('FUENTE NO BORRAR'!$A1679&lt;&gt;"Resultado total",('FUENTE NO BORRAR'!F1679),""))</f>
        <v>75.010000000000005</v>
      </c>
      <c r="G1661" s="6">
        <f>IF('FUENTE NO BORRAR'!G1679="","",IF('FUENTE NO BORRAR'!$A1679&lt;&gt;"Resultado total",('FUENTE NO BORRAR'!G1679),""))</f>
        <v>75.010000000000005</v>
      </c>
      <c r="H1661" s="6">
        <f>IF('FUENTE NO BORRAR'!H1679="","",IF('FUENTE NO BORRAR'!$A1679&lt;&gt;"Resultado total",('FUENTE NO BORRAR'!H1679),""))</f>
        <v>75.010000000000005</v>
      </c>
      <c r="I1661" s="6">
        <f>IF('FUENTE NO BORRAR'!I1679="","",IF('FUENTE NO BORRAR'!$A1679&lt;&gt;"Resultado total",('FUENTE NO BORRAR'!I1679),""))</f>
        <v>0</v>
      </c>
    </row>
    <row r="1662" spans="1:9" x14ac:dyDescent="0.2">
      <c r="A1662" s="5" t="str">
        <f>IF('FUENTE NO BORRAR'!A1680="","",(IF('FUENTE NO BORRAR'!A1680&lt;&gt;"Resultado total",'FUENTE NO BORRAR'!A1680,"")))</f>
        <v/>
      </c>
      <c r="B1662" s="5" t="str">
        <f>IF('FUENTE NO BORRAR'!B1680="","",'FUENTE NO BORRAR'!B1680)</f>
        <v/>
      </c>
      <c r="C1662" s="5" t="str">
        <f>IF('FUENTE NO BORRAR'!C1680="","",'FUENTE NO BORRAR'!C1680)</f>
        <v/>
      </c>
      <c r="D1662" s="5" t="str">
        <f>IF('FUENTE NO BORRAR'!D1680="","",'FUENTE NO BORRAR'!D1680)</f>
        <v/>
      </c>
      <c r="E1662" s="5" t="str">
        <f>IF('FUENTE NO BORRAR'!E1680="","",'FUENTE NO BORRAR'!E1680)</f>
        <v/>
      </c>
      <c r="F1662" s="6">
        <f>IF('FUENTE NO BORRAR'!F1680="","",IF('FUENTE NO BORRAR'!$A1680&lt;&gt;"Resultado total",('FUENTE NO BORRAR'!F1680),""))</f>
        <v>1231.79</v>
      </c>
      <c r="G1662" s="6">
        <f>IF('FUENTE NO BORRAR'!G1680="","",IF('FUENTE NO BORRAR'!$A1680&lt;&gt;"Resultado total",('FUENTE NO BORRAR'!G1680),""))</f>
        <v>1231.79</v>
      </c>
      <c r="H1662" s="6">
        <f>IF('FUENTE NO BORRAR'!H1680="","",IF('FUENTE NO BORRAR'!$A1680&lt;&gt;"Resultado total",('FUENTE NO BORRAR'!H1680),""))</f>
        <v>1231.79</v>
      </c>
      <c r="I1662" s="6">
        <f>IF('FUENTE NO BORRAR'!I1680="","",IF('FUENTE NO BORRAR'!$A1680&lt;&gt;"Resultado total",('FUENTE NO BORRAR'!I1680),""))</f>
        <v>0</v>
      </c>
    </row>
    <row r="1663" spans="1:9" x14ac:dyDescent="0.2">
      <c r="A1663" s="5" t="str">
        <f>IF('FUENTE NO BORRAR'!A1681="","",(IF('FUENTE NO BORRAR'!A1681&lt;&gt;"Resultado total",'FUENTE NO BORRAR'!A1681,"")))</f>
        <v/>
      </c>
      <c r="B1663" s="5" t="str">
        <f>IF('FUENTE NO BORRAR'!B1681="","",'FUENTE NO BORRAR'!B1681)</f>
        <v/>
      </c>
      <c r="C1663" s="5" t="str">
        <f>IF('FUENTE NO BORRAR'!C1681="","",'FUENTE NO BORRAR'!C1681)</f>
        <v/>
      </c>
      <c r="D1663" s="5" t="str">
        <f>IF('FUENTE NO BORRAR'!D1681="","",'FUENTE NO BORRAR'!D1681)</f>
        <v/>
      </c>
      <c r="E1663" s="5" t="str">
        <f>IF('FUENTE NO BORRAR'!E1681="","",'FUENTE NO BORRAR'!E1681)</f>
        <v/>
      </c>
      <c r="F1663" s="6">
        <f>IF('FUENTE NO BORRAR'!F1681="","",IF('FUENTE NO BORRAR'!$A1681&lt;&gt;"Resultado total",('FUENTE NO BORRAR'!F1681),""))</f>
        <v>696</v>
      </c>
      <c r="G1663" s="6">
        <f>IF('FUENTE NO BORRAR'!G1681="","",IF('FUENTE NO BORRAR'!$A1681&lt;&gt;"Resultado total",('FUENTE NO BORRAR'!G1681),""))</f>
        <v>696</v>
      </c>
      <c r="H1663" s="6">
        <f>IF('FUENTE NO BORRAR'!H1681="","",IF('FUENTE NO BORRAR'!$A1681&lt;&gt;"Resultado total",('FUENTE NO BORRAR'!H1681),""))</f>
        <v>696</v>
      </c>
      <c r="I1663" s="6">
        <f>IF('FUENTE NO BORRAR'!I1681="","",IF('FUENTE NO BORRAR'!$A1681&lt;&gt;"Resultado total",('FUENTE NO BORRAR'!I1681),""))</f>
        <v>0</v>
      </c>
    </row>
    <row r="1664" spans="1:9" x14ac:dyDescent="0.2">
      <c r="A1664" s="5" t="str">
        <f>IF('FUENTE NO BORRAR'!A1682="","",(IF('FUENTE NO BORRAR'!A1682&lt;&gt;"Resultado total",'FUENTE NO BORRAR'!A1682,"")))</f>
        <v/>
      </c>
      <c r="B1664" s="5" t="str">
        <f>IF('FUENTE NO BORRAR'!B1682="","",'FUENTE NO BORRAR'!B1682)</f>
        <v/>
      </c>
      <c r="C1664" s="5" t="str">
        <f>IF('FUENTE NO BORRAR'!C1682="","",'FUENTE NO BORRAR'!C1682)</f>
        <v/>
      </c>
      <c r="D1664" s="5" t="str">
        <f>IF('FUENTE NO BORRAR'!D1682="","",'FUENTE NO BORRAR'!D1682)</f>
        <v/>
      </c>
      <c r="E1664" s="5" t="str">
        <f>IF('FUENTE NO BORRAR'!E1682="","",'FUENTE NO BORRAR'!E1682)</f>
        <v/>
      </c>
      <c r="F1664" s="6">
        <f>IF('FUENTE NO BORRAR'!F1682="","",IF('FUENTE NO BORRAR'!$A1682&lt;&gt;"Resultado total",('FUENTE NO BORRAR'!F1682),""))</f>
        <v>91589.61</v>
      </c>
      <c r="G1664" s="6">
        <f>IF('FUENTE NO BORRAR'!G1682="","",IF('FUENTE NO BORRAR'!$A1682&lt;&gt;"Resultado total",('FUENTE NO BORRAR'!G1682),""))</f>
        <v>91589.61</v>
      </c>
      <c r="H1664" s="6">
        <f>IF('FUENTE NO BORRAR'!H1682="","",IF('FUENTE NO BORRAR'!$A1682&lt;&gt;"Resultado total",('FUENTE NO BORRAR'!H1682),""))</f>
        <v>91589.61</v>
      </c>
      <c r="I1664" s="6">
        <f>IF('FUENTE NO BORRAR'!I1682="","",IF('FUENTE NO BORRAR'!$A1682&lt;&gt;"Resultado total",('FUENTE NO BORRAR'!I1682),""))</f>
        <v>0</v>
      </c>
    </row>
    <row r="1665" spans="1:9" x14ac:dyDescent="0.2">
      <c r="A1665" s="5" t="str">
        <f>IF('FUENTE NO BORRAR'!A1683="","",(IF('FUENTE NO BORRAR'!A1683&lt;&gt;"Resultado total",'FUENTE NO BORRAR'!A1683,"")))</f>
        <v/>
      </c>
      <c r="B1665" s="5" t="str">
        <f>IF('FUENTE NO BORRAR'!B1683="","",'FUENTE NO BORRAR'!B1683)</f>
        <v/>
      </c>
      <c r="C1665" s="5" t="str">
        <f>IF('FUENTE NO BORRAR'!C1683="","",'FUENTE NO BORRAR'!C1683)</f>
        <v/>
      </c>
      <c r="D1665" s="5" t="str">
        <f>IF('FUENTE NO BORRAR'!D1683="","",'FUENTE NO BORRAR'!D1683)</f>
        <v/>
      </c>
      <c r="E1665" s="5" t="str">
        <f>IF('FUENTE NO BORRAR'!E1683="","",'FUENTE NO BORRAR'!E1683)</f>
        <v/>
      </c>
      <c r="F1665" s="6">
        <f>IF('FUENTE NO BORRAR'!F1683="","",IF('FUENTE NO BORRAR'!$A1683&lt;&gt;"Resultado total",('FUENTE NO BORRAR'!F1683),""))</f>
        <v>0</v>
      </c>
      <c r="G1665" s="6">
        <f>IF('FUENTE NO BORRAR'!G1683="","",IF('FUENTE NO BORRAR'!$A1683&lt;&gt;"Resultado total",('FUENTE NO BORRAR'!G1683),""))</f>
        <v>0</v>
      </c>
      <c r="H1665" s="6">
        <f>IF('FUENTE NO BORRAR'!H1683="","",IF('FUENTE NO BORRAR'!$A1683&lt;&gt;"Resultado total",('FUENTE NO BORRAR'!H1683),""))</f>
        <v>0</v>
      </c>
      <c r="I1665" s="6">
        <f>IF('FUENTE NO BORRAR'!I1683="","",IF('FUENTE NO BORRAR'!$A1683&lt;&gt;"Resultado total",('FUENTE NO BORRAR'!I1683),""))</f>
        <v>0</v>
      </c>
    </row>
    <row r="1666" spans="1:9" x14ac:dyDescent="0.2">
      <c r="A1666" s="5" t="str">
        <f>IF('FUENTE NO BORRAR'!A1684="","",(IF('FUENTE NO BORRAR'!A1684&lt;&gt;"Resultado total",'FUENTE NO BORRAR'!A1684,"")))</f>
        <v/>
      </c>
      <c r="B1666" s="5" t="str">
        <f>IF('FUENTE NO BORRAR'!B1684="","",'FUENTE NO BORRAR'!B1684)</f>
        <v/>
      </c>
      <c r="C1666" s="5" t="str">
        <f>IF('FUENTE NO BORRAR'!C1684="","",'FUENTE NO BORRAR'!C1684)</f>
        <v/>
      </c>
      <c r="D1666" s="5" t="str">
        <f>IF('FUENTE NO BORRAR'!D1684="","",'FUENTE NO BORRAR'!D1684)</f>
        <v/>
      </c>
      <c r="E1666" s="5" t="str">
        <f>IF('FUENTE NO BORRAR'!E1684="","",'FUENTE NO BORRAR'!E1684)</f>
        <v/>
      </c>
      <c r="F1666" s="6">
        <f>IF('FUENTE NO BORRAR'!F1684="","",IF('FUENTE NO BORRAR'!$A1684&lt;&gt;"Resultado total",('FUENTE NO BORRAR'!F1684),""))</f>
        <v>5769.67</v>
      </c>
      <c r="G1666" s="6">
        <f>IF('FUENTE NO BORRAR'!G1684="","",IF('FUENTE NO BORRAR'!$A1684&lt;&gt;"Resultado total",('FUENTE NO BORRAR'!G1684),""))</f>
        <v>5769.67</v>
      </c>
      <c r="H1666" s="6">
        <f>IF('FUENTE NO BORRAR'!H1684="","",IF('FUENTE NO BORRAR'!$A1684&lt;&gt;"Resultado total",('FUENTE NO BORRAR'!H1684),""))</f>
        <v>5769.67</v>
      </c>
      <c r="I1666" s="6">
        <f>IF('FUENTE NO BORRAR'!I1684="","",IF('FUENTE NO BORRAR'!$A1684&lt;&gt;"Resultado total",('FUENTE NO BORRAR'!I1684),""))</f>
        <v>0</v>
      </c>
    </row>
    <row r="1667" spans="1:9" x14ac:dyDescent="0.2">
      <c r="A1667" s="5" t="str">
        <f>IF('FUENTE NO BORRAR'!A1685="","",(IF('FUENTE NO BORRAR'!A1685&lt;&gt;"Resultado total",'FUENTE NO BORRAR'!A1685,"")))</f>
        <v/>
      </c>
      <c r="B1667" s="5" t="str">
        <f>IF('FUENTE NO BORRAR'!B1685="","",'FUENTE NO BORRAR'!B1685)</f>
        <v/>
      </c>
      <c r="C1667" s="5" t="str">
        <f>IF('FUENTE NO BORRAR'!C1685="","",'FUENTE NO BORRAR'!C1685)</f>
        <v/>
      </c>
      <c r="D1667" s="5" t="str">
        <f>IF('FUENTE NO BORRAR'!D1685="","",'FUENTE NO BORRAR'!D1685)</f>
        <v/>
      </c>
      <c r="E1667" s="5" t="str">
        <f>IF('FUENTE NO BORRAR'!E1685="","",'FUENTE NO BORRAR'!E1685)</f>
        <v/>
      </c>
      <c r="F1667" s="6">
        <f>IF('FUENTE NO BORRAR'!F1685="","",IF('FUENTE NO BORRAR'!$A1685&lt;&gt;"Resultado total",('FUENTE NO BORRAR'!F1685),""))</f>
        <v>1023.9</v>
      </c>
      <c r="G1667" s="6">
        <f>IF('FUENTE NO BORRAR'!G1685="","",IF('FUENTE NO BORRAR'!$A1685&lt;&gt;"Resultado total",('FUENTE NO BORRAR'!G1685),""))</f>
        <v>1023.9</v>
      </c>
      <c r="H1667" s="6">
        <f>IF('FUENTE NO BORRAR'!H1685="","",IF('FUENTE NO BORRAR'!$A1685&lt;&gt;"Resultado total",('FUENTE NO BORRAR'!H1685),""))</f>
        <v>1023.9</v>
      </c>
      <c r="I1667" s="6">
        <f>IF('FUENTE NO BORRAR'!I1685="","",IF('FUENTE NO BORRAR'!$A1685&lt;&gt;"Resultado total",('FUENTE NO BORRAR'!I1685),""))</f>
        <v>0</v>
      </c>
    </row>
    <row r="1668" spans="1:9" x14ac:dyDescent="0.2">
      <c r="A1668" s="5" t="str">
        <f>IF('FUENTE NO BORRAR'!A1686="","",(IF('FUENTE NO BORRAR'!A1686&lt;&gt;"Resultado total",'FUENTE NO BORRAR'!A1686,"")))</f>
        <v/>
      </c>
      <c r="B1668" s="5" t="str">
        <f>IF('FUENTE NO BORRAR'!B1686="","",'FUENTE NO BORRAR'!B1686)</f>
        <v/>
      </c>
      <c r="C1668" s="5" t="str">
        <f>IF('FUENTE NO BORRAR'!C1686="","",'FUENTE NO BORRAR'!C1686)</f>
        <v/>
      </c>
      <c r="D1668" s="5" t="str">
        <f>IF('FUENTE NO BORRAR'!D1686="","",'FUENTE NO BORRAR'!D1686)</f>
        <v/>
      </c>
      <c r="E1668" s="5" t="str">
        <f>IF('FUENTE NO BORRAR'!E1686="","",'FUENTE NO BORRAR'!E1686)</f>
        <v/>
      </c>
      <c r="F1668" s="6">
        <f>IF('FUENTE NO BORRAR'!F1686="","",IF('FUENTE NO BORRAR'!$A1686&lt;&gt;"Resultado total",('FUENTE NO BORRAR'!F1686),""))</f>
        <v>93318.23</v>
      </c>
      <c r="G1668" s="6">
        <f>IF('FUENTE NO BORRAR'!G1686="","",IF('FUENTE NO BORRAR'!$A1686&lt;&gt;"Resultado total",('FUENTE NO BORRAR'!G1686),""))</f>
        <v>93318.23</v>
      </c>
      <c r="H1668" s="6">
        <f>IF('FUENTE NO BORRAR'!H1686="","",IF('FUENTE NO BORRAR'!$A1686&lt;&gt;"Resultado total",('FUENTE NO BORRAR'!H1686),""))</f>
        <v>78818.23</v>
      </c>
      <c r="I1668" s="6">
        <f>IF('FUENTE NO BORRAR'!I1686="","",IF('FUENTE NO BORRAR'!$A1686&lt;&gt;"Resultado total",('FUENTE NO BORRAR'!I1686),""))</f>
        <v>0</v>
      </c>
    </row>
    <row r="1669" spans="1:9" x14ac:dyDescent="0.2">
      <c r="A1669" s="5" t="str">
        <f>IF('FUENTE NO BORRAR'!A1687="","",(IF('FUENTE NO BORRAR'!A1687&lt;&gt;"Resultado total",'FUENTE NO BORRAR'!A1687,"")))</f>
        <v/>
      </c>
      <c r="B1669" s="5" t="str">
        <f>IF('FUENTE NO BORRAR'!B1687="","",'FUENTE NO BORRAR'!B1687)</f>
        <v/>
      </c>
      <c r="C1669" s="5" t="str">
        <f>IF('FUENTE NO BORRAR'!C1687="","",'FUENTE NO BORRAR'!C1687)</f>
        <v/>
      </c>
      <c r="D1669" s="5" t="str">
        <f>IF('FUENTE NO BORRAR'!D1687="","",'FUENTE NO BORRAR'!D1687)</f>
        <v/>
      </c>
      <c r="E1669" s="5" t="str">
        <f>IF('FUENTE NO BORRAR'!E1687="","",'FUENTE NO BORRAR'!E1687)</f>
        <v/>
      </c>
      <c r="F1669" s="6">
        <f>IF('FUENTE NO BORRAR'!F1687="","",IF('FUENTE NO BORRAR'!$A1687&lt;&gt;"Resultado total",('FUENTE NO BORRAR'!F1687),""))</f>
        <v>4724.68</v>
      </c>
      <c r="G1669" s="6">
        <f>IF('FUENTE NO BORRAR'!G1687="","",IF('FUENTE NO BORRAR'!$A1687&lt;&gt;"Resultado total",('FUENTE NO BORRAR'!G1687),""))</f>
        <v>4724.68</v>
      </c>
      <c r="H1669" s="6">
        <f>IF('FUENTE NO BORRAR'!H1687="","",IF('FUENTE NO BORRAR'!$A1687&lt;&gt;"Resultado total",('FUENTE NO BORRAR'!H1687),""))</f>
        <v>4724.68</v>
      </c>
      <c r="I1669" s="6">
        <f>IF('FUENTE NO BORRAR'!I1687="","",IF('FUENTE NO BORRAR'!$A1687&lt;&gt;"Resultado total",('FUENTE NO BORRAR'!I1687),""))</f>
        <v>0</v>
      </c>
    </row>
    <row r="1670" spans="1:9" x14ac:dyDescent="0.2">
      <c r="A1670" s="5" t="str">
        <f>IF('FUENTE NO BORRAR'!A1688="","",(IF('FUENTE NO BORRAR'!A1688&lt;&gt;"Resultado total",'FUENTE NO BORRAR'!A1688,"")))</f>
        <v/>
      </c>
      <c r="B1670" s="5" t="str">
        <f>IF('FUENTE NO BORRAR'!B1688="","",'FUENTE NO BORRAR'!B1688)</f>
        <v/>
      </c>
      <c r="C1670" s="5" t="str">
        <f>IF('FUENTE NO BORRAR'!C1688="","",'FUENTE NO BORRAR'!C1688)</f>
        <v/>
      </c>
      <c r="D1670" s="5" t="str">
        <f>IF('FUENTE NO BORRAR'!D1688="","",'FUENTE NO BORRAR'!D1688)</f>
        <v/>
      </c>
      <c r="E1670" s="5" t="str">
        <f>IF('FUENTE NO BORRAR'!E1688="","",'FUENTE NO BORRAR'!E1688)</f>
        <v/>
      </c>
      <c r="F1670" s="6">
        <f>IF('FUENTE NO BORRAR'!F1688="","",IF('FUENTE NO BORRAR'!$A1688&lt;&gt;"Resultado total",('FUENTE NO BORRAR'!F1688),""))</f>
        <v>113363.4</v>
      </c>
      <c r="G1670" s="6">
        <f>IF('FUENTE NO BORRAR'!G1688="","",IF('FUENTE NO BORRAR'!$A1688&lt;&gt;"Resultado total",('FUENTE NO BORRAR'!G1688),""))</f>
        <v>113363.4</v>
      </c>
      <c r="H1670" s="6">
        <f>IF('FUENTE NO BORRAR'!H1688="","",IF('FUENTE NO BORRAR'!$A1688&lt;&gt;"Resultado total",('FUENTE NO BORRAR'!H1688),""))</f>
        <v>107563.4</v>
      </c>
      <c r="I1670" s="6">
        <f>IF('FUENTE NO BORRAR'!I1688="","",IF('FUENTE NO BORRAR'!$A1688&lt;&gt;"Resultado total",('FUENTE NO BORRAR'!I1688),""))</f>
        <v>0</v>
      </c>
    </row>
    <row r="1671" spans="1:9" x14ac:dyDescent="0.2">
      <c r="A1671" s="5" t="str">
        <f>IF('FUENTE NO BORRAR'!A1689="","",(IF('FUENTE NO BORRAR'!A1689&lt;&gt;"Resultado total",'FUENTE NO BORRAR'!A1689,"")))</f>
        <v/>
      </c>
      <c r="B1671" s="5" t="str">
        <f>IF('FUENTE NO BORRAR'!B1689="","",'FUENTE NO BORRAR'!B1689)</f>
        <v/>
      </c>
      <c r="C1671" s="5" t="str">
        <f>IF('FUENTE NO BORRAR'!C1689="","",'FUENTE NO BORRAR'!C1689)</f>
        <v/>
      </c>
      <c r="D1671" s="5" t="str">
        <f>IF('FUENTE NO BORRAR'!D1689="","",'FUENTE NO BORRAR'!D1689)</f>
        <v/>
      </c>
      <c r="E1671" s="5" t="str">
        <f>IF('FUENTE NO BORRAR'!E1689="","",'FUENTE NO BORRAR'!E1689)</f>
        <v/>
      </c>
      <c r="F1671" s="6">
        <f>IF('FUENTE NO BORRAR'!F1689="","",IF('FUENTE NO BORRAR'!$A1689&lt;&gt;"Resultado total",('FUENTE NO BORRAR'!F1689),""))</f>
        <v>580</v>
      </c>
      <c r="G1671" s="6">
        <f>IF('FUENTE NO BORRAR'!G1689="","",IF('FUENTE NO BORRAR'!$A1689&lt;&gt;"Resultado total",('FUENTE NO BORRAR'!G1689),""))</f>
        <v>580</v>
      </c>
      <c r="H1671" s="6">
        <f>IF('FUENTE NO BORRAR'!H1689="","",IF('FUENTE NO BORRAR'!$A1689&lt;&gt;"Resultado total",('FUENTE NO BORRAR'!H1689),""))</f>
        <v>580</v>
      </c>
      <c r="I1671" s="6">
        <f>IF('FUENTE NO BORRAR'!I1689="","",IF('FUENTE NO BORRAR'!$A1689&lt;&gt;"Resultado total",('FUENTE NO BORRAR'!I1689),""))</f>
        <v>0</v>
      </c>
    </row>
    <row r="1672" spans="1:9" x14ac:dyDescent="0.2">
      <c r="A1672" s="5" t="str">
        <f>IF('FUENTE NO BORRAR'!A1690="","",(IF('FUENTE NO BORRAR'!A1690&lt;&gt;"Resultado total",'FUENTE NO BORRAR'!A1690,"")))</f>
        <v/>
      </c>
      <c r="B1672" s="5" t="str">
        <f>IF('FUENTE NO BORRAR'!B1690="","",'FUENTE NO BORRAR'!B1690)</f>
        <v/>
      </c>
      <c r="C1672" s="5" t="str">
        <f>IF('FUENTE NO BORRAR'!C1690="","",'FUENTE NO BORRAR'!C1690)</f>
        <v/>
      </c>
      <c r="D1672" s="5" t="str">
        <f>IF('FUENTE NO BORRAR'!D1690="","",'FUENTE NO BORRAR'!D1690)</f>
        <v/>
      </c>
      <c r="E1672" s="5" t="str">
        <f>IF('FUENTE NO BORRAR'!E1690="","",'FUENTE NO BORRAR'!E1690)</f>
        <v/>
      </c>
      <c r="F1672" s="6">
        <f>IF('FUENTE NO BORRAR'!F1690="","",IF('FUENTE NO BORRAR'!$A1690&lt;&gt;"Resultado total",('FUENTE NO BORRAR'!F1690),""))</f>
        <v>0</v>
      </c>
      <c r="G1672" s="6">
        <f>IF('FUENTE NO BORRAR'!G1690="","",IF('FUENTE NO BORRAR'!$A1690&lt;&gt;"Resultado total",('FUENTE NO BORRAR'!G1690),""))</f>
        <v>0</v>
      </c>
      <c r="H1672" s="6">
        <f>IF('FUENTE NO BORRAR'!H1690="","",IF('FUENTE NO BORRAR'!$A1690&lt;&gt;"Resultado total",('FUENTE NO BORRAR'!H1690),""))</f>
        <v>0</v>
      </c>
      <c r="I1672" s="6">
        <f>IF('FUENTE NO BORRAR'!I1690="","",IF('FUENTE NO BORRAR'!$A1690&lt;&gt;"Resultado total",('FUENTE NO BORRAR'!I1690),""))</f>
        <v>0</v>
      </c>
    </row>
    <row r="1673" spans="1:9" x14ac:dyDescent="0.2">
      <c r="A1673" s="5" t="str">
        <f>IF('FUENTE NO BORRAR'!A1691="","",(IF('FUENTE NO BORRAR'!A1691&lt;&gt;"Resultado total",'FUENTE NO BORRAR'!A1691,"")))</f>
        <v/>
      </c>
      <c r="B1673" s="5" t="str">
        <f>IF('FUENTE NO BORRAR'!B1691="","",'FUENTE NO BORRAR'!B1691)</f>
        <v/>
      </c>
      <c r="C1673" s="5" t="str">
        <f>IF('FUENTE NO BORRAR'!C1691="","",'FUENTE NO BORRAR'!C1691)</f>
        <v/>
      </c>
      <c r="D1673" s="5" t="str">
        <f>IF('FUENTE NO BORRAR'!D1691="","",'FUENTE NO BORRAR'!D1691)</f>
        <v/>
      </c>
      <c r="E1673" s="5" t="str">
        <f>IF('FUENTE NO BORRAR'!E1691="","",'FUENTE NO BORRAR'!E1691)</f>
        <v/>
      </c>
      <c r="F1673" s="6">
        <f>IF('FUENTE NO BORRAR'!F1691="","",IF('FUENTE NO BORRAR'!$A1691&lt;&gt;"Resultado total",('FUENTE NO BORRAR'!F1691),""))</f>
        <v>0</v>
      </c>
      <c r="G1673" s="6">
        <f>IF('FUENTE NO BORRAR'!G1691="","",IF('FUENTE NO BORRAR'!$A1691&lt;&gt;"Resultado total",('FUENTE NO BORRAR'!G1691),""))</f>
        <v>0</v>
      </c>
      <c r="H1673" s="6">
        <f>IF('FUENTE NO BORRAR'!H1691="","",IF('FUENTE NO BORRAR'!$A1691&lt;&gt;"Resultado total",('FUENTE NO BORRAR'!H1691),""))</f>
        <v>0</v>
      </c>
      <c r="I1673" s="6">
        <f>IF('FUENTE NO BORRAR'!I1691="","",IF('FUENTE NO BORRAR'!$A1691&lt;&gt;"Resultado total",('FUENTE NO BORRAR'!I1691),""))</f>
        <v>0</v>
      </c>
    </row>
    <row r="1674" spans="1:9" x14ac:dyDescent="0.2">
      <c r="A1674" s="5" t="str">
        <f>IF('FUENTE NO BORRAR'!A1692="","",(IF('FUENTE NO BORRAR'!A1692&lt;&gt;"Resultado total",'FUENTE NO BORRAR'!A1692,"")))</f>
        <v/>
      </c>
      <c r="B1674" s="5" t="str">
        <f>IF('FUENTE NO BORRAR'!B1692="","",'FUENTE NO BORRAR'!B1692)</f>
        <v/>
      </c>
      <c r="C1674" s="5" t="str">
        <f>IF('FUENTE NO BORRAR'!C1692="","",'FUENTE NO BORRAR'!C1692)</f>
        <v/>
      </c>
      <c r="D1674" s="5" t="str">
        <f>IF('FUENTE NO BORRAR'!D1692="","",'FUENTE NO BORRAR'!D1692)</f>
        <v/>
      </c>
      <c r="E1674" s="5" t="str">
        <f>IF('FUENTE NO BORRAR'!E1692="","",'FUENTE NO BORRAR'!E1692)</f>
        <v/>
      </c>
      <c r="F1674" s="6">
        <f>IF('FUENTE NO BORRAR'!F1692="","",IF('FUENTE NO BORRAR'!$A1692&lt;&gt;"Resultado total",('FUENTE NO BORRAR'!F1692),""))</f>
        <v>0</v>
      </c>
      <c r="G1674" s="6">
        <f>IF('FUENTE NO BORRAR'!G1692="","",IF('FUENTE NO BORRAR'!$A1692&lt;&gt;"Resultado total",('FUENTE NO BORRAR'!G1692),""))</f>
        <v>0</v>
      </c>
      <c r="H1674" s="6">
        <f>IF('FUENTE NO BORRAR'!H1692="","",IF('FUENTE NO BORRAR'!$A1692&lt;&gt;"Resultado total",('FUENTE NO BORRAR'!H1692),""))</f>
        <v>0</v>
      </c>
      <c r="I1674" s="6">
        <f>IF('FUENTE NO BORRAR'!I1692="","",IF('FUENTE NO BORRAR'!$A1692&lt;&gt;"Resultado total",('FUENTE NO BORRAR'!I1692),""))</f>
        <v>0</v>
      </c>
    </row>
    <row r="1675" spans="1:9" x14ac:dyDescent="0.2">
      <c r="A1675" s="5" t="str">
        <f>IF('FUENTE NO BORRAR'!A1693="","",(IF('FUENTE NO BORRAR'!A1693&lt;&gt;"Resultado total",'FUENTE NO BORRAR'!A1693,"")))</f>
        <v/>
      </c>
      <c r="B1675" s="5" t="str">
        <f>IF('FUENTE NO BORRAR'!B1693="","",'FUENTE NO BORRAR'!B1693)</f>
        <v/>
      </c>
      <c r="C1675" s="5" t="str">
        <f>IF('FUENTE NO BORRAR'!C1693="","",'FUENTE NO BORRAR'!C1693)</f>
        <v/>
      </c>
      <c r="D1675" s="5" t="str">
        <f>IF('FUENTE NO BORRAR'!D1693="","",'FUENTE NO BORRAR'!D1693)</f>
        <v/>
      </c>
      <c r="E1675" s="5" t="str">
        <f>IF('FUENTE NO BORRAR'!E1693="","",'FUENTE NO BORRAR'!E1693)</f>
        <v/>
      </c>
      <c r="F1675" s="6">
        <f>IF('FUENTE NO BORRAR'!F1693="","",IF('FUENTE NO BORRAR'!$A1693&lt;&gt;"Resultado total",('FUENTE NO BORRAR'!F1693),""))</f>
        <v>7501.2</v>
      </c>
      <c r="G1675" s="6">
        <f>IF('FUENTE NO BORRAR'!G1693="","",IF('FUENTE NO BORRAR'!$A1693&lt;&gt;"Resultado total",('FUENTE NO BORRAR'!G1693),""))</f>
        <v>7501.2</v>
      </c>
      <c r="H1675" s="6">
        <f>IF('FUENTE NO BORRAR'!H1693="","",IF('FUENTE NO BORRAR'!$A1693&lt;&gt;"Resultado total",('FUENTE NO BORRAR'!H1693),""))</f>
        <v>7501.2</v>
      </c>
      <c r="I1675" s="6">
        <f>IF('FUENTE NO BORRAR'!I1693="","",IF('FUENTE NO BORRAR'!$A1693&lt;&gt;"Resultado total",('FUENTE NO BORRAR'!I1693),""))</f>
        <v>0</v>
      </c>
    </row>
    <row r="1676" spans="1:9" x14ac:dyDescent="0.2">
      <c r="A1676" s="5" t="str">
        <f>IF('FUENTE NO BORRAR'!A1694="","",(IF('FUENTE NO BORRAR'!A1694&lt;&gt;"Resultado total",'FUENTE NO BORRAR'!A1694,"")))</f>
        <v/>
      </c>
      <c r="B1676" s="5" t="str">
        <f>IF('FUENTE NO BORRAR'!B1694="","",'FUENTE NO BORRAR'!B1694)</f>
        <v/>
      </c>
      <c r="C1676" s="5" t="str">
        <f>IF('FUENTE NO BORRAR'!C1694="","",'FUENTE NO BORRAR'!C1694)</f>
        <v/>
      </c>
      <c r="D1676" s="5" t="str">
        <f>IF('FUENTE NO BORRAR'!D1694="","",'FUENTE NO BORRAR'!D1694)</f>
        <v/>
      </c>
      <c r="E1676" s="5" t="str">
        <f>IF('FUENTE NO BORRAR'!E1694="","",'FUENTE NO BORRAR'!E1694)</f>
        <v/>
      </c>
      <c r="F1676" s="6">
        <f>IF('FUENTE NO BORRAR'!F1694="","",IF('FUENTE NO BORRAR'!$A1694&lt;&gt;"Resultado total",('FUENTE NO BORRAR'!F1694),""))</f>
        <v>21651</v>
      </c>
      <c r="G1676" s="6">
        <f>IF('FUENTE NO BORRAR'!G1694="","",IF('FUENTE NO BORRAR'!$A1694&lt;&gt;"Resultado total",('FUENTE NO BORRAR'!G1694),""))</f>
        <v>21651</v>
      </c>
      <c r="H1676" s="6">
        <f>IF('FUENTE NO BORRAR'!H1694="","",IF('FUENTE NO BORRAR'!$A1694&lt;&gt;"Resultado total",('FUENTE NO BORRAR'!H1694),""))</f>
        <v>21651</v>
      </c>
      <c r="I1676" s="6">
        <f>IF('FUENTE NO BORRAR'!I1694="","",IF('FUENTE NO BORRAR'!$A1694&lt;&gt;"Resultado total",('FUENTE NO BORRAR'!I1694),""))</f>
        <v>0</v>
      </c>
    </row>
    <row r="1677" spans="1:9" x14ac:dyDescent="0.2">
      <c r="A1677" s="5" t="str">
        <f>IF('FUENTE NO BORRAR'!A1695="","",(IF('FUENTE NO BORRAR'!A1695&lt;&gt;"Resultado total",'FUENTE NO BORRAR'!A1695,"")))</f>
        <v/>
      </c>
      <c r="B1677" s="5" t="str">
        <f>IF('FUENTE NO BORRAR'!B1695="","",'FUENTE NO BORRAR'!B1695)</f>
        <v/>
      </c>
      <c r="C1677" s="5" t="str">
        <f>IF('FUENTE NO BORRAR'!C1695="","",'FUENTE NO BORRAR'!C1695)</f>
        <v/>
      </c>
      <c r="D1677" s="5" t="str">
        <f>IF('FUENTE NO BORRAR'!D1695="","",'FUENTE NO BORRAR'!D1695)</f>
        <v/>
      </c>
      <c r="E1677" s="5" t="str">
        <f>IF('FUENTE NO BORRAR'!E1695="","",'FUENTE NO BORRAR'!E1695)</f>
        <v/>
      </c>
      <c r="F1677" s="6">
        <f>IF('FUENTE NO BORRAR'!F1695="","",IF('FUENTE NO BORRAR'!$A1695&lt;&gt;"Resultado total",('FUENTE NO BORRAR'!F1695),""))</f>
        <v>12700</v>
      </c>
      <c r="G1677" s="6">
        <f>IF('FUENTE NO BORRAR'!G1695="","",IF('FUENTE NO BORRAR'!$A1695&lt;&gt;"Resultado total",('FUENTE NO BORRAR'!G1695),""))</f>
        <v>12700</v>
      </c>
      <c r="H1677" s="6">
        <f>IF('FUENTE NO BORRAR'!H1695="","",IF('FUENTE NO BORRAR'!$A1695&lt;&gt;"Resultado total",('FUENTE NO BORRAR'!H1695),""))</f>
        <v>7500</v>
      </c>
      <c r="I1677" s="6">
        <f>IF('FUENTE NO BORRAR'!I1695="","",IF('FUENTE NO BORRAR'!$A1695&lt;&gt;"Resultado total",('FUENTE NO BORRAR'!I1695),""))</f>
        <v>0</v>
      </c>
    </row>
    <row r="1678" spans="1:9" x14ac:dyDescent="0.2">
      <c r="A1678" s="5" t="str">
        <f>IF('FUENTE NO BORRAR'!A1696="","",(IF('FUENTE NO BORRAR'!A1696&lt;&gt;"Resultado total",'FUENTE NO BORRAR'!A1696,"")))</f>
        <v/>
      </c>
      <c r="B1678" s="5" t="str">
        <f>IF('FUENTE NO BORRAR'!B1696="","",'FUENTE NO BORRAR'!B1696)</f>
        <v/>
      </c>
      <c r="C1678" s="5" t="str">
        <f>IF('FUENTE NO BORRAR'!C1696="","",'FUENTE NO BORRAR'!C1696)</f>
        <v/>
      </c>
      <c r="D1678" s="5" t="str">
        <f>IF('FUENTE NO BORRAR'!D1696="","",'FUENTE NO BORRAR'!D1696)</f>
        <v/>
      </c>
      <c r="E1678" s="5" t="str">
        <f>IF('FUENTE NO BORRAR'!E1696="","",'FUENTE NO BORRAR'!E1696)</f>
        <v/>
      </c>
      <c r="F1678" s="6">
        <f>IF('FUENTE NO BORRAR'!F1696="","",IF('FUENTE NO BORRAR'!$A1696&lt;&gt;"Resultado total",('FUENTE NO BORRAR'!F1696),""))</f>
        <v>251911.3</v>
      </c>
      <c r="G1678" s="6">
        <f>IF('FUENTE NO BORRAR'!G1696="","",IF('FUENTE NO BORRAR'!$A1696&lt;&gt;"Resultado total",('FUENTE NO BORRAR'!G1696),""))</f>
        <v>251911.3</v>
      </c>
      <c r="H1678" s="6">
        <f>IF('FUENTE NO BORRAR'!H1696="","",IF('FUENTE NO BORRAR'!$A1696&lt;&gt;"Resultado total",('FUENTE NO BORRAR'!H1696),""))</f>
        <v>251062.25</v>
      </c>
      <c r="I1678" s="6">
        <f>IF('FUENTE NO BORRAR'!I1696="","",IF('FUENTE NO BORRAR'!$A1696&lt;&gt;"Resultado total",('FUENTE NO BORRAR'!I1696),""))</f>
        <v>0</v>
      </c>
    </row>
    <row r="1679" spans="1:9" x14ac:dyDescent="0.2">
      <c r="A1679" s="5" t="str">
        <f>IF('FUENTE NO BORRAR'!A1697="","",(IF('FUENTE NO BORRAR'!A1697&lt;&gt;"Resultado total",'FUENTE NO BORRAR'!A1697,"")))</f>
        <v/>
      </c>
      <c r="B1679" s="5" t="str">
        <f>IF('FUENTE NO BORRAR'!B1697="","",'FUENTE NO BORRAR'!B1697)</f>
        <v/>
      </c>
      <c r="C1679" s="5" t="str">
        <f>IF('FUENTE NO BORRAR'!C1697="","",'FUENTE NO BORRAR'!C1697)</f>
        <v/>
      </c>
      <c r="D1679" s="5" t="str">
        <f>IF('FUENTE NO BORRAR'!D1697="","",'FUENTE NO BORRAR'!D1697)</f>
        <v/>
      </c>
      <c r="E1679" s="5" t="str">
        <f>IF('FUENTE NO BORRAR'!E1697="","",'FUENTE NO BORRAR'!E1697)</f>
        <v/>
      </c>
      <c r="F1679" s="6">
        <f>IF('FUENTE NO BORRAR'!F1697="","",IF('FUENTE NO BORRAR'!$A1697&lt;&gt;"Resultado total",('FUENTE NO BORRAR'!F1697),""))</f>
        <v>7622</v>
      </c>
      <c r="G1679" s="6">
        <f>IF('FUENTE NO BORRAR'!G1697="","",IF('FUENTE NO BORRAR'!$A1697&lt;&gt;"Resultado total",('FUENTE NO BORRAR'!G1697),""))</f>
        <v>7622</v>
      </c>
      <c r="H1679" s="6">
        <f>IF('FUENTE NO BORRAR'!H1697="","",IF('FUENTE NO BORRAR'!$A1697&lt;&gt;"Resultado total",('FUENTE NO BORRAR'!H1697),""))</f>
        <v>7622</v>
      </c>
      <c r="I1679" s="6">
        <f>IF('FUENTE NO BORRAR'!I1697="","",IF('FUENTE NO BORRAR'!$A1697&lt;&gt;"Resultado total",('FUENTE NO BORRAR'!I1697),""))</f>
        <v>0</v>
      </c>
    </row>
    <row r="1680" spans="1:9" x14ac:dyDescent="0.2">
      <c r="A1680" s="5" t="str">
        <f>IF('FUENTE NO BORRAR'!A1698="","",(IF('FUENTE NO BORRAR'!A1698&lt;&gt;"Resultado total",'FUENTE NO BORRAR'!A1698,"")))</f>
        <v/>
      </c>
      <c r="B1680" s="5" t="str">
        <f>IF('FUENTE NO BORRAR'!B1698="","",'FUENTE NO BORRAR'!B1698)</f>
        <v/>
      </c>
      <c r="C1680" s="5" t="str">
        <f>IF('FUENTE NO BORRAR'!C1698="","",'FUENTE NO BORRAR'!C1698)</f>
        <v/>
      </c>
      <c r="D1680" s="5" t="str">
        <f>IF('FUENTE NO BORRAR'!D1698="","",'FUENTE NO BORRAR'!D1698)</f>
        <v/>
      </c>
      <c r="E1680" s="5" t="str">
        <f>IF('FUENTE NO BORRAR'!E1698="","",'FUENTE NO BORRAR'!E1698)</f>
        <v/>
      </c>
      <c r="F1680" s="6">
        <f>IF('FUENTE NO BORRAR'!F1698="","",IF('FUENTE NO BORRAR'!$A1698&lt;&gt;"Resultado total",('FUENTE NO BORRAR'!F1698),""))</f>
        <v>591.6</v>
      </c>
      <c r="G1680" s="6">
        <f>IF('FUENTE NO BORRAR'!G1698="","",IF('FUENTE NO BORRAR'!$A1698&lt;&gt;"Resultado total",('FUENTE NO BORRAR'!G1698),""))</f>
        <v>591.6</v>
      </c>
      <c r="H1680" s="6">
        <f>IF('FUENTE NO BORRAR'!H1698="","",IF('FUENTE NO BORRAR'!$A1698&lt;&gt;"Resultado total",('FUENTE NO BORRAR'!H1698),""))</f>
        <v>591.6</v>
      </c>
      <c r="I1680" s="6">
        <f>IF('FUENTE NO BORRAR'!I1698="","",IF('FUENTE NO BORRAR'!$A1698&lt;&gt;"Resultado total",('FUENTE NO BORRAR'!I1698),""))</f>
        <v>0</v>
      </c>
    </row>
    <row r="1681" spans="1:9" x14ac:dyDescent="0.2">
      <c r="A1681" s="5" t="str">
        <f>IF('FUENTE NO BORRAR'!A1699="","",(IF('FUENTE NO BORRAR'!A1699&lt;&gt;"Resultado total",'FUENTE NO BORRAR'!A1699,"")))</f>
        <v/>
      </c>
      <c r="B1681" s="5" t="str">
        <f>IF('FUENTE NO BORRAR'!B1699="","",'FUENTE NO BORRAR'!B1699)</f>
        <v/>
      </c>
      <c r="C1681" s="5" t="str">
        <f>IF('FUENTE NO BORRAR'!C1699="","",'FUENTE NO BORRAR'!C1699)</f>
        <v/>
      </c>
      <c r="D1681" s="5" t="str">
        <f>IF('FUENTE NO BORRAR'!D1699="","",'FUENTE NO BORRAR'!D1699)</f>
        <v/>
      </c>
      <c r="E1681" s="5" t="str">
        <f>IF('FUENTE NO BORRAR'!E1699="","",'FUENTE NO BORRAR'!E1699)</f>
        <v/>
      </c>
      <c r="F1681" s="6">
        <f>IF('FUENTE NO BORRAR'!F1699="","",IF('FUENTE NO BORRAR'!$A1699&lt;&gt;"Resultado total",('FUENTE NO BORRAR'!F1699),""))</f>
        <v>111360</v>
      </c>
      <c r="G1681" s="6">
        <f>IF('FUENTE NO BORRAR'!G1699="","",IF('FUENTE NO BORRAR'!$A1699&lt;&gt;"Resultado total",('FUENTE NO BORRAR'!G1699),""))</f>
        <v>111360</v>
      </c>
      <c r="H1681" s="6">
        <f>IF('FUENTE NO BORRAR'!H1699="","",IF('FUENTE NO BORRAR'!$A1699&lt;&gt;"Resultado total",('FUENTE NO BORRAR'!H1699),""))</f>
        <v>111360</v>
      </c>
      <c r="I1681" s="6">
        <f>IF('FUENTE NO BORRAR'!I1699="","",IF('FUENTE NO BORRAR'!$A1699&lt;&gt;"Resultado total",('FUENTE NO BORRAR'!I1699),""))</f>
        <v>0</v>
      </c>
    </row>
    <row r="1682" spans="1:9" x14ac:dyDescent="0.2">
      <c r="A1682" s="5" t="str">
        <f>IF('FUENTE NO BORRAR'!A1700="","",(IF('FUENTE NO BORRAR'!A1700&lt;&gt;"Resultado total",'FUENTE NO BORRAR'!A1700,"")))</f>
        <v/>
      </c>
      <c r="B1682" s="5" t="str">
        <f>IF('FUENTE NO BORRAR'!B1700="","",'FUENTE NO BORRAR'!B1700)</f>
        <v/>
      </c>
      <c r="C1682" s="5" t="str">
        <f>IF('FUENTE NO BORRAR'!C1700="","",'FUENTE NO BORRAR'!C1700)</f>
        <v>24042042E203</v>
      </c>
      <c r="D1682" s="5" t="str">
        <f>IF('FUENTE NO BORRAR'!D1700="","",'FUENTE NO BORRAR'!D1700)</f>
        <v>24042042E203</v>
      </c>
      <c r="E1682" s="5" t="str">
        <f>IF('FUENTE NO BORRAR'!E1700="","",'FUENTE NO BORRAR'!E1700)</f>
        <v/>
      </c>
      <c r="F1682" s="6">
        <f>IF('FUENTE NO BORRAR'!F1700="","",IF('FUENTE NO BORRAR'!$A1700&lt;&gt;"Resultado total",('FUENTE NO BORRAR'!F1700),""))</f>
        <v>130083.66</v>
      </c>
      <c r="G1682" s="6">
        <f>IF('FUENTE NO BORRAR'!G1700="","",IF('FUENTE NO BORRAR'!$A1700&lt;&gt;"Resultado total",('FUENTE NO BORRAR'!G1700),""))</f>
        <v>130083.66</v>
      </c>
      <c r="H1682" s="6">
        <f>IF('FUENTE NO BORRAR'!H1700="","",IF('FUENTE NO BORRAR'!$A1700&lt;&gt;"Resultado total",('FUENTE NO BORRAR'!H1700),""))</f>
        <v>130083.66</v>
      </c>
      <c r="I1682" s="6">
        <f>IF('FUENTE NO BORRAR'!I1700="","",IF('FUENTE NO BORRAR'!$A1700&lt;&gt;"Resultado total",('FUENTE NO BORRAR'!I1700),""))</f>
        <v>0</v>
      </c>
    </row>
    <row r="1683" spans="1:9" x14ac:dyDescent="0.2">
      <c r="A1683" s="5" t="str">
        <f>IF('FUENTE NO BORRAR'!A1701="","",(IF('FUENTE NO BORRAR'!A1701&lt;&gt;"Resultado total",'FUENTE NO BORRAR'!A1701,"")))</f>
        <v/>
      </c>
      <c r="B1683" s="5" t="str">
        <f>IF('FUENTE NO BORRAR'!B1701="","",'FUENTE NO BORRAR'!B1701)</f>
        <v/>
      </c>
      <c r="C1683" s="5" t="str">
        <f>IF('FUENTE NO BORRAR'!C1701="","",'FUENTE NO BORRAR'!C1701)</f>
        <v/>
      </c>
      <c r="D1683" s="5" t="str">
        <f>IF('FUENTE NO BORRAR'!D1701="","",'FUENTE NO BORRAR'!D1701)</f>
        <v/>
      </c>
      <c r="E1683" s="5" t="str">
        <f>IF('FUENTE NO BORRAR'!E1701="","",'FUENTE NO BORRAR'!E1701)</f>
        <v/>
      </c>
      <c r="F1683" s="6">
        <f>IF('FUENTE NO BORRAR'!F1701="","",IF('FUENTE NO BORRAR'!$A1701&lt;&gt;"Resultado total",('FUENTE NO BORRAR'!F1701),""))</f>
        <v>2074601.04</v>
      </c>
      <c r="G1683" s="6">
        <f>IF('FUENTE NO BORRAR'!G1701="","",IF('FUENTE NO BORRAR'!$A1701&lt;&gt;"Resultado total",('FUENTE NO BORRAR'!G1701),""))</f>
        <v>2074601.04</v>
      </c>
      <c r="H1683" s="6">
        <f>IF('FUENTE NO BORRAR'!H1701="","",IF('FUENTE NO BORRAR'!$A1701&lt;&gt;"Resultado total",('FUENTE NO BORRAR'!H1701),""))</f>
        <v>2074601.04</v>
      </c>
      <c r="I1683" s="6">
        <f>IF('FUENTE NO BORRAR'!I1701="","",IF('FUENTE NO BORRAR'!$A1701&lt;&gt;"Resultado total",('FUENTE NO BORRAR'!I1701),""))</f>
        <v>1.0000000000000001E-9</v>
      </c>
    </row>
    <row r="1684" spans="1:9" x14ac:dyDescent="0.2">
      <c r="A1684" s="5" t="str">
        <f>IF('FUENTE NO BORRAR'!A1702="","",(IF('FUENTE NO BORRAR'!A1702&lt;&gt;"Resultado total",'FUENTE NO BORRAR'!A1702,"")))</f>
        <v/>
      </c>
      <c r="B1684" s="5" t="str">
        <f>IF('FUENTE NO BORRAR'!B1702="","",'FUENTE NO BORRAR'!B1702)</f>
        <v/>
      </c>
      <c r="C1684" s="5" t="str">
        <f>IF('FUENTE NO BORRAR'!C1702="","",'FUENTE NO BORRAR'!C1702)</f>
        <v/>
      </c>
      <c r="D1684" s="5" t="str">
        <f>IF('FUENTE NO BORRAR'!D1702="","",'FUENTE NO BORRAR'!D1702)</f>
        <v/>
      </c>
      <c r="E1684" s="5" t="str">
        <f>IF('FUENTE NO BORRAR'!E1702="","",'FUENTE NO BORRAR'!E1702)</f>
        <v/>
      </c>
      <c r="F1684" s="6">
        <f>IF('FUENTE NO BORRAR'!F1702="","",IF('FUENTE NO BORRAR'!$A1702&lt;&gt;"Resultado total",('FUENTE NO BORRAR'!F1702),""))</f>
        <v>892368.48</v>
      </c>
      <c r="G1684" s="6">
        <f>IF('FUENTE NO BORRAR'!G1702="","",IF('FUENTE NO BORRAR'!$A1702&lt;&gt;"Resultado total",('FUENTE NO BORRAR'!G1702),""))</f>
        <v>892368.48</v>
      </c>
      <c r="H1684" s="6">
        <f>IF('FUENTE NO BORRAR'!H1702="","",IF('FUENTE NO BORRAR'!$A1702&lt;&gt;"Resultado total",('FUENTE NO BORRAR'!H1702),""))</f>
        <v>827220.5</v>
      </c>
      <c r="I1684" s="6">
        <f>IF('FUENTE NO BORRAR'!I1702="","",IF('FUENTE NO BORRAR'!$A1702&lt;&gt;"Resultado total",('FUENTE NO BORRAR'!I1702),""))</f>
        <v>0</v>
      </c>
    </row>
    <row r="1685" spans="1:9" x14ac:dyDescent="0.2">
      <c r="A1685" s="5" t="str">
        <f>IF('FUENTE NO BORRAR'!A1703="","",(IF('FUENTE NO BORRAR'!A1703&lt;&gt;"Resultado total",'FUENTE NO BORRAR'!A1703,"")))</f>
        <v/>
      </c>
      <c r="B1685" s="5" t="str">
        <f>IF('FUENTE NO BORRAR'!B1703="","",'FUENTE NO BORRAR'!B1703)</f>
        <v/>
      </c>
      <c r="C1685" s="5" t="str">
        <f>IF('FUENTE NO BORRAR'!C1703="","",'FUENTE NO BORRAR'!C1703)</f>
        <v/>
      </c>
      <c r="D1685" s="5" t="str">
        <f>IF('FUENTE NO BORRAR'!D1703="","",'FUENTE NO BORRAR'!D1703)</f>
        <v/>
      </c>
      <c r="E1685" s="5" t="str">
        <f>IF('FUENTE NO BORRAR'!E1703="","",'FUENTE NO BORRAR'!E1703)</f>
        <v/>
      </c>
      <c r="F1685" s="6">
        <f>IF('FUENTE NO BORRAR'!F1703="","",IF('FUENTE NO BORRAR'!$A1703&lt;&gt;"Resultado total",('FUENTE NO BORRAR'!F1703),""))</f>
        <v>289580.2</v>
      </c>
      <c r="G1685" s="6">
        <f>IF('FUENTE NO BORRAR'!G1703="","",IF('FUENTE NO BORRAR'!$A1703&lt;&gt;"Resultado total",('FUENTE NO BORRAR'!G1703),""))</f>
        <v>289580.2</v>
      </c>
      <c r="H1685" s="6">
        <f>IF('FUENTE NO BORRAR'!H1703="","",IF('FUENTE NO BORRAR'!$A1703&lt;&gt;"Resultado total",('FUENTE NO BORRAR'!H1703),""))</f>
        <v>289580.2</v>
      </c>
      <c r="I1685" s="6">
        <f>IF('FUENTE NO BORRAR'!I1703="","",IF('FUENTE NO BORRAR'!$A1703&lt;&gt;"Resultado total",('FUENTE NO BORRAR'!I1703),""))</f>
        <v>0</v>
      </c>
    </row>
    <row r="1686" spans="1:9" x14ac:dyDescent="0.2">
      <c r="A1686" s="5" t="str">
        <f>IF('FUENTE NO BORRAR'!A1704="","",(IF('FUENTE NO BORRAR'!A1704&lt;&gt;"Resultado total",'FUENTE NO BORRAR'!A1704,"")))</f>
        <v/>
      </c>
      <c r="B1686" s="5" t="str">
        <f>IF('FUENTE NO BORRAR'!B1704="","",'FUENTE NO BORRAR'!B1704)</f>
        <v/>
      </c>
      <c r="C1686" s="5" t="str">
        <f>IF('FUENTE NO BORRAR'!C1704="","",'FUENTE NO BORRAR'!C1704)</f>
        <v/>
      </c>
      <c r="D1686" s="5" t="str">
        <f>IF('FUENTE NO BORRAR'!D1704="","",'FUENTE NO BORRAR'!D1704)</f>
        <v/>
      </c>
      <c r="E1686" s="5" t="str">
        <f>IF('FUENTE NO BORRAR'!E1704="","",'FUENTE NO BORRAR'!E1704)</f>
        <v/>
      </c>
      <c r="F1686" s="6">
        <f>IF('FUENTE NO BORRAR'!F1704="","",IF('FUENTE NO BORRAR'!$A1704&lt;&gt;"Resultado total",('FUENTE NO BORRAR'!F1704),""))</f>
        <v>23370.61</v>
      </c>
      <c r="G1686" s="6">
        <f>IF('FUENTE NO BORRAR'!G1704="","",IF('FUENTE NO BORRAR'!$A1704&lt;&gt;"Resultado total",('FUENTE NO BORRAR'!G1704),""))</f>
        <v>23370.61</v>
      </c>
      <c r="H1686" s="6">
        <f>IF('FUENTE NO BORRAR'!H1704="","",IF('FUENTE NO BORRAR'!$A1704&lt;&gt;"Resultado total",('FUENTE NO BORRAR'!H1704),""))</f>
        <v>23370.61</v>
      </c>
      <c r="I1686" s="6">
        <f>IF('FUENTE NO BORRAR'!I1704="","",IF('FUENTE NO BORRAR'!$A1704&lt;&gt;"Resultado total",('FUENTE NO BORRAR'!I1704),""))</f>
        <v>0</v>
      </c>
    </row>
    <row r="1687" spans="1:9" x14ac:dyDescent="0.2">
      <c r="A1687" s="5" t="str">
        <f>IF('FUENTE NO BORRAR'!A1705="","",(IF('FUENTE NO BORRAR'!A1705&lt;&gt;"Resultado total",'FUENTE NO BORRAR'!A1705,"")))</f>
        <v/>
      </c>
      <c r="B1687" s="5" t="str">
        <f>IF('FUENTE NO BORRAR'!B1705="","",'FUENTE NO BORRAR'!B1705)</f>
        <v/>
      </c>
      <c r="C1687" s="5" t="str">
        <f>IF('FUENTE NO BORRAR'!C1705="","",'FUENTE NO BORRAR'!C1705)</f>
        <v/>
      </c>
      <c r="D1687" s="5" t="str">
        <f>IF('FUENTE NO BORRAR'!D1705="","",'FUENTE NO BORRAR'!D1705)</f>
        <v/>
      </c>
      <c r="E1687" s="5" t="str">
        <f>IF('FUENTE NO BORRAR'!E1705="","",'FUENTE NO BORRAR'!E1705)</f>
        <v/>
      </c>
      <c r="F1687" s="6">
        <f>IF('FUENTE NO BORRAR'!F1705="","",IF('FUENTE NO BORRAR'!$A1705&lt;&gt;"Resultado total",('FUENTE NO BORRAR'!F1705),""))</f>
        <v>53607.32</v>
      </c>
      <c r="G1687" s="6">
        <f>IF('FUENTE NO BORRAR'!G1705="","",IF('FUENTE NO BORRAR'!$A1705&lt;&gt;"Resultado total",('FUENTE NO BORRAR'!G1705),""))</f>
        <v>53607.32</v>
      </c>
      <c r="H1687" s="6">
        <f>IF('FUENTE NO BORRAR'!H1705="","",IF('FUENTE NO BORRAR'!$A1705&lt;&gt;"Resultado total",('FUENTE NO BORRAR'!H1705),""))</f>
        <v>53607.32</v>
      </c>
      <c r="I1687" s="6">
        <f>IF('FUENTE NO BORRAR'!I1705="","",IF('FUENTE NO BORRAR'!$A1705&lt;&gt;"Resultado total",('FUENTE NO BORRAR'!I1705),""))</f>
        <v>0</v>
      </c>
    </row>
    <row r="1688" spans="1:9" x14ac:dyDescent="0.2">
      <c r="A1688" s="5" t="str">
        <f>IF('FUENTE NO BORRAR'!A1706="","",(IF('FUENTE NO BORRAR'!A1706&lt;&gt;"Resultado total",'FUENTE NO BORRAR'!A1706,"")))</f>
        <v/>
      </c>
      <c r="B1688" s="5" t="str">
        <f>IF('FUENTE NO BORRAR'!B1706="","",'FUENTE NO BORRAR'!B1706)</f>
        <v/>
      </c>
      <c r="C1688" s="5" t="str">
        <f>IF('FUENTE NO BORRAR'!C1706="","",'FUENTE NO BORRAR'!C1706)</f>
        <v/>
      </c>
      <c r="D1688" s="5" t="str">
        <f>IF('FUENTE NO BORRAR'!D1706="","",'FUENTE NO BORRAR'!D1706)</f>
        <v/>
      </c>
      <c r="E1688" s="5" t="str">
        <f>IF('FUENTE NO BORRAR'!E1706="","",'FUENTE NO BORRAR'!E1706)</f>
        <v/>
      </c>
      <c r="F1688" s="6">
        <f>IF('FUENTE NO BORRAR'!F1706="","",IF('FUENTE NO BORRAR'!$A1706&lt;&gt;"Resultado total",('FUENTE NO BORRAR'!F1706),""))</f>
        <v>73288.289999999994</v>
      </c>
      <c r="G1688" s="6">
        <f>IF('FUENTE NO BORRAR'!G1706="","",IF('FUENTE NO BORRAR'!$A1706&lt;&gt;"Resultado total",('FUENTE NO BORRAR'!G1706),""))</f>
        <v>73288.289999999994</v>
      </c>
      <c r="H1688" s="6">
        <f>IF('FUENTE NO BORRAR'!H1706="","",IF('FUENTE NO BORRAR'!$A1706&lt;&gt;"Resultado total",('FUENTE NO BORRAR'!H1706),""))</f>
        <v>73288.289999999994</v>
      </c>
      <c r="I1688" s="6">
        <f>IF('FUENTE NO BORRAR'!I1706="","",IF('FUENTE NO BORRAR'!$A1706&lt;&gt;"Resultado total",('FUENTE NO BORRAR'!I1706),""))</f>
        <v>0</v>
      </c>
    </row>
    <row r="1689" spans="1:9" x14ac:dyDescent="0.2">
      <c r="A1689" s="5" t="str">
        <f>IF('FUENTE NO BORRAR'!A1707="","",(IF('FUENTE NO BORRAR'!A1707&lt;&gt;"Resultado total",'FUENTE NO BORRAR'!A1707,"")))</f>
        <v/>
      </c>
      <c r="B1689" s="5" t="str">
        <f>IF('FUENTE NO BORRAR'!B1707="","",'FUENTE NO BORRAR'!B1707)</f>
        <v/>
      </c>
      <c r="C1689" s="5" t="str">
        <f>IF('FUENTE NO BORRAR'!C1707="","",'FUENTE NO BORRAR'!C1707)</f>
        <v/>
      </c>
      <c r="D1689" s="5" t="str">
        <f>IF('FUENTE NO BORRAR'!D1707="","",'FUENTE NO BORRAR'!D1707)</f>
        <v/>
      </c>
      <c r="E1689" s="5" t="str">
        <f>IF('FUENTE NO BORRAR'!E1707="","",'FUENTE NO BORRAR'!E1707)</f>
        <v/>
      </c>
      <c r="F1689" s="6">
        <f>IF('FUENTE NO BORRAR'!F1707="","",IF('FUENTE NO BORRAR'!$A1707&lt;&gt;"Resultado total",('FUENTE NO BORRAR'!F1707),""))</f>
        <v>457854.95</v>
      </c>
      <c r="G1689" s="6">
        <f>IF('FUENTE NO BORRAR'!G1707="","",IF('FUENTE NO BORRAR'!$A1707&lt;&gt;"Resultado total",('FUENTE NO BORRAR'!G1707),""))</f>
        <v>457854.95</v>
      </c>
      <c r="H1689" s="6">
        <f>IF('FUENTE NO BORRAR'!H1707="","",IF('FUENTE NO BORRAR'!$A1707&lt;&gt;"Resultado total",('FUENTE NO BORRAR'!H1707),""))</f>
        <v>457854.95</v>
      </c>
      <c r="I1689" s="6">
        <f>IF('FUENTE NO BORRAR'!I1707="","",IF('FUENTE NO BORRAR'!$A1707&lt;&gt;"Resultado total",('FUENTE NO BORRAR'!I1707),""))</f>
        <v>0</v>
      </c>
    </row>
    <row r="1690" spans="1:9" x14ac:dyDescent="0.2">
      <c r="A1690" s="5" t="str">
        <f>IF('FUENTE NO BORRAR'!A1708="","",(IF('FUENTE NO BORRAR'!A1708&lt;&gt;"Resultado total",'FUENTE NO BORRAR'!A1708,"")))</f>
        <v/>
      </c>
      <c r="B1690" s="5" t="str">
        <f>IF('FUENTE NO BORRAR'!B1708="","",'FUENTE NO BORRAR'!B1708)</f>
        <v/>
      </c>
      <c r="C1690" s="5" t="str">
        <f>IF('FUENTE NO BORRAR'!C1708="","",'FUENTE NO BORRAR'!C1708)</f>
        <v/>
      </c>
      <c r="D1690" s="5" t="str">
        <f>IF('FUENTE NO BORRAR'!D1708="","",'FUENTE NO BORRAR'!D1708)</f>
        <v/>
      </c>
      <c r="E1690" s="5" t="str">
        <f>IF('FUENTE NO BORRAR'!E1708="","",'FUENTE NO BORRAR'!E1708)</f>
        <v/>
      </c>
      <c r="F1690" s="6">
        <f>IF('FUENTE NO BORRAR'!F1708="","",IF('FUENTE NO BORRAR'!$A1708&lt;&gt;"Resultado total",('FUENTE NO BORRAR'!F1708),""))</f>
        <v>2615502.64</v>
      </c>
      <c r="G1690" s="6">
        <f>IF('FUENTE NO BORRAR'!G1708="","",IF('FUENTE NO BORRAR'!$A1708&lt;&gt;"Resultado total",('FUENTE NO BORRAR'!G1708),""))</f>
        <v>2615502.64</v>
      </c>
      <c r="H1690" s="6">
        <f>IF('FUENTE NO BORRAR'!H1708="","",IF('FUENTE NO BORRAR'!$A1708&lt;&gt;"Resultado total",('FUENTE NO BORRAR'!H1708),""))</f>
        <v>2637798.2400000002</v>
      </c>
      <c r="I1690" s="6">
        <f>IF('FUENTE NO BORRAR'!I1708="","",IF('FUENTE NO BORRAR'!$A1708&lt;&gt;"Resultado total",('FUENTE NO BORRAR'!I1708),""))</f>
        <v>0</v>
      </c>
    </row>
    <row r="1691" spans="1:9" x14ac:dyDescent="0.2">
      <c r="A1691" s="5" t="str">
        <f>IF('FUENTE NO BORRAR'!A1709="","",(IF('FUENTE NO BORRAR'!A1709&lt;&gt;"Resultado total",'FUENTE NO BORRAR'!A1709,"")))</f>
        <v/>
      </c>
      <c r="B1691" s="5" t="str">
        <f>IF('FUENTE NO BORRAR'!B1709="","",'FUENTE NO BORRAR'!B1709)</f>
        <v/>
      </c>
      <c r="C1691" s="5" t="str">
        <f>IF('FUENTE NO BORRAR'!C1709="","",'FUENTE NO BORRAR'!C1709)</f>
        <v/>
      </c>
      <c r="D1691" s="5" t="str">
        <f>IF('FUENTE NO BORRAR'!D1709="","",'FUENTE NO BORRAR'!D1709)</f>
        <v/>
      </c>
      <c r="E1691" s="5" t="str">
        <f>IF('FUENTE NO BORRAR'!E1709="","",'FUENTE NO BORRAR'!E1709)</f>
        <v/>
      </c>
      <c r="F1691" s="6">
        <f>IF('FUENTE NO BORRAR'!F1709="","",IF('FUENTE NO BORRAR'!$A1709&lt;&gt;"Resultado total",('FUENTE NO BORRAR'!F1709),""))</f>
        <v>2478660.36</v>
      </c>
      <c r="G1691" s="6">
        <f>IF('FUENTE NO BORRAR'!G1709="","",IF('FUENTE NO BORRAR'!$A1709&lt;&gt;"Resultado total",('FUENTE NO BORRAR'!G1709),""))</f>
        <v>2478660.36</v>
      </c>
      <c r="H1691" s="6">
        <f>IF('FUENTE NO BORRAR'!H1709="","",IF('FUENTE NO BORRAR'!$A1709&lt;&gt;"Resultado total",('FUENTE NO BORRAR'!H1709),""))</f>
        <v>2478660.36</v>
      </c>
      <c r="I1691" s="6">
        <f>IF('FUENTE NO BORRAR'!I1709="","",IF('FUENTE NO BORRAR'!$A1709&lt;&gt;"Resultado total",('FUENTE NO BORRAR'!I1709),""))</f>
        <v>0</v>
      </c>
    </row>
    <row r="1692" spans="1:9" x14ac:dyDescent="0.2">
      <c r="A1692" s="5" t="str">
        <f>IF('FUENTE NO BORRAR'!A1710="","",(IF('FUENTE NO BORRAR'!A1710&lt;&gt;"Resultado total",'FUENTE NO BORRAR'!A1710,"")))</f>
        <v/>
      </c>
      <c r="B1692" s="5" t="str">
        <f>IF('FUENTE NO BORRAR'!B1710="","",'FUENTE NO BORRAR'!B1710)</f>
        <v/>
      </c>
      <c r="C1692" s="5" t="str">
        <f>IF('FUENTE NO BORRAR'!C1710="","",'FUENTE NO BORRAR'!C1710)</f>
        <v/>
      </c>
      <c r="D1692" s="5" t="str">
        <f>IF('FUENTE NO BORRAR'!D1710="","",'FUENTE NO BORRAR'!D1710)</f>
        <v/>
      </c>
      <c r="E1692" s="5" t="str">
        <f>IF('FUENTE NO BORRAR'!E1710="","",'FUENTE NO BORRAR'!E1710)</f>
        <v/>
      </c>
      <c r="F1692" s="6">
        <f>IF('FUENTE NO BORRAR'!F1710="","",IF('FUENTE NO BORRAR'!$A1710&lt;&gt;"Resultado total",('FUENTE NO BORRAR'!F1710),""))</f>
        <v>456332.65</v>
      </c>
      <c r="G1692" s="6">
        <f>IF('FUENTE NO BORRAR'!G1710="","",IF('FUENTE NO BORRAR'!$A1710&lt;&gt;"Resultado total",('FUENTE NO BORRAR'!G1710),""))</f>
        <v>456332.65</v>
      </c>
      <c r="H1692" s="6">
        <f>IF('FUENTE NO BORRAR'!H1710="","",IF('FUENTE NO BORRAR'!$A1710&lt;&gt;"Resultado total",('FUENTE NO BORRAR'!H1710),""))</f>
        <v>456332.65</v>
      </c>
      <c r="I1692" s="6">
        <f>IF('FUENTE NO BORRAR'!I1710="","",IF('FUENTE NO BORRAR'!$A1710&lt;&gt;"Resultado total",('FUENTE NO BORRAR'!I1710),""))</f>
        <v>0</v>
      </c>
    </row>
    <row r="1693" spans="1:9" x14ac:dyDescent="0.2">
      <c r="A1693" s="5" t="str">
        <f>IF('FUENTE NO BORRAR'!A1711="","",(IF('FUENTE NO BORRAR'!A1711&lt;&gt;"Resultado total",'FUENTE NO BORRAR'!A1711,"")))</f>
        <v/>
      </c>
      <c r="B1693" s="5" t="str">
        <f>IF('FUENTE NO BORRAR'!B1711="","",'FUENTE NO BORRAR'!B1711)</f>
        <v/>
      </c>
      <c r="C1693" s="5" t="str">
        <f>IF('FUENTE NO BORRAR'!C1711="","",'FUENTE NO BORRAR'!C1711)</f>
        <v/>
      </c>
      <c r="D1693" s="5" t="str">
        <f>IF('FUENTE NO BORRAR'!D1711="","",'FUENTE NO BORRAR'!D1711)</f>
        <v/>
      </c>
      <c r="E1693" s="5" t="str">
        <f>IF('FUENTE NO BORRAR'!E1711="","",'FUENTE NO BORRAR'!E1711)</f>
        <v/>
      </c>
      <c r="F1693" s="6">
        <f>IF('FUENTE NO BORRAR'!F1711="","",IF('FUENTE NO BORRAR'!$A1711&lt;&gt;"Resultado total",('FUENTE NO BORRAR'!F1711),""))</f>
        <v>143821.01</v>
      </c>
      <c r="G1693" s="6">
        <f>IF('FUENTE NO BORRAR'!G1711="","",IF('FUENTE NO BORRAR'!$A1711&lt;&gt;"Resultado total",('FUENTE NO BORRAR'!G1711),""))</f>
        <v>143821.01</v>
      </c>
      <c r="H1693" s="6">
        <f>IF('FUENTE NO BORRAR'!H1711="","",IF('FUENTE NO BORRAR'!$A1711&lt;&gt;"Resultado total",('FUENTE NO BORRAR'!H1711),""))</f>
        <v>143821.01</v>
      </c>
      <c r="I1693" s="6">
        <f>IF('FUENTE NO BORRAR'!I1711="","",IF('FUENTE NO BORRAR'!$A1711&lt;&gt;"Resultado total",('FUENTE NO BORRAR'!I1711),""))</f>
        <v>0</v>
      </c>
    </row>
    <row r="1694" spans="1:9" x14ac:dyDescent="0.2">
      <c r="A1694" s="5" t="str">
        <f>IF('FUENTE NO BORRAR'!A1712="","",(IF('FUENTE NO BORRAR'!A1712&lt;&gt;"Resultado total",'FUENTE NO BORRAR'!A1712,"")))</f>
        <v/>
      </c>
      <c r="B1694" s="5" t="str">
        <f>IF('FUENTE NO BORRAR'!B1712="","",'FUENTE NO BORRAR'!B1712)</f>
        <v/>
      </c>
      <c r="C1694" s="5" t="str">
        <f>IF('FUENTE NO BORRAR'!C1712="","",'FUENTE NO BORRAR'!C1712)</f>
        <v/>
      </c>
      <c r="D1694" s="5" t="str">
        <f>IF('FUENTE NO BORRAR'!D1712="","",'FUENTE NO BORRAR'!D1712)</f>
        <v/>
      </c>
      <c r="E1694" s="5" t="str">
        <f>IF('FUENTE NO BORRAR'!E1712="","",'FUENTE NO BORRAR'!E1712)</f>
        <v/>
      </c>
      <c r="F1694" s="6">
        <f>IF('FUENTE NO BORRAR'!F1712="","",IF('FUENTE NO BORRAR'!$A1712&lt;&gt;"Resultado total",('FUENTE NO BORRAR'!F1712),""))</f>
        <v>67606.47</v>
      </c>
      <c r="G1694" s="6">
        <f>IF('FUENTE NO BORRAR'!G1712="","",IF('FUENTE NO BORRAR'!$A1712&lt;&gt;"Resultado total",('FUENTE NO BORRAR'!G1712),""))</f>
        <v>67606.47</v>
      </c>
      <c r="H1694" s="6">
        <f>IF('FUENTE NO BORRAR'!H1712="","",IF('FUENTE NO BORRAR'!$A1712&lt;&gt;"Resultado total",('FUENTE NO BORRAR'!H1712),""))</f>
        <v>67606.47</v>
      </c>
      <c r="I1694" s="6">
        <f>IF('FUENTE NO BORRAR'!I1712="","",IF('FUENTE NO BORRAR'!$A1712&lt;&gt;"Resultado total",('FUENTE NO BORRAR'!I1712),""))</f>
        <v>0</v>
      </c>
    </row>
    <row r="1695" spans="1:9" x14ac:dyDescent="0.2">
      <c r="A1695" s="5" t="str">
        <f>IF('FUENTE NO BORRAR'!A1713="","",(IF('FUENTE NO BORRAR'!A1713&lt;&gt;"Resultado total",'FUENTE NO BORRAR'!A1713,"")))</f>
        <v/>
      </c>
      <c r="B1695" s="5" t="str">
        <f>IF('FUENTE NO BORRAR'!B1713="","",'FUENTE NO BORRAR'!B1713)</f>
        <v/>
      </c>
      <c r="C1695" s="5" t="str">
        <f>IF('FUENTE NO BORRAR'!C1713="","",'FUENTE NO BORRAR'!C1713)</f>
        <v/>
      </c>
      <c r="D1695" s="5" t="str">
        <f>IF('FUENTE NO BORRAR'!D1713="","",'FUENTE NO BORRAR'!D1713)</f>
        <v/>
      </c>
      <c r="E1695" s="5" t="str">
        <f>IF('FUENTE NO BORRAR'!E1713="","",'FUENTE NO BORRAR'!E1713)</f>
        <v/>
      </c>
      <c r="F1695" s="6">
        <f>IF('FUENTE NO BORRAR'!F1713="","",IF('FUENTE NO BORRAR'!$A1713&lt;&gt;"Resultado total",('FUENTE NO BORRAR'!F1713),""))</f>
        <v>264970.68</v>
      </c>
      <c r="G1695" s="6">
        <f>IF('FUENTE NO BORRAR'!G1713="","",IF('FUENTE NO BORRAR'!$A1713&lt;&gt;"Resultado total",('FUENTE NO BORRAR'!G1713),""))</f>
        <v>264970.68</v>
      </c>
      <c r="H1695" s="6">
        <f>IF('FUENTE NO BORRAR'!H1713="","",IF('FUENTE NO BORRAR'!$A1713&lt;&gt;"Resultado total",('FUENTE NO BORRAR'!H1713),""))</f>
        <v>264970.68</v>
      </c>
      <c r="I1695" s="6">
        <f>IF('FUENTE NO BORRAR'!I1713="","",IF('FUENTE NO BORRAR'!$A1713&lt;&gt;"Resultado total",('FUENTE NO BORRAR'!I1713),""))</f>
        <v>0</v>
      </c>
    </row>
    <row r="1696" spans="1:9" x14ac:dyDescent="0.2">
      <c r="A1696" s="5" t="str">
        <f>IF('FUENTE NO BORRAR'!A1714="","",(IF('FUENTE NO BORRAR'!A1714&lt;&gt;"Resultado total",'FUENTE NO BORRAR'!A1714,"")))</f>
        <v/>
      </c>
      <c r="B1696" s="5" t="str">
        <f>IF('FUENTE NO BORRAR'!B1714="","",'FUENTE NO BORRAR'!B1714)</f>
        <v/>
      </c>
      <c r="C1696" s="5" t="str">
        <f>IF('FUENTE NO BORRAR'!C1714="","",'FUENTE NO BORRAR'!C1714)</f>
        <v/>
      </c>
      <c r="D1696" s="5" t="str">
        <f>IF('FUENTE NO BORRAR'!D1714="","",'FUENTE NO BORRAR'!D1714)</f>
        <v/>
      </c>
      <c r="E1696" s="5" t="str">
        <f>IF('FUENTE NO BORRAR'!E1714="","",'FUENTE NO BORRAR'!E1714)</f>
        <v/>
      </c>
      <c r="F1696" s="6">
        <f>IF('FUENTE NO BORRAR'!F1714="","",IF('FUENTE NO BORRAR'!$A1714&lt;&gt;"Resultado total",('FUENTE NO BORRAR'!F1714),""))</f>
        <v>636048.14</v>
      </c>
      <c r="G1696" s="6">
        <f>IF('FUENTE NO BORRAR'!G1714="","",IF('FUENTE NO BORRAR'!$A1714&lt;&gt;"Resultado total",('FUENTE NO BORRAR'!G1714),""))</f>
        <v>636048.14</v>
      </c>
      <c r="H1696" s="6">
        <f>IF('FUENTE NO BORRAR'!H1714="","",IF('FUENTE NO BORRAR'!$A1714&lt;&gt;"Resultado total",('FUENTE NO BORRAR'!H1714),""))</f>
        <v>636048.14</v>
      </c>
      <c r="I1696" s="6">
        <f>IF('FUENTE NO BORRAR'!I1714="","",IF('FUENTE NO BORRAR'!$A1714&lt;&gt;"Resultado total",('FUENTE NO BORRAR'!I1714),""))</f>
        <v>0</v>
      </c>
    </row>
    <row r="1697" spans="1:9" x14ac:dyDescent="0.2">
      <c r="A1697" s="5" t="str">
        <f>IF('FUENTE NO BORRAR'!A1715="","",(IF('FUENTE NO BORRAR'!A1715&lt;&gt;"Resultado total",'FUENTE NO BORRAR'!A1715,"")))</f>
        <v/>
      </c>
      <c r="B1697" s="5" t="str">
        <f>IF('FUENTE NO BORRAR'!B1715="","",'FUENTE NO BORRAR'!B1715)</f>
        <v/>
      </c>
      <c r="C1697" s="5" t="str">
        <f>IF('FUENTE NO BORRAR'!C1715="","",'FUENTE NO BORRAR'!C1715)</f>
        <v/>
      </c>
      <c r="D1697" s="5" t="str">
        <f>IF('FUENTE NO BORRAR'!D1715="","",'FUENTE NO BORRAR'!D1715)</f>
        <v/>
      </c>
      <c r="E1697" s="5" t="str">
        <f>IF('FUENTE NO BORRAR'!E1715="","",'FUENTE NO BORRAR'!E1715)</f>
        <v/>
      </c>
      <c r="F1697" s="6">
        <f>IF('FUENTE NO BORRAR'!F1715="","",IF('FUENTE NO BORRAR'!$A1715&lt;&gt;"Resultado total",('FUENTE NO BORRAR'!F1715),""))</f>
        <v>86568.09</v>
      </c>
      <c r="G1697" s="6">
        <f>IF('FUENTE NO BORRAR'!G1715="","",IF('FUENTE NO BORRAR'!$A1715&lt;&gt;"Resultado total",('FUENTE NO BORRAR'!G1715),""))</f>
        <v>86568.09</v>
      </c>
      <c r="H1697" s="6">
        <f>IF('FUENTE NO BORRAR'!H1715="","",IF('FUENTE NO BORRAR'!$A1715&lt;&gt;"Resultado total",('FUENTE NO BORRAR'!H1715),""))</f>
        <v>84740.51</v>
      </c>
      <c r="I1697" s="6">
        <f>IF('FUENTE NO BORRAR'!I1715="","",IF('FUENTE NO BORRAR'!$A1715&lt;&gt;"Resultado total",('FUENTE NO BORRAR'!I1715),""))</f>
        <v>0</v>
      </c>
    </row>
    <row r="1698" spans="1:9" x14ac:dyDescent="0.2">
      <c r="A1698" s="5" t="str">
        <f>IF('FUENTE NO BORRAR'!A1716="","",(IF('FUENTE NO BORRAR'!A1716&lt;&gt;"Resultado total",'FUENTE NO BORRAR'!A1716,"")))</f>
        <v/>
      </c>
      <c r="B1698" s="5" t="str">
        <f>IF('FUENTE NO BORRAR'!B1716="","",'FUENTE NO BORRAR'!B1716)</f>
        <v/>
      </c>
      <c r="C1698" s="5" t="str">
        <f>IF('FUENTE NO BORRAR'!C1716="","",'FUENTE NO BORRAR'!C1716)</f>
        <v/>
      </c>
      <c r="D1698" s="5" t="str">
        <f>IF('FUENTE NO BORRAR'!D1716="","",'FUENTE NO BORRAR'!D1716)</f>
        <v/>
      </c>
      <c r="E1698" s="5" t="str">
        <f>IF('FUENTE NO BORRAR'!E1716="","",'FUENTE NO BORRAR'!E1716)</f>
        <v/>
      </c>
      <c r="F1698" s="6">
        <f>IF('FUENTE NO BORRAR'!F1716="","",IF('FUENTE NO BORRAR'!$A1716&lt;&gt;"Resultado total",('FUENTE NO BORRAR'!F1716),""))</f>
        <v>17121.810000000001</v>
      </c>
      <c r="G1698" s="6">
        <f>IF('FUENTE NO BORRAR'!G1716="","",IF('FUENTE NO BORRAR'!$A1716&lt;&gt;"Resultado total",('FUENTE NO BORRAR'!G1716),""))</f>
        <v>17121.810000000001</v>
      </c>
      <c r="H1698" s="6">
        <f>IF('FUENTE NO BORRAR'!H1716="","",IF('FUENTE NO BORRAR'!$A1716&lt;&gt;"Resultado total",('FUENTE NO BORRAR'!H1716),""))</f>
        <v>17121.810000000001</v>
      </c>
      <c r="I1698" s="6">
        <f>IF('FUENTE NO BORRAR'!I1716="","",IF('FUENTE NO BORRAR'!$A1716&lt;&gt;"Resultado total",('FUENTE NO BORRAR'!I1716),""))</f>
        <v>0</v>
      </c>
    </row>
    <row r="1699" spans="1:9" x14ac:dyDescent="0.2">
      <c r="A1699" s="5" t="str">
        <f>IF('FUENTE NO BORRAR'!A1717="","",(IF('FUENTE NO BORRAR'!A1717&lt;&gt;"Resultado total",'FUENTE NO BORRAR'!A1717,"")))</f>
        <v/>
      </c>
      <c r="B1699" s="5" t="str">
        <f>IF('FUENTE NO BORRAR'!B1717="","",'FUENTE NO BORRAR'!B1717)</f>
        <v/>
      </c>
      <c r="C1699" s="5" t="str">
        <f>IF('FUENTE NO BORRAR'!C1717="","",'FUENTE NO BORRAR'!C1717)</f>
        <v/>
      </c>
      <c r="D1699" s="5" t="str">
        <f>IF('FUENTE NO BORRAR'!D1717="","",'FUENTE NO BORRAR'!D1717)</f>
        <v/>
      </c>
      <c r="E1699" s="5" t="str">
        <f>IF('FUENTE NO BORRAR'!E1717="","",'FUENTE NO BORRAR'!E1717)</f>
        <v/>
      </c>
      <c r="F1699" s="6">
        <f>IF('FUENTE NO BORRAR'!F1717="","",IF('FUENTE NO BORRAR'!$A1717&lt;&gt;"Resultado total",('FUENTE NO BORRAR'!F1717),""))</f>
        <v>90290.73</v>
      </c>
      <c r="G1699" s="6">
        <f>IF('FUENTE NO BORRAR'!G1717="","",IF('FUENTE NO BORRAR'!$A1717&lt;&gt;"Resultado total",('FUENTE NO BORRAR'!G1717),""))</f>
        <v>90290.73</v>
      </c>
      <c r="H1699" s="6">
        <f>IF('FUENTE NO BORRAR'!H1717="","",IF('FUENTE NO BORRAR'!$A1717&lt;&gt;"Resultado total",('FUENTE NO BORRAR'!H1717),""))</f>
        <v>90290.71</v>
      </c>
      <c r="I1699" s="6">
        <f>IF('FUENTE NO BORRAR'!I1717="","",IF('FUENTE NO BORRAR'!$A1717&lt;&gt;"Resultado total",('FUENTE NO BORRAR'!I1717),""))</f>
        <v>0</v>
      </c>
    </row>
    <row r="1700" spans="1:9" x14ac:dyDescent="0.2">
      <c r="A1700" s="5" t="str">
        <f>IF('FUENTE NO BORRAR'!A1718="","",(IF('FUENTE NO BORRAR'!A1718&lt;&gt;"Resultado total",'FUENTE NO BORRAR'!A1718,"")))</f>
        <v/>
      </c>
      <c r="B1700" s="5" t="str">
        <f>IF('FUENTE NO BORRAR'!B1718="","",'FUENTE NO BORRAR'!B1718)</f>
        <v/>
      </c>
      <c r="C1700" s="5" t="str">
        <f>IF('FUENTE NO BORRAR'!C1718="","",'FUENTE NO BORRAR'!C1718)</f>
        <v/>
      </c>
      <c r="D1700" s="5" t="str">
        <f>IF('FUENTE NO BORRAR'!D1718="","",'FUENTE NO BORRAR'!D1718)</f>
        <v/>
      </c>
      <c r="E1700" s="5" t="str">
        <f>IF('FUENTE NO BORRAR'!E1718="","",'FUENTE NO BORRAR'!E1718)</f>
        <v/>
      </c>
      <c r="F1700" s="6">
        <f>IF('FUENTE NO BORRAR'!F1718="","",IF('FUENTE NO BORRAR'!$A1718&lt;&gt;"Resultado total",('FUENTE NO BORRAR'!F1718),""))</f>
        <v>1199</v>
      </c>
      <c r="G1700" s="6">
        <f>IF('FUENTE NO BORRAR'!G1718="","",IF('FUENTE NO BORRAR'!$A1718&lt;&gt;"Resultado total",('FUENTE NO BORRAR'!G1718),""))</f>
        <v>1199</v>
      </c>
      <c r="H1700" s="6">
        <f>IF('FUENTE NO BORRAR'!H1718="","",IF('FUENTE NO BORRAR'!$A1718&lt;&gt;"Resultado total",('FUENTE NO BORRAR'!H1718),""))</f>
        <v>1198.93</v>
      </c>
      <c r="I1700" s="6">
        <f>IF('FUENTE NO BORRAR'!I1718="","",IF('FUENTE NO BORRAR'!$A1718&lt;&gt;"Resultado total",('FUENTE NO BORRAR'!I1718),""))</f>
        <v>0</v>
      </c>
    </row>
    <row r="1701" spans="1:9" x14ac:dyDescent="0.2">
      <c r="A1701" s="5" t="str">
        <f>IF('FUENTE NO BORRAR'!A1719="","",(IF('FUENTE NO BORRAR'!A1719&lt;&gt;"Resultado total",'FUENTE NO BORRAR'!A1719,"")))</f>
        <v/>
      </c>
      <c r="B1701" s="5" t="str">
        <f>IF('FUENTE NO BORRAR'!B1719="","",'FUENTE NO BORRAR'!B1719)</f>
        <v/>
      </c>
      <c r="C1701" s="5" t="str">
        <f>IF('FUENTE NO BORRAR'!C1719="","",'FUENTE NO BORRAR'!C1719)</f>
        <v/>
      </c>
      <c r="D1701" s="5" t="str">
        <f>IF('FUENTE NO BORRAR'!D1719="","",'FUENTE NO BORRAR'!D1719)</f>
        <v/>
      </c>
      <c r="E1701" s="5" t="str">
        <f>IF('FUENTE NO BORRAR'!E1719="","",'FUENTE NO BORRAR'!E1719)</f>
        <v/>
      </c>
      <c r="F1701" s="6">
        <f>IF('FUENTE NO BORRAR'!F1719="","",IF('FUENTE NO BORRAR'!$A1719&lt;&gt;"Resultado total",('FUENTE NO BORRAR'!F1719),""))</f>
        <v>0</v>
      </c>
      <c r="G1701" s="6">
        <f>IF('FUENTE NO BORRAR'!G1719="","",IF('FUENTE NO BORRAR'!$A1719&lt;&gt;"Resultado total",('FUENTE NO BORRAR'!G1719),""))</f>
        <v>0</v>
      </c>
      <c r="H1701" s="6">
        <f>IF('FUENTE NO BORRAR'!H1719="","",IF('FUENTE NO BORRAR'!$A1719&lt;&gt;"Resultado total",('FUENTE NO BORRAR'!H1719),""))</f>
        <v>0</v>
      </c>
      <c r="I1701" s="6">
        <f>IF('FUENTE NO BORRAR'!I1719="","",IF('FUENTE NO BORRAR'!$A1719&lt;&gt;"Resultado total",('FUENTE NO BORRAR'!I1719),""))</f>
        <v>0</v>
      </c>
    </row>
    <row r="1702" spans="1:9" x14ac:dyDescent="0.2">
      <c r="A1702" s="5" t="str">
        <f>IF('FUENTE NO BORRAR'!A1720="","",(IF('FUENTE NO BORRAR'!A1720&lt;&gt;"Resultado total",'FUENTE NO BORRAR'!A1720,"")))</f>
        <v/>
      </c>
      <c r="B1702" s="5" t="str">
        <f>IF('FUENTE NO BORRAR'!B1720="","",'FUENTE NO BORRAR'!B1720)</f>
        <v/>
      </c>
      <c r="C1702" s="5" t="str">
        <f>IF('FUENTE NO BORRAR'!C1720="","",'FUENTE NO BORRAR'!C1720)</f>
        <v/>
      </c>
      <c r="D1702" s="5" t="str">
        <f>IF('FUENTE NO BORRAR'!D1720="","",'FUENTE NO BORRAR'!D1720)</f>
        <v/>
      </c>
      <c r="E1702" s="5" t="str">
        <f>IF('FUENTE NO BORRAR'!E1720="","",'FUENTE NO BORRAR'!E1720)</f>
        <v/>
      </c>
      <c r="F1702" s="6">
        <f>IF('FUENTE NO BORRAR'!F1720="","",IF('FUENTE NO BORRAR'!$A1720&lt;&gt;"Resultado total",('FUENTE NO BORRAR'!F1720),""))</f>
        <v>108723.84</v>
      </c>
      <c r="G1702" s="6">
        <f>IF('FUENTE NO BORRAR'!G1720="","",IF('FUENTE NO BORRAR'!$A1720&lt;&gt;"Resultado total",('FUENTE NO BORRAR'!G1720),""))</f>
        <v>108723.84</v>
      </c>
      <c r="H1702" s="6">
        <f>IF('FUENTE NO BORRAR'!H1720="","",IF('FUENTE NO BORRAR'!$A1720&lt;&gt;"Resultado total",('FUENTE NO BORRAR'!H1720),""))</f>
        <v>108723.84</v>
      </c>
      <c r="I1702" s="6">
        <f>IF('FUENTE NO BORRAR'!I1720="","",IF('FUENTE NO BORRAR'!$A1720&lt;&gt;"Resultado total",('FUENTE NO BORRAR'!I1720),""))</f>
        <v>0</v>
      </c>
    </row>
    <row r="1703" spans="1:9" x14ac:dyDescent="0.2">
      <c r="A1703" s="5" t="str">
        <f>IF('FUENTE NO BORRAR'!A1721="","",(IF('FUENTE NO BORRAR'!A1721&lt;&gt;"Resultado total",'FUENTE NO BORRAR'!A1721,"")))</f>
        <v/>
      </c>
      <c r="B1703" s="5" t="str">
        <f>IF('FUENTE NO BORRAR'!B1721="","",'FUENTE NO BORRAR'!B1721)</f>
        <v/>
      </c>
      <c r="C1703" s="5" t="str">
        <f>IF('FUENTE NO BORRAR'!C1721="","",'FUENTE NO BORRAR'!C1721)</f>
        <v/>
      </c>
      <c r="D1703" s="5" t="str">
        <f>IF('FUENTE NO BORRAR'!D1721="","",'FUENTE NO BORRAR'!D1721)</f>
        <v/>
      </c>
      <c r="E1703" s="5" t="str">
        <f>IF('FUENTE NO BORRAR'!E1721="","",'FUENTE NO BORRAR'!E1721)</f>
        <v/>
      </c>
      <c r="F1703" s="6">
        <f>IF('FUENTE NO BORRAR'!F1721="","",IF('FUENTE NO BORRAR'!$A1721&lt;&gt;"Resultado total",('FUENTE NO BORRAR'!F1721),""))</f>
        <v>45510.5</v>
      </c>
      <c r="G1703" s="6">
        <f>IF('FUENTE NO BORRAR'!G1721="","",IF('FUENTE NO BORRAR'!$A1721&lt;&gt;"Resultado total",('FUENTE NO BORRAR'!G1721),""))</f>
        <v>45510.5</v>
      </c>
      <c r="H1703" s="6">
        <f>IF('FUENTE NO BORRAR'!H1721="","",IF('FUENTE NO BORRAR'!$A1721&lt;&gt;"Resultado total",('FUENTE NO BORRAR'!H1721),""))</f>
        <v>45510.48</v>
      </c>
      <c r="I1703" s="6">
        <f>IF('FUENTE NO BORRAR'!I1721="","",IF('FUENTE NO BORRAR'!$A1721&lt;&gt;"Resultado total",('FUENTE NO BORRAR'!I1721),""))</f>
        <v>0</v>
      </c>
    </row>
    <row r="1704" spans="1:9" x14ac:dyDescent="0.2">
      <c r="A1704" s="5" t="str">
        <f>IF('FUENTE NO BORRAR'!A1722="","",(IF('FUENTE NO BORRAR'!A1722&lt;&gt;"Resultado total",'FUENTE NO BORRAR'!A1722,"")))</f>
        <v/>
      </c>
      <c r="B1704" s="5" t="str">
        <f>IF('FUENTE NO BORRAR'!B1722="","",'FUENTE NO BORRAR'!B1722)</f>
        <v/>
      </c>
      <c r="C1704" s="5" t="str">
        <f>IF('FUENTE NO BORRAR'!C1722="","",'FUENTE NO BORRAR'!C1722)</f>
        <v/>
      </c>
      <c r="D1704" s="5" t="str">
        <f>IF('FUENTE NO BORRAR'!D1722="","",'FUENTE NO BORRAR'!D1722)</f>
        <v/>
      </c>
      <c r="E1704" s="5" t="str">
        <f>IF('FUENTE NO BORRAR'!E1722="","",'FUENTE NO BORRAR'!E1722)</f>
        <v/>
      </c>
      <c r="F1704" s="6">
        <f>IF('FUENTE NO BORRAR'!F1722="","",IF('FUENTE NO BORRAR'!$A1722&lt;&gt;"Resultado total",('FUENTE NO BORRAR'!F1722),""))</f>
        <v>25451.98</v>
      </c>
      <c r="G1704" s="6">
        <f>IF('FUENTE NO BORRAR'!G1722="","",IF('FUENTE NO BORRAR'!$A1722&lt;&gt;"Resultado total",('FUENTE NO BORRAR'!G1722),""))</f>
        <v>25451.98</v>
      </c>
      <c r="H1704" s="6">
        <f>IF('FUENTE NO BORRAR'!H1722="","",IF('FUENTE NO BORRAR'!$A1722&lt;&gt;"Resultado total",('FUENTE NO BORRAR'!H1722),""))</f>
        <v>25451.94</v>
      </c>
      <c r="I1704" s="6">
        <f>IF('FUENTE NO BORRAR'!I1722="","",IF('FUENTE NO BORRAR'!$A1722&lt;&gt;"Resultado total",('FUENTE NO BORRAR'!I1722),""))</f>
        <v>0</v>
      </c>
    </row>
    <row r="1705" spans="1:9" x14ac:dyDescent="0.2">
      <c r="A1705" s="5" t="str">
        <f>IF('FUENTE NO BORRAR'!A1723="","",(IF('FUENTE NO BORRAR'!A1723&lt;&gt;"Resultado total",'FUENTE NO BORRAR'!A1723,"")))</f>
        <v/>
      </c>
      <c r="B1705" s="5" t="str">
        <f>IF('FUENTE NO BORRAR'!B1723="","",'FUENTE NO BORRAR'!B1723)</f>
        <v/>
      </c>
      <c r="C1705" s="5" t="str">
        <f>IF('FUENTE NO BORRAR'!C1723="","",'FUENTE NO BORRAR'!C1723)</f>
        <v/>
      </c>
      <c r="D1705" s="5" t="str">
        <f>IF('FUENTE NO BORRAR'!D1723="","",'FUENTE NO BORRAR'!D1723)</f>
        <v/>
      </c>
      <c r="E1705" s="5" t="str">
        <f>IF('FUENTE NO BORRAR'!E1723="","",'FUENTE NO BORRAR'!E1723)</f>
        <v/>
      </c>
      <c r="F1705" s="6">
        <f>IF('FUENTE NO BORRAR'!F1723="","",IF('FUENTE NO BORRAR'!$A1723&lt;&gt;"Resultado total",('FUENTE NO BORRAR'!F1723),""))</f>
        <v>646.91</v>
      </c>
      <c r="G1705" s="6">
        <f>IF('FUENTE NO BORRAR'!G1723="","",IF('FUENTE NO BORRAR'!$A1723&lt;&gt;"Resultado total",('FUENTE NO BORRAR'!G1723),""))</f>
        <v>646.91</v>
      </c>
      <c r="H1705" s="6">
        <f>IF('FUENTE NO BORRAR'!H1723="","",IF('FUENTE NO BORRAR'!$A1723&lt;&gt;"Resultado total",('FUENTE NO BORRAR'!H1723),""))</f>
        <v>646.91</v>
      </c>
      <c r="I1705" s="6">
        <f>IF('FUENTE NO BORRAR'!I1723="","",IF('FUENTE NO BORRAR'!$A1723&lt;&gt;"Resultado total",('FUENTE NO BORRAR'!I1723),""))</f>
        <v>0</v>
      </c>
    </row>
    <row r="1706" spans="1:9" x14ac:dyDescent="0.2">
      <c r="A1706" s="5" t="str">
        <f>IF('FUENTE NO BORRAR'!A1724="","",(IF('FUENTE NO BORRAR'!A1724&lt;&gt;"Resultado total",'FUENTE NO BORRAR'!A1724,"")))</f>
        <v/>
      </c>
      <c r="B1706" s="5" t="str">
        <f>IF('FUENTE NO BORRAR'!B1724="","",'FUENTE NO BORRAR'!B1724)</f>
        <v/>
      </c>
      <c r="C1706" s="5" t="str">
        <f>IF('FUENTE NO BORRAR'!C1724="","",'FUENTE NO BORRAR'!C1724)</f>
        <v/>
      </c>
      <c r="D1706" s="5" t="str">
        <f>IF('FUENTE NO BORRAR'!D1724="","",'FUENTE NO BORRAR'!D1724)</f>
        <v/>
      </c>
      <c r="E1706" s="5" t="str">
        <f>IF('FUENTE NO BORRAR'!E1724="","",'FUENTE NO BORRAR'!E1724)</f>
        <v/>
      </c>
      <c r="F1706" s="6">
        <f>IF('FUENTE NO BORRAR'!F1724="","",IF('FUENTE NO BORRAR'!$A1724&lt;&gt;"Resultado total",('FUENTE NO BORRAR'!F1724),""))</f>
        <v>306.08999999999997</v>
      </c>
      <c r="G1706" s="6">
        <f>IF('FUENTE NO BORRAR'!G1724="","",IF('FUENTE NO BORRAR'!$A1724&lt;&gt;"Resultado total",('FUENTE NO BORRAR'!G1724),""))</f>
        <v>306.08999999999997</v>
      </c>
      <c r="H1706" s="6">
        <f>IF('FUENTE NO BORRAR'!H1724="","",IF('FUENTE NO BORRAR'!$A1724&lt;&gt;"Resultado total",('FUENTE NO BORRAR'!H1724),""))</f>
        <v>306.08999999999997</v>
      </c>
      <c r="I1706" s="6">
        <f>IF('FUENTE NO BORRAR'!I1724="","",IF('FUENTE NO BORRAR'!$A1724&lt;&gt;"Resultado total",('FUENTE NO BORRAR'!I1724),""))</f>
        <v>0</v>
      </c>
    </row>
    <row r="1707" spans="1:9" x14ac:dyDescent="0.2">
      <c r="A1707" s="5" t="str">
        <f>IF('FUENTE NO BORRAR'!A1725="","",(IF('FUENTE NO BORRAR'!A1725&lt;&gt;"Resultado total",'FUENTE NO BORRAR'!A1725,"")))</f>
        <v/>
      </c>
      <c r="B1707" s="5" t="str">
        <f>IF('FUENTE NO BORRAR'!B1725="","",'FUENTE NO BORRAR'!B1725)</f>
        <v/>
      </c>
      <c r="C1707" s="5" t="str">
        <f>IF('FUENTE NO BORRAR'!C1725="","",'FUENTE NO BORRAR'!C1725)</f>
        <v/>
      </c>
      <c r="D1707" s="5" t="str">
        <f>IF('FUENTE NO BORRAR'!D1725="","",'FUENTE NO BORRAR'!D1725)</f>
        <v/>
      </c>
      <c r="E1707" s="5" t="str">
        <f>IF('FUENTE NO BORRAR'!E1725="","",'FUENTE NO BORRAR'!E1725)</f>
        <v/>
      </c>
      <c r="F1707" s="6">
        <f>IF('FUENTE NO BORRAR'!F1725="","",IF('FUENTE NO BORRAR'!$A1725&lt;&gt;"Resultado total",('FUENTE NO BORRAR'!F1725),""))</f>
        <v>91124.88</v>
      </c>
      <c r="G1707" s="6">
        <f>IF('FUENTE NO BORRAR'!G1725="","",IF('FUENTE NO BORRAR'!$A1725&lt;&gt;"Resultado total",('FUENTE NO BORRAR'!G1725),""))</f>
        <v>91124.88</v>
      </c>
      <c r="H1707" s="6">
        <f>IF('FUENTE NO BORRAR'!H1725="","",IF('FUENTE NO BORRAR'!$A1725&lt;&gt;"Resultado total",('FUENTE NO BORRAR'!H1725),""))</f>
        <v>91124.88</v>
      </c>
      <c r="I1707" s="6">
        <f>IF('FUENTE NO BORRAR'!I1725="","",IF('FUENTE NO BORRAR'!$A1725&lt;&gt;"Resultado total",('FUENTE NO BORRAR'!I1725),""))</f>
        <v>0</v>
      </c>
    </row>
    <row r="1708" spans="1:9" x14ac:dyDescent="0.2">
      <c r="A1708" s="5" t="str">
        <f>IF('FUENTE NO BORRAR'!A1726="","",(IF('FUENTE NO BORRAR'!A1726&lt;&gt;"Resultado total",'FUENTE NO BORRAR'!A1726,"")))</f>
        <v/>
      </c>
      <c r="B1708" s="5" t="str">
        <f>IF('FUENTE NO BORRAR'!B1726="","",'FUENTE NO BORRAR'!B1726)</f>
        <v/>
      </c>
      <c r="C1708" s="5" t="str">
        <f>IF('FUENTE NO BORRAR'!C1726="","",'FUENTE NO BORRAR'!C1726)</f>
        <v/>
      </c>
      <c r="D1708" s="5" t="str">
        <f>IF('FUENTE NO BORRAR'!D1726="","",'FUENTE NO BORRAR'!D1726)</f>
        <v/>
      </c>
      <c r="E1708" s="5" t="str">
        <f>IF('FUENTE NO BORRAR'!E1726="","",'FUENTE NO BORRAR'!E1726)</f>
        <v/>
      </c>
      <c r="F1708" s="6">
        <f>IF('FUENTE NO BORRAR'!F1726="","",IF('FUENTE NO BORRAR'!$A1726&lt;&gt;"Resultado total",('FUENTE NO BORRAR'!F1726),""))</f>
        <v>0.39</v>
      </c>
      <c r="G1708" s="6">
        <f>IF('FUENTE NO BORRAR'!G1726="","",IF('FUENTE NO BORRAR'!$A1726&lt;&gt;"Resultado total",('FUENTE NO BORRAR'!G1726),""))</f>
        <v>0.39</v>
      </c>
      <c r="H1708" s="6">
        <f>IF('FUENTE NO BORRAR'!H1726="","",IF('FUENTE NO BORRAR'!$A1726&lt;&gt;"Resultado total",('FUENTE NO BORRAR'!H1726),""))</f>
        <v>0.39</v>
      </c>
      <c r="I1708" s="6">
        <f>IF('FUENTE NO BORRAR'!I1726="","",IF('FUENTE NO BORRAR'!$A1726&lt;&gt;"Resultado total",('FUENTE NO BORRAR'!I1726),""))</f>
        <v>0</v>
      </c>
    </row>
    <row r="1709" spans="1:9" x14ac:dyDescent="0.2">
      <c r="A1709" s="5" t="str">
        <f>IF('FUENTE NO BORRAR'!A1727="","",(IF('FUENTE NO BORRAR'!A1727&lt;&gt;"Resultado total",'FUENTE NO BORRAR'!A1727,"")))</f>
        <v/>
      </c>
      <c r="B1709" s="5" t="str">
        <f>IF('FUENTE NO BORRAR'!B1727="","",'FUENTE NO BORRAR'!B1727)</f>
        <v/>
      </c>
      <c r="C1709" s="5" t="str">
        <f>IF('FUENTE NO BORRAR'!C1727="","",'FUENTE NO BORRAR'!C1727)</f>
        <v/>
      </c>
      <c r="D1709" s="5" t="str">
        <f>IF('FUENTE NO BORRAR'!D1727="","",'FUENTE NO BORRAR'!D1727)</f>
        <v/>
      </c>
      <c r="E1709" s="5" t="str">
        <f>IF('FUENTE NO BORRAR'!E1727="","",'FUENTE NO BORRAR'!E1727)</f>
        <v/>
      </c>
      <c r="F1709" s="6">
        <f>IF('FUENTE NO BORRAR'!F1727="","",IF('FUENTE NO BORRAR'!$A1727&lt;&gt;"Resultado total",('FUENTE NO BORRAR'!F1727),""))</f>
        <v>3267.86</v>
      </c>
      <c r="G1709" s="6">
        <f>IF('FUENTE NO BORRAR'!G1727="","",IF('FUENTE NO BORRAR'!$A1727&lt;&gt;"Resultado total",('FUENTE NO BORRAR'!G1727),""))</f>
        <v>3267.86</v>
      </c>
      <c r="H1709" s="6">
        <f>IF('FUENTE NO BORRAR'!H1727="","",IF('FUENTE NO BORRAR'!$A1727&lt;&gt;"Resultado total",('FUENTE NO BORRAR'!H1727),""))</f>
        <v>3267.86</v>
      </c>
      <c r="I1709" s="6">
        <f>IF('FUENTE NO BORRAR'!I1727="","",IF('FUENTE NO BORRAR'!$A1727&lt;&gt;"Resultado total",('FUENTE NO BORRAR'!I1727),""))</f>
        <v>0</v>
      </c>
    </row>
    <row r="1710" spans="1:9" x14ac:dyDescent="0.2">
      <c r="A1710" s="5" t="str">
        <f>IF('FUENTE NO BORRAR'!A1728="","",(IF('FUENTE NO BORRAR'!A1728&lt;&gt;"Resultado total",'FUENTE NO BORRAR'!A1728,"")))</f>
        <v/>
      </c>
      <c r="B1710" s="5" t="str">
        <f>IF('FUENTE NO BORRAR'!B1728="","",'FUENTE NO BORRAR'!B1728)</f>
        <v/>
      </c>
      <c r="C1710" s="5" t="str">
        <f>IF('FUENTE NO BORRAR'!C1728="","",'FUENTE NO BORRAR'!C1728)</f>
        <v/>
      </c>
      <c r="D1710" s="5" t="str">
        <f>IF('FUENTE NO BORRAR'!D1728="","",'FUENTE NO BORRAR'!D1728)</f>
        <v/>
      </c>
      <c r="E1710" s="5" t="str">
        <f>IF('FUENTE NO BORRAR'!E1728="","",'FUENTE NO BORRAR'!E1728)</f>
        <v/>
      </c>
      <c r="F1710" s="6">
        <f>IF('FUENTE NO BORRAR'!F1728="","",IF('FUENTE NO BORRAR'!$A1728&lt;&gt;"Resultado total",('FUENTE NO BORRAR'!F1728),""))</f>
        <v>24315.759999999998</v>
      </c>
      <c r="G1710" s="6">
        <f>IF('FUENTE NO BORRAR'!G1728="","",IF('FUENTE NO BORRAR'!$A1728&lt;&gt;"Resultado total",('FUENTE NO BORRAR'!G1728),""))</f>
        <v>24315.759999999998</v>
      </c>
      <c r="H1710" s="6">
        <f>IF('FUENTE NO BORRAR'!H1728="","",IF('FUENTE NO BORRAR'!$A1728&lt;&gt;"Resultado total",('FUENTE NO BORRAR'!H1728),""))</f>
        <v>24315.759999999998</v>
      </c>
      <c r="I1710" s="6">
        <f>IF('FUENTE NO BORRAR'!I1728="","",IF('FUENTE NO BORRAR'!$A1728&lt;&gt;"Resultado total",('FUENTE NO BORRAR'!I1728),""))</f>
        <v>0</v>
      </c>
    </row>
    <row r="1711" spans="1:9" x14ac:dyDescent="0.2">
      <c r="A1711" s="5" t="str">
        <f>IF('FUENTE NO BORRAR'!A1729="","",(IF('FUENTE NO BORRAR'!A1729&lt;&gt;"Resultado total",'FUENTE NO BORRAR'!A1729,"")))</f>
        <v/>
      </c>
      <c r="B1711" s="5" t="str">
        <f>IF('FUENTE NO BORRAR'!B1729="","",'FUENTE NO BORRAR'!B1729)</f>
        <v/>
      </c>
      <c r="C1711" s="5" t="str">
        <f>IF('FUENTE NO BORRAR'!C1729="","",'FUENTE NO BORRAR'!C1729)</f>
        <v/>
      </c>
      <c r="D1711" s="5" t="str">
        <f>IF('FUENTE NO BORRAR'!D1729="","",'FUENTE NO BORRAR'!D1729)</f>
        <v/>
      </c>
      <c r="E1711" s="5" t="str">
        <f>IF('FUENTE NO BORRAR'!E1729="","",'FUENTE NO BORRAR'!E1729)</f>
        <v/>
      </c>
      <c r="F1711" s="6">
        <f>IF('FUENTE NO BORRAR'!F1729="","",IF('FUENTE NO BORRAR'!$A1729&lt;&gt;"Resultado total",('FUENTE NO BORRAR'!F1729),""))</f>
        <v>193</v>
      </c>
      <c r="G1711" s="6">
        <f>IF('FUENTE NO BORRAR'!G1729="","",IF('FUENTE NO BORRAR'!$A1729&lt;&gt;"Resultado total",('FUENTE NO BORRAR'!G1729),""))</f>
        <v>193</v>
      </c>
      <c r="H1711" s="6">
        <f>IF('FUENTE NO BORRAR'!H1729="","",IF('FUENTE NO BORRAR'!$A1729&lt;&gt;"Resultado total",('FUENTE NO BORRAR'!H1729),""))</f>
        <v>193</v>
      </c>
      <c r="I1711" s="6">
        <f>IF('FUENTE NO BORRAR'!I1729="","",IF('FUENTE NO BORRAR'!$A1729&lt;&gt;"Resultado total",('FUENTE NO BORRAR'!I1729),""))</f>
        <v>0</v>
      </c>
    </row>
    <row r="1712" spans="1:9" x14ac:dyDescent="0.2">
      <c r="A1712" s="5" t="str">
        <f>IF('FUENTE NO BORRAR'!A1730="","",(IF('FUENTE NO BORRAR'!A1730&lt;&gt;"Resultado total",'FUENTE NO BORRAR'!A1730,"")))</f>
        <v/>
      </c>
      <c r="B1712" s="5" t="str">
        <f>IF('FUENTE NO BORRAR'!B1730="","",'FUENTE NO BORRAR'!B1730)</f>
        <v/>
      </c>
      <c r="C1712" s="5" t="str">
        <f>IF('FUENTE NO BORRAR'!C1730="","",'FUENTE NO BORRAR'!C1730)</f>
        <v/>
      </c>
      <c r="D1712" s="5" t="str">
        <f>IF('FUENTE NO BORRAR'!D1730="","",'FUENTE NO BORRAR'!D1730)</f>
        <v/>
      </c>
      <c r="E1712" s="5" t="str">
        <f>IF('FUENTE NO BORRAR'!E1730="","",'FUENTE NO BORRAR'!E1730)</f>
        <v/>
      </c>
      <c r="F1712" s="6">
        <f>IF('FUENTE NO BORRAR'!F1730="","",IF('FUENTE NO BORRAR'!$A1730&lt;&gt;"Resultado total",('FUENTE NO BORRAR'!F1730),""))</f>
        <v>487200</v>
      </c>
      <c r="G1712" s="6">
        <f>IF('FUENTE NO BORRAR'!G1730="","",IF('FUENTE NO BORRAR'!$A1730&lt;&gt;"Resultado total",('FUENTE NO BORRAR'!G1730),""))</f>
        <v>487200</v>
      </c>
      <c r="H1712" s="6">
        <f>IF('FUENTE NO BORRAR'!H1730="","",IF('FUENTE NO BORRAR'!$A1730&lt;&gt;"Resultado total",('FUENTE NO BORRAR'!H1730),""))</f>
        <v>487200</v>
      </c>
      <c r="I1712" s="6">
        <f>IF('FUENTE NO BORRAR'!I1730="","",IF('FUENTE NO BORRAR'!$A1730&lt;&gt;"Resultado total",('FUENTE NO BORRAR'!I1730),""))</f>
        <v>0</v>
      </c>
    </row>
    <row r="1713" spans="1:9" x14ac:dyDescent="0.2">
      <c r="A1713" s="5" t="str">
        <f>IF('FUENTE NO BORRAR'!A1731="","",(IF('FUENTE NO BORRAR'!A1731&lt;&gt;"Resultado total",'FUENTE NO BORRAR'!A1731,"")))</f>
        <v/>
      </c>
      <c r="B1713" s="5" t="str">
        <f>IF('FUENTE NO BORRAR'!B1731="","",'FUENTE NO BORRAR'!B1731)</f>
        <v/>
      </c>
      <c r="C1713" s="5" t="str">
        <f>IF('FUENTE NO BORRAR'!C1731="","",'FUENTE NO BORRAR'!C1731)</f>
        <v/>
      </c>
      <c r="D1713" s="5" t="str">
        <f>IF('FUENTE NO BORRAR'!D1731="","",'FUENTE NO BORRAR'!D1731)</f>
        <v/>
      </c>
      <c r="E1713" s="5" t="str">
        <f>IF('FUENTE NO BORRAR'!E1731="","",'FUENTE NO BORRAR'!E1731)</f>
        <v/>
      </c>
      <c r="F1713" s="6">
        <f>IF('FUENTE NO BORRAR'!F1731="","",IF('FUENTE NO BORRAR'!$A1731&lt;&gt;"Resultado total",('FUENTE NO BORRAR'!F1731),""))</f>
        <v>2772.4</v>
      </c>
      <c r="G1713" s="6">
        <f>IF('FUENTE NO BORRAR'!G1731="","",IF('FUENTE NO BORRAR'!$A1731&lt;&gt;"Resultado total",('FUENTE NO BORRAR'!G1731),""))</f>
        <v>2772.4</v>
      </c>
      <c r="H1713" s="6">
        <f>IF('FUENTE NO BORRAR'!H1731="","",IF('FUENTE NO BORRAR'!$A1731&lt;&gt;"Resultado total",('FUENTE NO BORRAR'!H1731),""))</f>
        <v>2772.4</v>
      </c>
      <c r="I1713" s="6">
        <f>IF('FUENTE NO BORRAR'!I1731="","",IF('FUENTE NO BORRAR'!$A1731&lt;&gt;"Resultado total",('FUENTE NO BORRAR'!I1731),""))</f>
        <v>0</v>
      </c>
    </row>
    <row r="1714" spans="1:9" x14ac:dyDescent="0.2">
      <c r="A1714" s="5" t="str">
        <f>IF('FUENTE NO BORRAR'!A1732="","",(IF('FUENTE NO BORRAR'!A1732&lt;&gt;"Resultado total",'FUENTE NO BORRAR'!A1732,"")))</f>
        <v/>
      </c>
      <c r="B1714" s="5" t="str">
        <f>IF('FUENTE NO BORRAR'!B1732="","",'FUENTE NO BORRAR'!B1732)</f>
        <v/>
      </c>
      <c r="C1714" s="5" t="str">
        <f>IF('FUENTE NO BORRAR'!C1732="","",'FUENTE NO BORRAR'!C1732)</f>
        <v/>
      </c>
      <c r="D1714" s="5" t="str">
        <f>IF('FUENTE NO BORRAR'!D1732="","",'FUENTE NO BORRAR'!D1732)</f>
        <v/>
      </c>
      <c r="E1714" s="5" t="str">
        <f>IF('FUENTE NO BORRAR'!E1732="","",'FUENTE NO BORRAR'!E1732)</f>
        <v/>
      </c>
      <c r="F1714" s="6">
        <f>IF('FUENTE NO BORRAR'!F1732="","",IF('FUENTE NO BORRAR'!$A1732&lt;&gt;"Resultado total",('FUENTE NO BORRAR'!F1732),""))</f>
        <v>19100</v>
      </c>
      <c r="G1714" s="6">
        <f>IF('FUENTE NO BORRAR'!G1732="","",IF('FUENTE NO BORRAR'!$A1732&lt;&gt;"Resultado total",('FUENTE NO BORRAR'!G1732),""))</f>
        <v>19100</v>
      </c>
      <c r="H1714" s="6">
        <f>IF('FUENTE NO BORRAR'!H1732="","",IF('FUENTE NO BORRAR'!$A1732&lt;&gt;"Resultado total",('FUENTE NO BORRAR'!H1732),""))</f>
        <v>19100</v>
      </c>
      <c r="I1714" s="6">
        <f>IF('FUENTE NO BORRAR'!I1732="","",IF('FUENTE NO BORRAR'!$A1732&lt;&gt;"Resultado total",('FUENTE NO BORRAR'!I1732),""))</f>
        <v>0</v>
      </c>
    </row>
    <row r="1715" spans="1:9" x14ac:dyDescent="0.2">
      <c r="A1715" s="5" t="str">
        <f>IF('FUENTE NO BORRAR'!A1733="","",(IF('FUENTE NO BORRAR'!A1733&lt;&gt;"Resultado total",'FUENTE NO BORRAR'!A1733,"")))</f>
        <v/>
      </c>
      <c r="B1715" s="5" t="str">
        <f>IF('FUENTE NO BORRAR'!B1733="","",'FUENTE NO BORRAR'!B1733)</f>
        <v/>
      </c>
      <c r="C1715" s="5" t="str">
        <f>IF('FUENTE NO BORRAR'!C1733="","",'FUENTE NO BORRAR'!C1733)</f>
        <v/>
      </c>
      <c r="D1715" s="5" t="str">
        <f>IF('FUENTE NO BORRAR'!D1733="","",'FUENTE NO BORRAR'!D1733)</f>
        <v/>
      </c>
      <c r="E1715" s="5" t="str">
        <f>IF('FUENTE NO BORRAR'!E1733="","",'FUENTE NO BORRAR'!E1733)</f>
        <v/>
      </c>
      <c r="F1715" s="6">
        <f>IF('FUENTE NO BORRAR'!F1733="","",IF('FUENTE NO BORRAR'!$A1733&lt;&gt;"Resultado total",('FUENTE NO BORRAR'!F1733),""))</f>
        <v>99760</v>
      </c>
      <c r="G1715" s="6">
        <f>IF('FUENTE NO BORRAR'!G1733="","",IF('FUENTE NO BORRAR'!$A1733&lt;&gt;"Resultado total",('FUENTE NO BORRAR'!G1733),""))</f>
        <v>99760</v>
      </c>
      <c r="H1715" s="6">
        <f>IF('FUENTE NO BORRAR'!H1733="","",IF('FUENTE NO BORRAR'!$A1733&lt;&gt;"Resultado total",('FUENTE NO BORRAR'!H1733),""))</f>
        <v>99760</v>
      </c>
      <c r="I1715" s="6">
        <f>IF('FUENTE NO BORRAR'!I1733="","",IF('FUENTE NO BORRAR'!$A1733&lt;&gt;"Resultado total",('FUENTE NO BORRAR'!I1733),""))</f>
        <v>0</v>
      </c>
    </row>
    <row r="1716" spans="1:9" x14ac:dyDescent="0.2">
      <c r="A1716" s="5" t="str">
        <f>IF('FUENTE NO BORRAR'!A1734="","",(IF('FUENTE NO BORRAR'!A1734&lt;&gt;"Resultado total",'FUENTE NO BORRAR'!A1734,"")))</f>
        <v/>
      </c>
      <c r="B1716" s="5" t="str">
        <f>IF('FUENTE NO BORRAR'!B1734="","",'FUENTE NO BORRAR'!B1734)</f>
        <v/>
      </c>
      <c r="C1716" s="5" t="str">
        <f>IF('FUENTE NO BORRAR'!C1734="","",'FUENTE NO BORRAR'!C1734)</f>
        <v/>
      </c>
      <c r="D1716" s="5" t="str">
        <f>IF('FUENTE NO BORRAR'!D1734="","",'FUENTE NO BORRAR'!D1734)</f>
        <v/>
      </c>
      <c r="E1716" s="5" t="str">
        <f>IF('FUENTE NO BORRAR'!E1734="","",'FUENTE NO BORRAR'!E1734)</f>
        <v/>
      </c>
      <c r="F1716" s="6">
        <f>IF('FUENTE NO BORRAR'!F1734="","",IF('FUENTE NO BORRAR'!$A1734&lt;&gt;"Resultado total",('FUENTE NO BORRAR'!F1734),""))</f>
        <v>30160</v>
      </c>
      <c r="G1716" s="6">
        <f>IF('FUENTE NO BORRAR'!G1734="","",IF('FUENTE NO BORRAR'!$A1734&lt;&gt;"Resultado total",('FUENTE NO BORRAR'!G1734),""))</f>
        <v>30160</v>
      </c>
      <c r="H1716" s="6">
        <f>IF('FUENTE NO BORRAR'!H1734="","",IF('FUENTE NO BORRAR'!$A1734&lt;&gt;"Resultado total",('FUENTE NO BORRAR'!H1734),""))</f>
        <v>30160</v>
      </c>
      <c r="I1716" s="6">
        <f>IF('FUENTE NO BORRAR'!I1734="","",IF('FUENTE NO BORRAR'!$A1734&lt;&gt;"Resultado total",('FUENTE NO BORRAR'!I1734),""))</f>
        <v>0</v>
      </c>
    </row>
    <row r="1717" spans="1:9" x14ac:dyDescent="0.2">
      <c r="A1717" s="5" t="str">
        <f>IF('FUENTE NO BORRAR'!A1735="","",(IF('FUENTE NO BORRAR'!A1735&lt;&gt;"Resultado total",'FUENTE NO BORRAR'!A1735,"")))</f>
        <v/>
      </c>
      <c r="B1717" s="5" t="str">
        <f>IF('FUENTE NO BORRAR'!B1735="","",'FUENTE NO BORRAR'!B1735)</f>
        <v/>
      </c>
      <c r="C1717" s="5" t="str">
        <f>IF('FUENTE NO BORRAR'!C1735="","",'FUENTE NO BORRAR'!C1735)</f>
        <v/>
      </c>
      <c r="D1717" s="5" t="str">
        <f>IF('FUENTE NO BORRAR'!D1735="","",'FUENTE NO BORRAR'!D1735)</f>
        <v/>
      </c>
      <c r="E1717" s="5" t="str">
        <f>IF('FUENTE NO BORRAR'!E1735="","",'FUENTE NO BORRAR'!E1735)</f>
        <v/>
      </c>
      <c r="F1717" s="6">
        <f>IF('FUENTE NO BORRAR'!F1735="","",IF('FUENTE NO BORRAR'!$A1735&lt;&gt;"Resultado total",('FUENTE NO BORRAR'!F1735),""))</f>
        <v>1303840</v>
      </c>
      <c r="G1717" s="6">
        <f>IF('FUENTE NO BORRAR'!G1735="","",IF('FUENTE NO BORRAR'!$A1735&lt;&gt;"Resultado total",('FUENTE NO BORRAR'!G1735),""))</f>
        <v>1303840</v>
      </c>
      <c r="H1717" s="6">
        <f>IF('FUENTE NO BORRAR'!H1735="","",IF('FUENTE NO BORRAR'!$A1735&lt;&gt;"Resultado total",('FUENTE NO BORRAR'!H1735),""))</f>
        <v>1303840</v>
      </c>
      <c r="I1717" s="6">
        <f>IF('FUENTE NO BORRAR'!I1735="","",IF('FUENTE NO BORRAR'!$A1735&lt;&gt;"Resultado total",('FUENTE NO BORRAR'!I1735),""))</f>
        <v>0</v>
      </c>
    </row>
    <row r="1718" spans="1:9" x14ac:dyDescent="0.2">
      <c r="A1718" s="5" t="str">
        <f>IF('FUENTE NO BORRAR'!A1736="","",(IF('FUENTE NO BORRAR'!A1736&lt;&gt;"Resultado total",'FUENTE NO BORRAR'!A1736,"")))</f>
        <v/>
      </c>
      <c r="B1718" s="5" t="str">
        <f>IF('FUENTE NO BORRAR'!B1736="","",'FUENTE NO BORRAR'!B1736)</f>
        <v/>
      </c>
      <c r="C1718" s="5" t="str">
        <f>IF('FUENTE NO BORRAR'!C1736="","",'FUENTE NO BORRAR'!C1736)</f>
        <v/>
      </c>
      <c r="D1718" s="5" t="str">
        <f>IF('FUENTE NO BORRAR'!D1736="","",'FUENTE NO BORRAR'!D1736)</f>
        <v/>
      </c>
      <c r="E1718" s="5" t="str">
        <f>IF('FUENTE NO BORRAR'!E1736="","",'FUENTE NO BORRAR'!E1736)</f>
        <v/>
      </c>
      <c r="F1718" s="6">
        <f>IF('FUENTE NO BORRAR'!F1736="","",IF('FUENTE NO BORRAR'!$A1736&lt;&gt;"Resultado total",('FUENTE NO BORRAR'!F1736),""))</f>
        <v>1740</v>
      </c>
      <c r="G1718" s="6">
        <f>IF('FUENTE NO BORRAR'!G1736="","",IF('FUENTE NO BORRAR'!$A1736&lt;&gt;"Resultado total",('FUENTE NO BORRAR'!G1736),""))</f>
        <v>1740</v>
      </c>
      <c r="H1718" s="6">
        <f>IF('FUENTE NO BORRAR'!H1736="","",IF('FUENTE NO BORRAR'!$A1736&lt;&gt;"Resultado total",('FUENTE NO BORRAR'!H1736),""))</f>
        <v>1740</v>
      </c>
      <c r="I1718" s="6">
        <f>IF('FUENTE NO BORRAR'!I1736="","",IF('FUENTE NO BORRAR'!$A1736&lt;&gt;"Resultado total",('FUENTE NO BORRAR'!I1736),""))</f>
        <v>0</v>
      </c>
    </row>
    <row r="1719" spans="1:9" x14ac:dyDescent="0.2">
      <c r="A1719" s="5" t="str">
        <f>IF('FUENTE NO BORRAR'!A1737="","",(IF('FUENTE NO BORRAR'!A1737&lt;&gt;"Resultado total",'FUENTE NO BORRAR'!A1737,"")))</f>
        <v/>
      </c>
      <c r="B1719" s="5" t="str">
        <f>IF('FUENTE NO BORRAR'!B1737="","",'FUENTE NO BORRAR'!B1737)</f>
        <v/>
      </c>
      <c r="C1719" s="5" t="str">
        <f>IF('FUENTE NO BORRAR'!C1737="","",'FUENTE NO BORRAR'!C1737)</f>
        <v/>
      </c>
      <c r="D1719" s="5" t="str">
        <f>IF('FUENTE NO BORRAR'!D1737="","",'FUENTE NO BORRAR'!D1737)</f>
        <v/>
      </c>
      <c r="E1719" s="5" t="str">
        <f>IF('FUENTE NO BORRAR'!E1737="","",'FUENTE NO BORRAR'!E1737)</f>
        <v/>
      </c>
      <c r="F1719" s="6">
        <f>IF('FUENTE NO BORRAR'!F1737="","",IF('FUENTE NO BORRAR'!$A1737&lt;&gt;"Resultado total",('FUENTE NO BORRAR'!F1737),""))</f>
        <v>0</v>
      </c>
      <c r="G1719" s="6">
        <f>IF('FUENTE NO BORRAR'!G1737="","",IF('FUENTE NO BORRAR'!$A1737&lt;&gt;"Resultado total",('FUENTE NO BORRAR'!G1737),""))</f>
        <v>0</v>
      </c>
      <c r="H1719" s="6">
        <f>IF('FUENTE NO BORRAR'!H1737="","",IF('FUENTE NO BORRAR'!$A1737&lt;&gt;"Resultado total",('FUENTE NO BORRAR'!H1737),""))</f>
        <v>0</v>
      </c>
      <c r="I1719" s="6">
        <f>IF('FUENTE NO BORRAR'!I1737="","",IF('FUENTE NO BORRAR'!$A1737&lt;&gt;"Resultado total",('FUENTE NO BORRAR'!I1737),""))</f>
        <v>0</v>
      </c>
    </row>
    <row r="1720" spans="1:9" x14ac:dyDescent="0.2">
      <c r="A1720" s="5" t="str">
        <f>IF('FUENTE NO BORRAR'!A1738="","",(IF('FUENTE NO BORRAR'!A1738&lt;&gt;"Resultado total",'FUENTE NO BORRAR'!A1738,"")))</f>
        <v/>
      </c>
      <c r="B1720" s="5" t="str">
        <f>IF('FUENTE NO BORRAR'!B1738="","",'FUENTE NO BORRAR'!B1738)</f>
        <v/>
      </c>
      <c r="C1720" s="5" t="str">
        <f>IF('FUENTE NO BORRAR'!C1738="","",'FUENTE NO BORRAR'!C1738)</f>
        <v/>
      </c>
      <c r="D1720" s="5" t="str">
        <f>IF('FUENTE NO BORRAR'!D1738="","",'FUENTE NO BORRAR'!D1738)</f>
        <v/>
      </c>
      <c r="E1720" s="5" t="str">
        <f>IF('FUENTE NO BORRAR'!E1738="","",'FUENTE NO BORRAR'!E1738)</f>
        <v/>
      </c>
      <c r="F1720" s="6">
        <f>IF('FUENTE NO BORRAR'!F1738="","",IF('FUENTE NO BORRAR'!$A1738&lt;&gt;"Resultado total",('FUENTE NO BORRAR'!F1738),""))</f>
        <v>44980.17</v>
      </c>
      <c r="G1720" s="6">
        <f>IF('FUENTE NO BORRAR'!G1738="","",IF('FUENTE NO BORRAR'!$A1738&lt;&gt;"Resultado total",('FUENTE NO BORRAR'!G1738),""))</f>
        <v>44980.17</v>
      </c>
      <c r="H1720" s="6">
        <f>IF('FUENTE NO BORRAR'!H1738="","",IF('FUENTE NO BORRAR'!$A1738&lt;&gt;"Resultado total",('FUENTE NO BORRAR'!H1738),""))</f>
        <v>3834</v>
      </c>
      <c r="I1720" s="6">
        <f>IF('FUENTE NO BORRAR'!I1738="","",IF('FUENTE NO BORRAR'!$A1738&lt;&gt;"Resultado total",('FUENTE NO BORRAR'!I1738),""))</f>
        <v>0</v>
      </c>
    </row>
    <row r="1721" spans="1:9" x14ac:dyDescent="0.2">
      <c r="A1721" s="5" t="str">
        <f>IF('FUENTE NO BORRAR'!A1739="","",(IF('FUENTE NO BORRAR'!A1739&lt;&gt;"Resultado total",'FUENTE NO BORRAR'!A1739,"")))</f>
        <v/>
      </c>
      <c r="B1721" s="5" t="str">
        <f>IF('FUENTE NO BORRAR'!B1739="","",'FUENTE NO BORRAR'!B1739)</f>
        <v/>
      </c>
      <c r="C1721" s="5" t="str">
        <f>IF('FUENTE NO BORRAR'!C1739="","",'FUENTE NO BORRAR'!C1739)</f>
        <v/>
      </c>
      <c r="D1721" s="5" t="str">
        <f>IF('FUENTE NO BORRAR'!D1739="","",'FUENTE NO BORRAR'!D1739)</f>
        <v/>
      </c>
      <c r="E1721" s="5" t="str">
        <f>IF('FUENTE NO BORRAR'!E1739="","",'FUENTE NO BORRAR'!E1739)</f>
        <v/>
      </c>
      <c r="F1721" s="6">
        <f>IF('FUENTE NO BORRAR'!F1739="","",IF('FUENTE NO BORRAR'!$A1739&lt;&gt;"Resultado total",('FUENTE NO BORRAR'!F1739),""))</f>
        <v>1018</v>
      </c>
      <c r="G1721" s="6">
        <f>IF('FUENTE NO BORRAR'!G1739="","",IF('FUENTE NO BORRAR'!$A1739&lt;&gt;"Resultado total",('FUENTE NO BORRAR'!G1739),""))</f>
        <v>1018</v>
      </c>
      <c r="H1721" s="6">
        <f>IF('FUENTE NO BORRAR'!H1739="","",IF('FUENTE NO BORRAR'!$A1739&lt;&gt;"Resultado total",('FUENTE NO BORRAR'!H1739),""))</f>
        <v>1018</v>
      </c>
      <c r="I1721" s="6">
        <f>IF('FUENTE NO BORRAR'!I1739="","",IF('FUENTE NO BORRAR'!$A1739&lt;&gt;"Resultado total",('FUENTE NO BORRAR'!I1739),""))</f>
        <v>0</v>
      </c>
    </row>
    <row r="1722" spans="1:9" x14ac:dyDescent="0.2">
      <c r="A1722" s="5" t="str">
        <f>IF('FUENTE NO BORRAR'!A1740="","",(IF('FUENTE NO BORRAR'!A1740&lt;&gt;"Resultado total",'FUENTE NO BORRAR'!A1740,"")))</f>
        <v/>
      </c>
      <c r="B1722" s="5" t="str">
        <f>IF('FUENTE NO BORRAR'!B1740="","",'FUENTE NO BORRAR'!B1740)</f>
        <v/>
      </c>
      <c r="C1722" s="5" t="str">
        <f>IF('FUENTE NO BORRAR'!C1740="","",'FUENTE NO BORRAR'!C1740)</f>
        <v/>
      </c>
      <c r="D1722" s="5" t="str">
        <f>IF('FUENTE NO BORRAR'!D1740="","",'FUENTE NO BORRAR'!D1740)</f>
        <v/>
      </c>
      <c r="E1722" s="5" t="str">
        <f>IF('FUENTE NO BORRAR'!E1740="","",'FUENTE NO BORRAR'!E1740)</f>
        <v/>
      </c>
      <c r="F1722" s="6">
        <f>IF('FUENTE NO BORRAR'!F1740="","",IF('FUENTE NO BORRAR'!$A1740&lt;&gt;"Resultado total",('FUENTE NO BORRAR'!F1740),""))</f>
        <v>25500</v>
      </c>
      <c r="G1722" s="6">
        <f>IF('FUENTE NO BORRAR'!G1740="","",IF('FUENTE NO BORRAR'!$A1740&lt;&gt;"Resultado total",('FUENTE NO BORRAR'!G1740),""))</f>
        <v>25500</v>
      </c>
      <c r="H1722" s="6">
        <f>IF('FUENTE NO BORRAR'!H1740="","",IF('FUENTE NO BORRAR'!$A1740&lt;&gt;"Resultado total",('FUENTE NO BORRAR'!H1740),""))</f>
        <v>24000</v>
      </c>
      <c r="I1722" s="6">
        <f>IF('FUENTE NO BORRAR'!I1740="","",IF('FUENTE NO BORRAR'!$A1740&lt;&gt;"Resultado total",('FUENTE NO BORRAR'!I1740),""))</f>
        <v>0</v>
      </c>
    </row>
    <row r="1723" spans="1:9" x14ac:dyDescent="0.2">
      <c r="A1723" s="5" t="str">
        <f>IF('FUENTE NO BORRAR'!A1741="","",(IF('FUENTE NO BORRAR'!A1741&lt;&gt;"Resultado total",'FUENTE NO BORRAR'!A1741,"")))</f>
        <v/>
      </c>
      <c r="B1723" s="5" t="str">
        <f>IF('FUENTE NO BORRAR'!B1741="","",'FUENTE NO BORRAR'!B1741)</f>
        <v/>
      </c>
      <c r="C1723" s="5" t="str">
        <f>IF('FUENTE NO BORRAR'!C1741="","",'FUENTE NO BORRAR'!C1741)</f>
        <v/>
      </c>
      <c r="D1723" s="5" t="str">
        <f>IF('FUENTE NO BORRAR'!D1741="","",'FUENTE NO BORRAR'!D1741)</f>
        <v/>
      </c>
      <c r="E1723" s="5" t="str">
        <f>IF('FUENTE NO BORRAR'!E1741="","",'FUENTE NO BORRAR'!E1741)</f>
        <v/>
      </c>
      <c r="F1723" s="6">
        <f>IF('FUENTE NO BORRAR'!F1741="","",IF('FUENTE NO BORRAR'!$A1741&lt;&gt;"Resultado total",('FUENTE NO BORRAR'!F1741),""))</f>
        <v>941</v>
      </c>
      <c r="G1723" s="6">
        <f>IF('FUENTE NO BORRAR'!G1741="","",IF('FUENTE NO BORRAR'!$A1741&lt;&gt;"Resultado total",('FUENTE NO BORRAR'!G1741),""))</f>
        <v>941</v>
      </c>
      <c r="H1723" s="6">
        <f>IF('FUENTE NO BORRAR'!H1741="","",IF('FUENTE NO BORRAR'!$A1741&lt;&gt;"Resultado total",('FUENTE NO BORRAR'!H1741),""))</f>
        <v>941</v>
      </c>
      <c r="I1723" s="6">
        <f>IF('FUENTE NO BORRAR'!I1741="","",IF('FUENTE NO BORRAR'!$A1741&lt;&gt;"Resultado total",('FUENTE NO BORRAR'!I1741),""))</f>
        <v>0</v>
      </c>
    </row>
    <row r="1724" spans="1:9" x14ac:dyDescent="0.2">
      <c r="A1724" s="5" t="str">
        <f>IF('FUENTE NO BORRAR'!A1742="","",(IF('FUENTE NO BORRAR'!A1742&lt;&gt;"Resultado total",'FUENTE NO BORRAR'!A1742,"")))</f>
        <v/>
      </c>
      <c r="B1724" s="5" t="str">
        <f>IF('FUENTE NO BORRAR'!B1742="","",'FUENTE NO BORRAR'!B1742)</f>
        <v/>
      </c>
      <c r="C1724" s="5" t="str">
        <f>IF('FUENTE NO BORRAR'!C1742="","",'FUENTE NO BORRAR'!C1742)</f>
        <v/>
      </c>
      <c r="D1724" s="5" t="str">
        <f>IF('FUENTE NO BORRAR'!D1742="","",'FUENTE NO BORRAR'!D1742)</f>
        <v/>
      </c>
      <c r="E1724" s="5" t="str">
        <f>IF('FUENTE NO BORRAR'!E1742="","",'FUENTE NO BORRAR'!E1742)</f>
        <v/>
      </c>
      <c r="F1724" s="6">
        <f>IF('FUENTE NO BORRAR'!F1742="","",IF('FUENTE NO BORRAR'!$A1742&lt;&gt;"Resultado total",('FUENTE NO BORRAR'!F1742),""))</f>
        <v>638</v>
      </c>
      <c r="G1724" s="6">
        <f>IF('FUENTE NO BORRAR'!G1742="","",IF('FUENTE NO BORRAR'!$A1742&lt;&gt;"Resultado total",('FUENTE NO BORRAR'!G1742),""))</f>
        <v>638</v>
      </c>
      <c r="H1724" s="6">
        <f>IF('FUENTE NO BORRAR'!H1742="","",IF('FUENTE NO BORRAR'!$A1742&lt;&gt;"Resultado total",('FUENTE NO BORRAR'!H1742),""))</f>
        <v>638</v>
      </c>
      <c r="I1724" s="6">
        <f>IF('FUENTE NO BORRAR'!I1742="","",IF('FUENTE NO BORRAR'!$A1742&lt;&gt;"Resultado total",('FUENTE NO BORRAR'!I1742),""))</f>
        <v>0</v>
      </c>
    </row>
    <row r="1725" spans="1:9" x14ac:dyDescent="0.2">
      <c r="A1725" s="5" t="str">
        <f>IF('FUENTE NO BORRAR'!A1743="","",(IF('FUENTE NO BORRAR'!A1743&lt;&gt;"Resultado total",'FUENTE NO BORRAR'!A1743,"")))</f>
        <v/>
      </c>
      <c r="B1725" s="5" t="str">
        <f>IF('FUENTE NO BORRAR'!B1743="","",'FUENTE NO BORRAR'!B1743)</f>
        <v/>
      </c>
      <c r="C1725" s="5" t="str">
        <f>IF('FUENTE NO BORRAR'!C1743="","",'FUENTE NO BORRAR'!C1743)</f>
        <v/>
      </c>
      <c r="D1725" s="5" t="str">
        <f>IF('FUENTE NO BORRAR'!D1743="","",'FUENTE NO BORRAR'!D1743)</f>
        <v/>
      </c>
      <c r="E1725" s="5" t="str">
        <f>IF('FUENTE NO BORRAR'!E1743="","",'FUENTE NO BORRAR'!E1743)</f>
        <v/>
      </c>
      <c r="F1725" s="6">
        <f>IF('FUENTE NO BORRAR'!F1743="","",IF('FUENTE NO BORRAR'!$A1743&lt;&gt;"Resultado total",('FUENTE NO BORRAR'!F1743),""))</f>
        <v>15660</v>
      </c>
      <c r="G1725" s="6">
        <f>IF('FUENTE NO BORRAR'!G1743="","",IF('FUENTE NO BORRAR'!$A1743&lt;&gt;"Resultado total",('FUENTE NO BORRAR'!G1743),""))</f>
        <v>15660</v>
      </c>
      <c r="H1725" s="6">
        <f>IF('FUENTE NO BORRAR'!H1743="","",IF('FUENTE NO BORRAR'!$A1743&lt;&gt;"Resultado total",('FUENTE NO BORRAR'!H1743),""))</f>
        <v>0</v>
      </c>
      <c r="I1725" s="6">
        <f>IF('FUENTE NO BORRAR'!I1743="","",IF('FUENTE NO BORRAR'!$A1743&lt;&gt;"Resultado total",('FUENTE NO BORRAR'!I1743),""))</f>
        <v>0</v>
      </c>
    </row>
    <row r="1726" spans="1:9" x14ac:dyDescent="0.2">
      <c r="A1726" s="5" t="str">
        <f>IF('FUENTE NO BORRAR'!A1744="","",(IF('FUENTE NO BORRAR'!A1744&lt;&gt;"Resultado total",'FUENTE NO BORRAR'!A1744,"")))</f>
        <v/>
      </c>
      <c r="B1726" s="5" t="str">
        <f>IF('FUENTE NO BORRAR'!B1744="","",'FUENTE NO BORRAR'!B1744)</f>
        <v/>
      </c>
      <c r="C1726" s="5" t="str">
        <f>IF('FUENTE NO BORRAR'!C1744="","",'FUENTE NO BORRAR'!C1744)</f>
        <v>25062031E202</v>
      </c>
      <c r="D1726" s="5" t="str">
        <f>IF('FUENTE NO BORRAR'!D1744="","",'FUENTE NO BORRAR'!D1744)</f>
        <v>25062031E202</v>
      </c>
      <c r="E1726" s="5" t="str">
        <f>IF('FUENTE NO BORRAR'!E1744="","",'FUENTE NO BORRAR'!E1744)</f>
        <v/>
      </c>
      <c r="F1726" s="6">
        <f>IF('FUENTE NO BORRAR'!F1744="","",IF('FUENTE NO BORRAR'!$A1744&lt;&gt;"Resultado total",('FUENTE NO BORRAR'!F1744),""))</f>
        <v>3976162.78</v>
      </c>
      <c r="G1726" s="6">
        <f>IF('FUENTE NO BORRAR'!G1744="","",IF('FUENTE NO BORRAR'!$A1744&lt;&gt;"Resultado total",('FUENTE NO BORRAR'!G1744),""))</f>
        <v>3976162.78</v>
      </c>
      <c r="H1726" s="6">
        <f>IF('FUENTE NO BORRAR'!H1744="","",IF('FUENTE NO BORRAR'!$A1744&lt;&gt;"Resultado total",('FUENTE NO BORRAR'!H1744),""))</f>
        <v>3976162.78</v>
      </c>
      <c r="I1726" s="6">
        <f>IF('FUENTE NO BORRAR'!I1744="","",IF('FUENTE NO BORRAR'!$A1744&lt;&gt;"Resultado total",('FUENTE NO BORRAR'!I1744),""))</f>
        <v>0</v>
      </c>
    </row>
    <row r="1727" spans="1:9" x14ac:dyDescent="0.2">
      <c r="A1727" s="5" t="str">
        <f>IF('FUENTE NO BORRAR'!A1745="","",(IF('FUENTE NO BORRAR'!A1745&lt;&gt;"Resultado total",'FUENTE NO BORRAR'!A1745,"")))</f>
        <v/>
      </c>
      <c r="B1727" s="5" t="str">
        <f>IF('FUENTE NO BORRAR'!B1745="","",'FUENTE NO BORRAR'!B1745)</f>
        <v/>
      </c>
      <c r="C1727" s="5" t="str">
        <f>IF('FUENTE NO BORRAR'!C1745="","",'FUENTE NO BORRAR'!C1745)</f>
        <v/>
      </c>
      <c r="D1727" s="5" t="str">
        <f>IF('FUENTE NO BORRAR'!D1745="","",'FUENTE NO BORRAR'!D1745)</f>
        <v/>
      </c>
      <c r="E1727" s="5" t="str">
        <f>IF('FUENTE NO BORRAR'!E1745="","",'FUENTE NO BORRAR'!E1745)</f>
        <v/>
      </c>
      <c r="F1727" s="6">
        <f>IF('FUENTE NO BORRAR'!F1745="","",IF('FUENTE NO BORRAR'!$A1745&lt;&gt;"Resultado total",('FUENTE NO BORRAR'!F1745),""))</f>
        <v>960714.23999999999</v>
      </c>
      <c r="G1727" s="6">
        <f>IF('FUENTE NO BORRAR'!G1745="","",IF('FUENTE NO BORRAR'!$A1745&lt;&gt;"Resultado total",('FUENTE NO BORRAR'!G1745),""))</f>
        <v>960714.23999999999</v>
      </c>
      <c r="H1727" s="6">
        <f>IF('FUENTE NO BORRAR'!H1745="","",IF('FUENTE NO BORRAR'!$A1745&lt;&gt;"Resultado total",('FUENTE NO BORRAR'!H1745),""))</f>
        <v>960714.23999999999</v>
      </c>
      <c r="I1727" s="6">
        <f>IF('FUENTE NO BORRAR'!I1745="","",IF('FUENTE NO BORRAR'!$A1745&lt;&gt;"Resultado total",('FUENTE NO BORRAR'!I1745),""))</f>
        <v>0</v>
      </c>
    </row>
    <row r="1728" spans="1:9" x14ac:dyDescent="0.2">
      <c r="A1728" s="5" t="str">
        <f>IF('FUENTE NO BORRAR'!A1746="","",(IF('FUENTE NO BORRAR'!A1746&lt;&gt;"Resultado total",'FUENTE NO BORRAR'!A1746,"")))</f>
        <v/>
      </c>
      <c r="B1728" s="5" t="str">
        <f>IF('FUENTE NO BORRAR'!B1746="","",'FUENTE NO BORRAR'!B1746)</f>
        <v/>
      </c>
      <c r="C1728" s="5" t="str">
        <f>IF('FUENTE NO BORRAR'!C1746="","",'FUENTE NO BORRAR'!C1746)</f>
        <v/>
      </c>
      <c r="D1728" s="5" t="str">
        <f>IF('FUENTE NO BORRAR'!D1746="","",'FUENTE NO BORRAR'!D1746)</f>
        <v/>
      </c>
      <c r="E1728" s="5" t="str">
        <f>IF('FUENTE NO BORRAR'!E1746="","",'FUENTE NO BORRAR'!E1746)</f>
        <v/>
      </c>
      <c r="F1728" s="6">
        <f>IF('FUENTE NO BORRAR'!F1746="","",IF('FUENTE NO BORRAR'!$A1746&lt;&gt;"Resultado total",('FUENTE NO BORRAR'!F1746),""))</f>
        <v>34125.33</v>
      </c>
      <c r="G1728" s="6">
        <f>IF('FUENTE NO BORRAR'!G1746="","",IF('FUENTE NO BORRAR'!$A1746&lt;&gt;"Resultado total",('FUENTE NO BORRAR'!G1746),""))</f>
        <v>34125.33</v>
      </c>
      <c r="H1728" s="6">
        <f>IF('FUENTE NO BORRAR'!H1746="","",IF('FUENTE NO BORRAR'!$A1746&lt;&gt;"Resultado total",('FUENTE NO BORRAR'!H1746),""))</f>
        <v>34125.33</v>
      </c>
      <c r="I1728" s="6">
        <f>IF('FUENTE NO BORRAR'!I1746="","",IF('FUENTE NO BORRAR'!$A1746&lt;&gt;"Resultado total",('FUENTE NO BORRAR'!I1746),""))</f>
        <v>0</v>
      </c>
    </row>
    <row r="1729" spans="1:9" x14ac:dyDescent="0.2">
      <c r="A1729" s="5" t="str">
        <f>IF('FUENTE NO BORRAR'!A1747="","",(IF('FUENTE NO BORRAR'!A1747&lt;&gt;"Resultado total",'FUENTE NO BORRAR'!A1747,"")))</f>
        <v/>
      </c>
      <c r="B1729" s="5" t="str">
        <f>IF('FUENTE NO BORRAR'!B1747="","",'FUENTE NO BORRAR'!B1747)</f>
        <v/>
      </c>
      <c r="C1729" s="5" t="str">
        <f>IF('FUENTE NO BORRAR'!C1747="","",'FUENTE NO BORRAR'!C1747)</f>
        <v/>
      </c>
      <c r="D1729" s="5" t="str">
        <f>IF('FUENTE NO BORRAR'!D1747="","",'FUENTE NO BORRAR'!D1747)</f>
        <v/>
      </c>
      <c r="E1729" s="5" t="str">
        <f>IF('FUENTE NO BORRAR'!E1747="","",'FUENTE NO BORRAR'!E1747)</f>
        <v/>
      </c>
      <c r="F1729" s="6">
        <f>IF('FUENTE NO BORRAR'!F1747="","",IF('FUENTE NO BORRAR'!$A1747&lt;&gt;"Resultado total",('FUENTE NO BORRAR'!F1747),""))</f>
        <v>345569.02</v>
      </c>
      <c r="G1729" s="6">
        <f>IF('FUENTE NO BORRAR'!G1747="","",IF('FUENTE NO BORRAR'!$A1747&lt;&gt;"Resultado total",('FUENTE NO BORRAR'!G1747),""))</f>
        <v>345569.02</v>
      </c>
      <c r="H1729" s="6">
        <f>IF('FUENTE NO BORRAR'!H1747="","",IF('FUENTE NO BORRAR'!$A1747&lt;&gt;"Resultado total",('FUENTE NO BORRAR'!H1747),""))</f>
        <v>345569.02</v>
      </c>
      <c r="I1729" s="6">
        <f>IF('FUENTE NO BORRAR'!I1747="","",IF('FUENTE NO BORRAR'!$A1747&lt;&gt;"Resultado total",('FUENTE NO BORRAR'!I1747),""))</f>
        <v>0</v>
      </c>
    </row>
    <row r="1730" spans="1:9" x14ac:dyDescent="0.2">
      <c r="A1730" s="5" t="str">
        <f>IF('FUENTE NO BORRAR'!A1748="","",(IF('FUENTE NO BORRAR'!A1748&lt;&gt;"Resultado total",'FUENTE NO BORRAR'!A1748,"")))</f>
        <v/>
      </c>
      <c r="B1730" s="5" t="str">
        <f>IF('FUENTE NO BORRAR'!B1748="","",'FUENTE NO BORRAR'!B1748)</f>
        <v/>
      </c>
      <c r="C1730" s="5" t="str">
        <f>IF('FUENTE NO BORRAR'!C1748="","",'FUENTE NO BORRAR'!C1748)</f>
        <v/>
      </c>
      <c r="D1730" s="5" t="str">
        <f>IF('FUENTE NO BORRAR'!D1748="","",'FUENTE NO BORRAR'!D1748)</f>
        <v/>
      </c>
      <c r="E1730" s="5" t="str">
        <f>IF('FUENTE NO BORRAR'!E1748="","",'FUENTE NO BORRAR'!E1748)</f>
        <v/>
      </c>
      <c r="F1730" s="6">
        <f>IF('FUENTE NO BORRAR'!F1748="","",IF('FUENTE NO BORRAR'!$A1748&lt;&gt;"Resultado total",('FUENTE NO BORRAR'!F1748),""))</f>
        <v>47060.72</v>
      </c>
      <c r="G1730" s="6">
        <f>IF('FUENTE NO BORRAR'!G1748="","",IF('FUENTE NO BORRAR'!$A1748&lt;&gt;"Resultado total",('FUENTE NO BORRAR'!G1748),""))</f>
        <v>47060.72</v>
      </c>
      <c r="H1730" s="6">
        <f>IF('FUENTE NO BORRAR'!H1748="","",IF('FUENTE NO BORRAR'!$A1748&lt;&gt;"Resultado total",('FUENTE NO BORRAR'!H1748),""))</f>
        <v>47060.72</v>
      </c>
      <c r="I1730" s="6">
        <f>IF('FUENTE NO BORRAR'!I1748="","",IF('FUENTE NO BORRAR'!$A1748&lt;&gt;"Resultado total",('FUENTE NO BORRAR'!I1748),""))</f>
        <v>0</v>
      </c>
    </row>
    <row r="1731" spans="1:9" x14ac:dyDescent="0.2">
      <c r="A1731" s="5" t="str">
        <f>IF('FUENTE NO BORRAR'!A1749="","",(IF('FUENTE NO BORRAR'!A1749&lt;&gt;"Resultado total",'FUENTE NO BORRAR'!A1749,"")))</f>
        <v/>
      </c>
      <c r="B1731" s="5" t="str">
        <f>IF('FUENTE NO BORRAR'!B1749="","",'FUENTE NO BORRAR'!B1749)</f>
        <v/>
      </c>
      <c r="C1731" s="5" t="str">
        <f>IF('FUENTE NO BORRAR'!C1749="","",'FUENTE NO BORRAR'!C1749)</f>
        <v/>
      </c>
      <c r="D1731" s="5" t="str">
        <f>IF('FUENTE NO BORRAR'!D1749="","",'FUENTE NO BORRAR'!D1749)</f>
        <v/>
      </c>
      <c r="E1731" s="5" t="str">
        <f>IF('FUENTE NO BORRAR'!E1749="","",'FUENTE NO BORRAR'!E1749)</f>
        <v/>
      </c>
      <c r="F1731" s="6">
        <f>IF('FUENTE NO BORRAR'!F1749="","",IF('FUENTE NO BORRAR'!$A1749&lt;&gt;"Resultado total",('FUENTE NO BORRAR'!F1749),""))</f>
        <v>220467.33</v>
      </c>
      <c r="G1731" s="6">
        <f>IF('FUENTE NO BORRAR'!G1749="","",IF('FUENTE NO BORRAR'!$A1749&lt;&gt;"Resultado total",('FUENTE NO BORRAR'!G1749),""))</f>
        <v>220467.33</v>
      </c>
      <c r="H1731" s="6">
        <f>IF('FUENTE NO BORRAR'!H1749="","",IF('FUENTE NO BORRAR'!$A1749&lt;&gt;"Resultado total",('FUENTE NO BORRAR'!H1749),""))</f>
        <v>220467.33</v>
      </c>
      <c r="I1731" s="6">
        <f>IF('FUENTE NO BORRAR'!I1749="","",IF('FUENTE NO BORRAR'!$A1749&lt;&gt;"Resultado total",('FUENTE NO BORRAR'!I1749),""))</f>
        <v>0</v>
      </c>
    </row>
    <row r="1732" spans="1:9" x14ac:dyDescent="0.2">
      <c r="A1732" s="5" t="str">
        <f>IF('FUENTE NO BORRAR'!A1750="","",(IF('FUENTE NO BORRAR'!A1750&lt;&gt;"Resultado total",'FUENTE NO BORRAR'!A1750,"")))</f>
        <v/>
      </c>
      <c r="B1732" s="5" t="str">
        <f>IF('FUENTE NO BORRAR'!B1750="","",'FUENTE NO BORRAR'!B1750)</f>
        <v/>
      </c>
      <c r="C1732" s="5" t="str">
        <f>IF('FUENTE NO BORRAR'!C1750="","",'FUENTE NO BORRAR'!C1750)</f>
        <v/>
      </c>
      <c r="D1732" s="5" t="str">
        <f>IF('FUENTE NO BORRAR'!D1750="","",'FUENTE NO BORRAR'!D1750)</f>
        <v/>
      </c>
      <c r="E1732" s="5" t="str">
        <f>IF('FUENTE NO BORRAR'!E1750="","",'FUENTE NO BORRAR'!E1750)</f>
        <v/>
      </c>
      <c r="F1732" s="6">
        <f>IF('FUENTE NO BORRAR'!F1750="","",IF('FUENTE NO BORRAR'!$A1750&lt;&gt;"Resultado total",('FUENTE NO BORRAR'!F1750),""))</f>
        <v>1004331.84</v>
      </c>
      <c r="G1732" s="6">
        <f>IF('FUENTE NO BORRAR'!G1750="","",IF('FUENTE NO BORRAR'!$A1750&lt;&gt;"Resultado total",('FUENTE NO BORRAR'!G1750),""))</f>
        <v>1004331.84</v>
      </c>
      <c r="H1732" s="6">
        <f>IF('FUENTE NO BORRAR'!H1750="","",IF('FUENTE NO BORRAR'!$A1750&lt;&gt;"Resultado total",('FUENTE NO BORRAR'!H1750),""))</f>
        <v>1004331.84</v>
      </c>
      <c r="I1732" s="6">
        <f>IF('FUENTE NO BORRAR'!I1750="","",IF('FUENTE NO BORRAR'!$A1750&lt;&gt;"Resultado total",('FUENTE NO BORRAR'!I1750),""))</f>
        <v>0</v>
      </c>
    </row>
    <row r="1733" spans="1:9" x14ac:dyDescent="0.2">
      <c r="A1733" s="5" t="str">
        <f>IF('FUENTE NO BORRAR'!A1751="","",(IF('FUENTE NO BORRAR'!A1751&lt;&gt;"Resultado total",'FUENTE NO BORRAR'!A1751,"")))</f>
        <v/>
      </c>
      <c r="B1733" s="5" t="str">
        <f>IF('FUENTE NO BORRAR'!B1751="","",'FUENTE NO BORRAR'!B1751)</f>
        <v/>
      </c>
      <c r="C1733" s="5" t="str">
        <f>IF('FUENTE NO BORRAR'!C1751="","",'FUENTE NO BORRAR'!C1751)</f>
        <v/>
      </c>
      <c r="D1733" s="5" t="str">
        <f>IF('FUENTE NO BORRAR'!D1751="","",'FUENTE NO BORRAR'!D1751)</f>
        <v/>
      </c>
      <c r="E1733" s="5" t="str">
        <f>IF('FUENTE NO BORRAR'!E1751="","",'FUENTE NO BORRAR'!E1751)</f>
        <v/>
      </c>
      <c r="F1733" s="6">
        <f>IF('FUENTE NO BORRAR'!F1751="","",IF('FUENTE NO BORRAR'!$A1751&lt;&gt;"Resultado total",('FUENTE NO BORRAR'!F1751),""))</f>
        <v>386638.1</v>
      </c>
      <c r="G1733" s="6">
        <f>IF('FUENTE NO BORRAR'!G1751="","",IF('FUENTE NO BORRAR'!$A1751&lt;&gt;"Resultado total",('FUENTE NO BORRAR'!G1751),""))</f>
        <v>386638.1</v>
      </c>
      <c r="H1733" s="6">
        <f>IF('FUENTE NO BORRAR'!H1751="","",IF('FUENTE NO BORRAR'!$A1751&lt;&gt;"Resultado total",('FUENTE NO BORRAR'!H1751),""))</f>
        <v>392027.86</v>
      </c>
      <c r="I1733" s="6">
        <f>IF('FUENTE NO BORRAR'!I1751="","",IF('FUENTE NO BORRAR'!$A1751&lt;&gt;"Resultado total",('FUENTE NO BORRAR'!I1751),""))</f>
        <v>0</v>
      </c>
    </row>
    <row r="1734" spans="1:9" x14ac:dyDescent="0.2">
      <c r="A1734" s="5" t="str">
        <f>IF('FUENTE NO BORRAR'!A1752="","",(IF('FUENTE NO BORRAR'!A1752&lt;&gt;"Resultado total",'FUENTE NO BORRAR'!A1752,"")))</f>
        <v/>
      </c>
      <c r="B1734" s="5" t="str">
        <f>IF('FUENTE NO BORRAR'!B1752="","",'FUENTE NO BORRAR'!B1752)</f>
        <v/>
      </c>
      <c r="C1734" s="5" t="str">
        <f>IF('FUENTE NO BORRAR'!C1752="","",'FUENTE NO BORRAR'!C1752)</f>
        <v/>
      </c>
      <c r="D1734" s="5" t="str">
        <f>IF('FUENTE NO BORRAR'!D1752="","",'FUENTE NO BORRAR'!D1752)</f>
        <v/>
      </c>
      <c r="E1734" s="5" t="str">
        <f>IF('FUENTE NO BORRAR'!E1752="","",'FUENTE NO BORRAR'!E1752)</f>
        <v/>
      </c>
      <c r="F1734" s="6">
        <f>IF('FUENTE NO BORRAR'!F1752="","",IF('FUENTE NO BORRAR'!$A1752&lt;&gt;"Resultado total",('FUENTE NO BORRAR'!F1752),""))</f>
        <v>755074.96</v>
      </c>
      <c r="G1734" s="6">
        <f>IF('FUENTE NO BORRAR'!G1752="","",IF('FUENTE NO BORRAR'!$A1752&lt;&gt;"Resultado total",('FUENTE NO BORRAR'!G1752),""))</f>
        <v>755074.96</v>
      </c>
      <c r="H1734" s="6">
        <f>IF('FUENTE NO BORRAR'!H1752="","",IF('FUENTE NO BORRAR'!$A1752&lt;&gt;"Resultado total",('FUENTE NO BORRAR'!H1752),""))</f>
        <v>755074.96</v>
      </c>
      <c r="I1734" s="6">
        <f>IF('FUENTE NO BORRAR'!I1752="","",IF('FUENTE NO BORRAR'!$A1752&lt;&gt;"Resultado total",('FUENTE NO BORRAR'!I1752),""))</f>
        <v>0</v>
      </c>
    </row>
    <row r="1735" spans="1:9" x14ac:dyDescent="0.2">
      <c r="A1735" s="5" t="str">
        <f>IF('FUENTE NO BORRAR'!A1753="","",(IF('FUENTE NO BORRAR'!A1753&lt;&gt;"Resultado total",'FUENTE NO BORRAR'!A1753,"")))</f>
        <v/>
      </c>
      <c r="B1735" s="5" t="str">
        <f>IF('FUENTE NO BORRAR'!B1753="","",'FUENTE NO BORRAR'!B1753)</f>
        <v/>
      </c>
      <c r="C1735" s="5" t="str">
        <f>IF('FUENTE NO BORRAR'!C1753="","",'FUENTE NO BORRAR'!C1753)</f>
        <v/>
      </c>
      <c r="D1735" s="5" t="str">
        <f>IF('FUENTE NO BORRAR'!D1753="","",'FUENTE NO BORRAR'!D1753)</f>
        <v/>
      </c>
      <c r="E1735" s="5" t="str">
        <f>IF('FUENTE NO BORRAR'!E1753="","",'FUENTE NO BORRAR'!E1753)</f>
        <v/>
      </c>
      <c r="F1735" s="6">
        <f>IF('FUENTE NO BORRAR'!F1753="","",IF('FUENTE NO BORRAR'!$A1753&lt;&gt;"Resultado total",('FUENTE NO BORRAR'!F1753),""))</f>
        <v>978493.12</v>
      </c>
      <c r="G1735" s="6">
        <f>IF('FUENTE NO BORRAR'!G1753="","",IF('FUENTE NO BORRAR'!$A1753&lt;&gt;"Resultado total",('FUENTE NO BORRAR'!G1753),""))</f>
        <v>978493.12</v>
      </c>
      <c r="H1735" s="6">
        <f>IF('FUENTE NO BORRAR'!H1753="","",IF('FUENTE NO BORRAR'!$A1753&lt;&gt;"Resultado total",('FUENTE NO BORRAR'!H1753),""))</f>
        <v>978493.12</v>
      </c>
      <c r="I1735" s="6">
        <f>IF('FUENTE NO BORRAR'!I1753="","",IF('FUENTE NO BORRAR'!$A1753&lt;&gt;"Resultado total",('FUENTE NO BORRAR'!I1753),""))</f>
        <v>0</v>
      </c>
    </row>
    <row r="1736" spans="1:9" x14ac:dyDescent="0.2">
      <c r="A1736" s="5" t="str">
        <f>IF('FUENTE NO BORRAR'!A1754="","",(IF('FUENTE NO BORRAR'!A1754&lt;&gt;"Resultado total",'FUENTE NO BORRAR'!A1754,"")))</f>
        <v/>
      </c>
      <c r="B1736" s="5" t="str">
        <f>IF('FUENTE NO BORRAR'!B1754="","",'FUENTE NO BORRAR'!B1754)</f>
        <v/>
      </c>
      <c r="C1736" s="5" t="str">
        <f>IF('FUENTE NO BORRAR'!C1754="","",'FUENTE NO BORRAR'!C1754)</f>
        <v/>
      </c>
      <c r="D1736" s="5" t="str">
        <f>IF('FUENTE NO BORRAR'!D1754="","",'FUENTE NO BORRAR'!D1754)</f>
        <v/>
      </c>
      <c r="E1736" s="5" t="str">
        <f>IF('FUENTE NO BORRAR'!E1754="","",'FUENTE NO BORRAR'!E1754)</f>
        <v/>
      </c>
      <c r="F1736" s="6">
        <f>IF('FUENTE NO BORRAR'!F1754="","",IF('FUENTE NO BORRAR'!$A1754&lt;&gt;"Resultado total",('FUENTE NO BORRAR'!F1754),""))</f>
        <v>315088.78999999998</v>
      </c>
      <c r="G1736" s="6">
        <f>IF('FUENTE NO BORRAR'!G1754="","",IF('FUENTE NO BORRAR'!$A1754&lt;&gt;"Resultado total",('FUENTE NO BORRAR'!G1754),""))</f>
        <v>315088.78999999998</v>
      </c>
      <c r="H1736" s="6">
        <f>IF('FUENTE NO BORRAR'!H1754="","",IF('FUENTE NO BORRAR'!$A1754&lt;&gt;"Resultado total",('FUENTE NO BORRAR'!H1754),""))</f>
        <v>315088.78999999998</v>
      </c>
      <c r="I1736" s="6">
        <f>IF('FUENTE NO BORRAR'!I1754="","",IF('FUENTE NO BORRAR'!$A1754&lt;&gt;"Resultado total",('FUENTE NO BORRAR'!I1754),""))</f>
        <v>0</v>
      </c>
    </row>
    <row r="1737" spans="1:9" x14ac:dyDescent="0.2">
      <c r="A1737" s="5" t="str">
        <f>IF('FUENTE NO BORRAR'!A1755="","",(IF('FUENTE NO BORRAR'!A1755&lt;&gt;"Resultado total",'FUENTE NO BORRAR'!A1755,"")))</f>
        <v/>
      </c>
      <c r="B1737" s="5" t="str">
        <f>IF('FUENTE NO BORRAR'!B1755="","",'FUENTE NO BORRAR'!B1755)</f>
        <v/>
      </c>
      <c r="C1737" s="5" t="str">
        <f>IF('FUENTE NO BORRAR'!C1755="","",'FUENTE NO BORRAR'!C1755)</f>
        <v/>
      </c>
      <c r="D1737" s="5" t="str">
        <f>IF('FUENTE NO BORRAR'!D1755="","",'FUENTE NO BORRAR'!D1755)</f>
        <v/>
      </c>
      <c r="E1737" s="5" t="str">
        <f>IF('FUENTE NO BORRAR'!E1755="","",'FUENTE NO BORRAR'!E1755)</f>
        <v/>
      </c>
      <c r="F1737" s="6">
        <f>IF('FUENTE NO BORRAR'!F1755="","",IF('FUENTE NO BORRAR'!$A1755&lt;&gt;"Resultado total",('FUENTE NO BORRAR'!F1755),""))</f>
        <v>152028.82</v>
      </c>
      <c r="G1737" s="6">
        <f>IF('FUENTE NO BORRAR'!G1755="","",IF('FUENTE NO BORRAR'!$A1755&lt;&gt;"Resultado total",('FUENTE NO BORRAR'!G1755),""))</f>
        <v>152028.82</v>
      </c>
      <c r="H1737" s="6">
        <f>IF('FUENTE NO BORRAR'!H1755="","",IF('FUENTE NO BORRAR'!$A1755&lt;&gt;"Resultado total",('FUENTE NO BORRAR'!H1755),""))</f>
        <v>152028.82</v>
      </c>
      <c r="I1737" s="6">
        <f>IF('FUENTE NO BORRAR'!I1755="","",IF('FUENTE NO BORRAR'!$A1755&lt;&gt;"Resultado total",('FUENTE NO BORRAR'!I1755),""))</f>
        <v>0</v>
      </c>
    </row>
    <row r="1738" spans="1:9" x14ac:dyDescent="0.2">
      <c r="A1738" s="5" t="str">
        <f>IF('FUENTE NO BORRAR'!A1756="","",(IF('FUENTE NO BORRAR'!A1756&lt;&gt;"Resultado total",'FUENTE NO BORRAR'!A1756,"")))</f>
        <v/>
      </c>
      <c r="B1738" s="5" t="str">
        <f>IF('FUENTE NO BORRAR'!B1756="","",'FUENTE NO BORRAR'!B1756)</f>
        <v/>
      </c>
      <c r="C1738" s="5" t="str">
        <f>IF('FUENTE NO BORRAR'!C1756="","",'FUENTE NO BORRAR'!C1756)</f>
        <v/>
      </c>
      <c r="D1738" s="5" t="str">
        <f>IF('FUENTE NO BORRAR'!D1756="","",'FUENTE NO BORRAR'!D1756)</f>
        <v/>
      </c>
      <c r="E1738" s="5" t="str">
        <f>IF('FUENTE NO BORRAR'!E1756="","",'FUENTE NO BORRAR'!E1756)</f>
        <v/>
      </c>
      <c r="F1738" s="6">
        <f>IF('FUENTE NO BORRAR'!F1756="","",IF('FUENTE NO BORRAR'!$A1756&lt;&gt;"Resultado total",('FUENTE NO BORRAR'!F1756),""))</f>
        <v>592742.16</v>
      </c>
      <c r="G1738" s="6">
        <f>IF('FUENTE NO BORRAR'!G1756="","",IF('FUENTE NO BORRAR'!$A1756&lt;&gt;"Resultado total",('FUENTE NO BORRAR'!G1756),""))</f>
        <v>592742.16</v>
      </c>
      <c r="H1738" s="6">
        <f>IF('FUENTE NO BORRAR'!H1756="","",IF('FUENTE NO BORRAR'!$A1756&lt;&gt;"Resultado total",('FUENTE NO BORRAR'!H1756),""))</f>
        <v>592742.16</v>
      </c>
      <c r="I1738" s="6">
        <f>IF('FUENTE NO BORRAR'!I1756="","",IF('FUENTE NO BORRAR'!$A1756&lt;&gt;"Resultado total",('FUENTE NO BORRAR'!I1756),""))</f>
        <v>0</v>
      </c>
    </row>
    <row r="1739" spans="1:9" x14ac:dyDescent="0.2">
      <c r="A1739" s="5" t="str">
        <f>IF('FUENTE NO BORRAR'!A1757="","",(IF('FUENTE NO BORRAR'!A1757&lt;&gt;"Resultado total",'FUENTE NO BORRAR'!A1757,"")))</f>
        <v/>
      </c>
      <c r="B1739" s="5" t="str">
        <f>IF('FUENTE NO BORRAR'!B1757="","",'FUENTE NO BORRAR'!B1757)</f>
        <v/>
      </c>
      <c r="C1739" s="5" t="str">
        <f>IF('FUENTE NO BORRAR'!C1757="","",'FUENTE NO BORRAR'!C1757)</f>
        <v/>
      </c>
      <c r="D1739" s="5" t="str">
        <f>IF('FUENTE NO BORRAR'!D1757="","",'FUENTE NO BORRAR'!D1757)</f>
        <v/>
      </c>
      <c r="E1739" s="5" t="str">
        <f>IF('FUENTE NO BORRAR'!E1757="","",'FUENTE NO BORRAR'!E1757)</f>
        <v/>
      </c>
      <c r="F1739" s="6">
        <f>IF('FUENTE NO BORRAR'!F1757="","",IF('FUENTE NO BORRAR'!$A1757&lt;&gt;"Resultado total",('FUENTE NO BORRAR'!F1757),""))</f>
        <v>3262835.36</v>
      </c>
      <c r="G1739" s="6">
        <f>IF('FUENTE NO BORRAR'!G1757="","",IF('FUENTE NO BORRAR'!$A1757&lt;&gt;"Resultado total",('FUENTE NO BORRAR'!G1757),""))</f>
        <v>3262835.36</v>
      </c>
      <c r="H1739" s="6">
        <f>IF('FUENTE NO BORRAR'!H1757="","",IF('FUENTE NO BORRAR'!$A1757&lt;&gt;"Resultado total",('FUENTE NO BORRAR'!H1757),""))</f>
        <v>3262835.36</v>
      </c>
      <c r="I1739" s="6">
        <f>IF('FUENTE NO BORRAR'!I1757="","",IF('FUENTE NO BORRAR'!$A1757&lt;&gt;"Resultado total",('FUENTE NO BORRAR'!I1757),""))</f>
        <v>0</v>
      </c>
    </row>
    <row r="1740" spans="1:9" x14ac:dyDescent="0.2">
      <c r="A1740" s="5" t="str">
        <f>IF('FUENTE NO BORRAR'!A1758="","",(IF('FUENTE NO BORRAR'!A1758&lt;&gt;"Resultado total",'FUENTE NO BORRAR'!A1758,"")))</f>
        <v/>
      </c>
      <c r="B1740" s="5" t="str">
        <f>IF('FUENTE NO BORRAR'!B1758="","",'FUENTE NO BORRAR'!B1758)</f>
        <v/>
      </c>
      <c r="C1740" s="5" t="str">
        <f>IF('FUENTE NO BORRAR'!C1758="","",'FUENTE NO BORRAR'!C1758)</f>
        <v/>
      </c>
      <c r="D1740" s="5" t="str">
        <f>IF('FUENTE NO BORRAR'!D1758="","",'FUENTE NO BORRAR'!D1758)</f>
        <v/>
      </c>
      <c r="E1740" s="5" t="str">
        <f>IF('FUENTE NO BORRAR'!E1758="","",'FUENTE NO BORRAR'!E1758)</f>
        <v/>
      </c>
      <c r="F1740" s="6">
        <f>IF('FUENTE NO BORRAR'!F1758="","",IF('FUENTE NO BORRAR'!$A1758&lt;&gt;"Resultado total",('FUENTE NO BORRAR'!F1758),""))</f>
        <v>23532.7</v>
      </c>
      <c r="G1740" s="6">
        <f>IF('FUENTE NO BORRAR'!G1758="","",IF('FUENTE NO BORRAR'!$A1758&lt;&gt;"Resultado total",('FUENTE NO BORRAR'!G1758),""))</f>
        <v>23532.7</v>
      </c>
      <c r="H1740" s="6">
        <f>IF('FUENTE NO BORRAR'!H1758="","",IF('FUENTE NO BORRAR'!$A1758&lt;&gt;"Resultado total",('FUENTE NO BORRAR'!H1758),""))</f>
        <v>23426.720000000001</v>
      </c>
      <c r="I1740" s="6">
        <f>IF('FUENTE NO BORRAR'!I1758="","",IF('FUENTE NO BORRAR'!$A1758&lt;&gt;"Resultado total",('FUENTE NO BORRAR'!I1758),""))</f>
        <v>0</v>
      </c>
    </row>
    <row r="1741" spans="1:9" x14ac:dyDescent="0.2">
      <c r="A1741" s="5" t="str">
        <f>IF('FUENTE NO BORRAR'!A1759="","",(IF('FUENTE NO BORRAR'!A1759&lt;&gt;"Resultado total",'FUENTE NO BORRAR'!A1759,"")))</f>
        <v/>
      </c>
      <c r="B1741" s="5" t="str">
        <f>IF('FUENTE NO BORRAR'!B1759="","",'FUENTE NO BORRAR'!B1759)</f>
        <v/>
      </c>
      <c r="C1741" s="5" t="str">
        <f>IF('FUENTE NO BORRAR'!C1759="","",'FUENTE NO BORRAR'!C1759)</f>
        <v/>
      </c>
      <c r="D1741" s="5" t="str">
        <f>IF('FUENTE NO BORRAR'!D1759="","",'FUENTE NO BORRAR'!D1759)</f>
        <v/>
      </c>
      <c r="E1741" s="5" t="str">
        <f>IF('FUENTE NO BORRAR'!E1759="","",'FUENTE NO BORRAR'!E1759)</f>
        <v/>
      </c>
      <c r="F1741" s="6">
        <f>IF('FUENTE NO BORRAR'!F1759="","",IF('FUENTE NO BORRAR'!$A1759&lt;&gt;"Resultado total",('FUENTE NO BORRAR'!F1759),""))</f>
        <v>2747.48</v>
      </c>
      <c r="G1741" s="6">
        <f>IF('FUENTE NO BORRAR'!G1759="","",IF('FUENTE NO BORRAR'!$A1759&lt;&gt;"Resultado total",('FUENTE NO BORRAR'!G1759),""))</f>
        <v>2747.48</v>
      </c>
      <c r="H1741" s="6">
        <f>IF('FUENTE NO BORRAR'!H1759="","",IF('FUENTE NO BORRAR'!$A1759&lt;&gt;"Resultado total",('FUENTE NO BORRAR'!H1759),""))</f>
        <v>2747.48</v>
      </c>
      <c r="I1741" s="6">
        <f>IF('FUENTE NO BORRAR'!I1759="","",IF('FUENTE NO BORRAR'!$A1759&lt;&gt;"Resultado total",('FUENTE NO BORRAR'!I1759),""))</f>
        <v>0</v>
      </c>
    </row>
    <row r="1742" spans="1:9" x14ac:dyDescent="0.2">
      <c r="A1742" s="5" t="str">
        <f>IF('FUENTE NO BORRAR'!A1760="","",(IF('FUENTE NO BORRAR'!A1760&lt;&gt;"Resultado total",'FUENTE NO BORRAR'!A1760,"")))</f>
        <v/>
      </c>
      <c r="B1742" s="5" t="str">
        <f>IF('FUENTE NO BORRAR'!B1760="","",'FUENTE NO BORRAR'!B1760)</f>
        <v/>
      </c>
      <c r="C1742" s="5" t="str">
        <f>IF('FUENTE NO BORRAR'!C1760="","",'FUENTE NO BORRAR'!C1760)</f>
        <v/>
      </c>
      <c r="D1742" s="5" t="str">
        <f>IF('FUENTE NO BORRAR'!D1760="","",'FUENTE NO BORRAR'!D1760)</f>
        <v/>
      </c>
      <c r="E1742" s="5" t="str">
        <f>IF('FUENTE NO BORRAR'!E1760="","",'FUENTE NO BORRAR'!E1760)</f>
        <v/>
      </c>
      <c r="F1742" s="6">
        <f>IF('FUENTE NO BORRAR'!F1760="","",IF('FUENTE NO BORRAR'!$A1760&lt;&gt;"Resultado total",('FUENTE NO BORRAR'!F1760),""))</f>
        <v>2088.7800000000002</v>
      </c>
      <c r="G1742" s="6">
        <f>IF('FUENTE NO BORRAR'!G1760="","",IF('FUENTE NO BORRAR'!$A1760&lt;&gt;"Resultado total",('FUENTE NO BORRAR'!G1760),""))</f>
        <v>2088.7800000000002</v>
      </c>
      <c r="H1742" s="6">
        <f>IF('FUENTE NO BORRAR'!H1760="","",IF('FUENTE NO BORRAR'!$A1760&lt;&gt;"Resultado total",('FUENTE NO BORRAR'!H1760),""))</f>
        <v>2088.7800000000002</v>
      </c>
      <c r="I1742" s="6">
        <f>IF('FUENTE NO BORRAR'!I1760="","",IF('FUENTE NO BORRAR'!$A1760&lt;&gt;"Resultado total",('FUENTE NO BORRAR'!I1760),""))</f>
        <v>0</v>
      </c>
    </row>
    <row r="1743" spans="1:9" x14ac:dyDescent="0.2">
      <c r="A1743" s="5" t="str">
        <f>IF('FUENTE NO BORRAR'!A1761="","",(IF('FUENTE NO BORRAR'!A1761&lt;&gt;"Resultado total",'FUENTE NO BORRAR'!A1761,"")))</f>
        <v/>
      </c>
      <c r="B1743" s="5" t="str">
        <f>IF('FUENTE NO BORRAR'!B1761="","",'FUENTE NO BORRAR'!B1761)</f>
        <v/>
      </c>
      <c r="C1743" s="5" t="str">
        <f>IF('FUENTE NO BORRAR'!C1761="","",'FUENTE NO BORRAR'!C1761)</f>
        <v/>
      </c>
      <c r="D1743" s="5" t="str">
        <f>IF('FUENTE NO BORRAR'!D1761="","",'FUENTE NO BORRAR'!D1761)</f>
        <v/>
      </c>
      <c r="E1743" s="5" t="str">
        <f>IF('FUENTE NO BORRAR'!E1761="","",'FUENTE NO BORRAR'!E1761)</f>
        <v/>
      </c>
      <c r="F1743" s="6">
        <f>IF('FUENTE NO BORRAR'!F1761="","",IF('FUENTE NO BORRAR'!$A1761&lt;&gt;"Resultado total",('FUENTE NO BORRAR'!F1761),""))</f>
        <v>24187.93</v>
      </c>
      <c r="G1743" s="6">
        <f>IF('FUENTE NO BORRAR'!G1761="","",IF('FUENTE NO BORRAR'!$A1761&lt;&gt;"Resultado total",('FUENTE NO BORRAR'!G1761),""))</f>
        <v>24187.93</v>
      </c>
      <c r="H1743" s="6">
        <f>IF('FUENTE NO BORRAR'!H1761="","",IF('FUENTE NO BORRAR'!$A1761&lt;&gt;"Resultado total",('FUENTE NO BORRAR'!H1761),""))</f>
        <v>22421.23</v>
      </c>
      <c r="I1743" s="6">
        <f>IF('FUENTE NO BORRAR'!I1761="","",IF('FUENTE NO BORRAR'!$A1761&lt;&gt;"Resultado total",('FUENTE NO BORRAR'!I1761),""))</f>
        <v>0</v>
      </c>
    </row>
    <row r="1744" spans="1:9" x14ac:dyDescent="0.2">
      <c r="A1744" s="5" t="str">
        <f>IF('FUENTE NO BORRAR'!A1762="","",(IF('FUENTE NO BORRAR'!A1762&lt;&gt;"Resultado total",'FUENTE NO BORRAR'!A1762,"")))</f>
        <v/>
      </c>
      <c r="B1744" s="5" t="str">
        <f>IF('FUENTE NO BORRAR'!B1762="","",'FUENTE NO BORRAR'!B1762)</f>
        <v/>
      </c>
      <c r="C1744" s="5" t="str">
        <f>IF('FUENTE NO BORRAR'!C1762="","",'FUENTE NO BORRAR'!C1762)</f>
        <v/>
      </c>
      <c r="D1744" s="5" t="str">
        <f>IF('FUENTE NO BORRAR'!D1762="","",'FUENTE NO BORRAR'!D1762)</f>
        <v/>
      </c>
      <c r="E1744" s="5" t="str">
        <f>IF('FUENTE NO BORRAR'!E1762="","",'FUENTE NO BORRAR'!E1762)</f>
        <v/>
      </c>
      <c r="F1744" s="6">
        <f>IF('FUENTE NO BORRAR'!F1762="","",IF('FUENTE NO BORRAR'!$A1762&lt;&gt;"Resultado total",('FUENTE NO BORRAR'!F1762),""))</f>
        <v>4523.59</v>
      </c>
      <c r="G1744" s="6">
        <f>IF('FUENTE NO BORRAR'!G1762="","",IF('FUENTE NO BORRAR'!$A1762&lt;&gt;"Resultado total",('FUENTE NO BORRAR'!G1762),""))</f>
        <v>4523.59</v>
      </c>
      <c r="H1744" s="6">
        <f>IF('FUENTE NO BORRAR'!H1762="","",IF('FUENTE NO BORRAR'!$A1762&lt;&gt;"Resultado total",('FUENTE NO BORRAR'!H1762),""))</f>
        <v>4523.59</v>
      </c>
      <c r="I1744" s="6">
        <f>IF('FUENTE NO BORRAR'!I1762="","",IF('FUENTE NO BORRAR'!$A1762&lt;&gt;"Resultado total",('FUENTE NO BORRAR'!I1762),""))</f>
        <v>0</v>
      </c>
    </row>
    <row r="1745" spans="1:9" x14ac:dyDescent="0.2">
      <c r="A1745" s="5" t="str">
        <f>IF('FUENTE NO BORRAR'!A1763="","",(IF('FUENTE NO BORRAR'!A1763&lt;&gt;"Resultado total",'FUENTE NO BORRAR'!A1763,"")))</f>
        <v/>
      </c>
      <c r="B1745" s="5" t="str">
        <f>IF('FUENTE NO BORRAR'!B1763="","",'FUENTE NO BORRAR'!B1763)</f>
        <v/>
      </c>
      <c r="C1745" s="5" t="str">
        <f>IF('FUENTE NO BORRAR'!C1763="","",'FUENTE NO BORRAR'!C1763)</f>
        <v/>
      </c>
      <c r="D1745" s="5" t="str">
        <f>IF('FUENTE NO BORRAR'!D1763="","",'FUENTE NO BORRAR'!D1763)</f>
        <v/>
      </c>
      <c r="E1745" s="5" t="str">
        <f>IF('FUENTE NO BORRAR'!E1763="","",'FUENTE NO BORRAR'!E1763)</f>
        <v/>
      </c>
      <c r="F1745" s="6">
        <f>IF('FUENTE NO BORRAR'!F1763="","",IF('FUENTE NO BORRAR'!$A1763&lt;&gt;"Resultado total",('FUENTE NO BORRAR'!F1763),""))</f>
        <v>422716.86</v>
      </c>
      <c r="G1745" s="6">
        <f>IF('FUENTE NO BORRAR'!G1763="","",IF('FUENTE NO BORRAR'!$A1763&lt;&gt;"Resultado total",('FUENTE NO BORRAR'!G1763),""))</f>
        <v>422716.86</v>
      </c>
      <c r="H1745" s="6">
        <f>IF('FUENTE NO BORRAR'!H1763="","",IF('FUENTE NO BORRAR'!$A1763&lt;&gt;"Resultado total",('FUENTE NO BORRAR'!H1763),""))</f>
        <v>367895.77</v>
      </c>
      <c r="I1745" s="6">
        <f>IF('FUENTE NO BORRAR'!I1763="","",IF('FUENTE NO BORRAR'!$A1763&lt;&gt;"Resultado total",('FUENTE NO BORRAR'!I1763),""))</f>
        <v>0</v>
      </c>
    </row>
    <row r="1746" spans="1:9" x14ac:dyDescent="0.2">
      <c r="A1746" s="5" t="str">
        <f>IF('FUENTE NO BORRAR'!A1764="","",(IF('FUENTE NO BORRAR'!A1764&lt;&gt;"Resultado total",'FUENTE NO BORRAR'!A1764,"")))</f>
        <v/>
      </c>
      <c r="B1746" s="5" t="str">
        <f>IF('FUENTE NO BORRAR'!B1764="","",'FUENTE NO BORRAR'!B1764)</f>
        <v/>
      </c>
      <c r="C1746" s="5" t="str">
        <f>IF('FUENTE NO BORRAR'!C1764="","",'FUENTE NO BORRAR'!C1764)</f>
        <v/>
      </c>
      <c r="D1746" s="5" t="str">
        <f>IF('FUENTE NO BORRAR'!D1764="","",'FUENTE NO BORRAR'!D1764)</f>
        <v/>
      </c>
      <c r="E1746" s="5" t="str">
        <f>IF('FUENTE NO BORRAR'!E1764="","",'FUENTE NO BORRAR'!E1764)</f>
        <v/>
      </c>
      <c r="F1746" s="6">
        <f>IF('FUENTE NO BORRAR'!F1764="","",IF('FUENTE NO BORRAR'!$A1764&lt;&gt;"Resultado total",('FUENTE NO BORRAR'!F1764),""))</f>
        <v>22846.79</v>
      </c>
      <c r="G1746" s="6">
        <f>IF('FUENTE NO BORRAR'!G1764="","",IF('FUENTE NO BORRAR'!$A1764&lt;&gt;"Resultado total",('FUENTE NO BORRAR'!G1764),""))</f>
        <v>22846.79</v>
      </c>
      <c r="H1746" s="6">
        <f>IF('FUENTE NO BORRAR'!H1764="","",IF('FUENTE NO BORRAR'!$A1764&lt;&gt;"Resultado total",('FUENTE NO BORRAR'!H1764),""))</f>
        <v>22262.39</v>
      </c>
      <c r="I1746" s="6">
        <f>IF('FUENTE NO BORRAR'!I1764="","",IF('FUENTE NO BORRAR'!$A1764&lt;&gt;"Resultado total",('FUENTE NO BORRAR'!I1764),""))</f>
        <v>0</v>
      </c>
    </row>
    <row r="1747" spans="1:9" x14ac:dyDescent="0.2">
      <c r="A1747" s="5" t="str">
        <f>IF('FUENTE NO BORRAR'!A1765="","",(IF('FUENTE NO BORRAR'!A1765&lt;&gt;"Resultado total",'FUENTE NO BORRAR'!A1765,"")))</f>
        <v/>
      </c>
      <c r="B1747" s="5" t="str">
        <f>IF('FUENTE NO BORRAR'!B1765="","",'FUENTE NO BORRAR'!B1765)</f>
        <v/>
      </c>
      <c r="C1747" s="5" t="str">
        <f>IF('FUENTE NO BORRAR'!C1765="","",'FUENTE NO BORRAR'!C1765)</f>
        <v/>
      </c>
      <c r="D1747" s="5" t="str">
        <f>IF('FUENTE NO BORRAR'!D1765="","",'FUENTE NO BORRAR'!D1765)</f>
        <v/>
      </c>
      <c r="E1747" s="5" t="str">
        <f>IF('FUENTE NO BORRAR'!E1765="","",'FUENTE NO BORRAR'!E1765)</f>
        <v/>
      </c>
      <c r="F1747" s="6">
        <f>IF('FUENTE NO BORRAR'!F1765="","",IF('FUENTE NO BORRAR'!$A1765&lt;&gt;"Resultado total",('FUENTE NO BORRAR'!F1765),""))</f>
        <v>0</v>
      </c>
      <c r="G1747" s="6">
        <f>IF('FUENTE NO BORRAR'!G1765="","",IF('FUENTE NO BORRAR'!$A1765&lt;&gt;"Resultado total",('FUENTE NO BORRAR'!G1765),""))</f>
        <v>0</v>
      </c>
      <c r="H1747" s="6">
        <f>IF('FUENTE NO BORRAR'!H1765="","",IF('FUENTE NO BORRAR'!$A1765&lt;&gt;"Resultado total",('FUENTE NO BORRAR'!H1765),""))</f>
        <v>0</v>
      </c>
      <c r="I1747" s="6">
        <f>IF('FUENTE NO BORRAR'!I1765="","",IF('FUENTE NO BORRAR'!$A1765&lt;&gt;"Resultado total",('FUENTE NO BORRAR'!I1765),""))</f>
        <v>0</v>
      </c>
    </row>
    <row r="1748" spans="1:9" x14ac:dyDescent="0.2">
      <c r="A1748" s="5" t="str">
        <f>IF('FUENTE NO BORRAR'!A1766="","",(IF('FUENTE NO BORRAR'!A1766&lt;&gt;"Resultado total",'FUENTE NO BORRAR'!A1766,"")))</f>
        <v/>
      </c>
      <c r="B1748" s="5" t="str">
        <f>IF('FUENTE NO BORRAR'!B1766="","",'FUENTE NO BORRAR'!B1766)</f>
        <v/>
      </c>
      <c r="C1748" s="5" t="str">
        <f>IF('FUENTE NO BORRAR'!C1766="","",'FUENTE NO BORRAR'!C1766)</f>
        <v/>
      </c>
      <c r="D1748" s="5" t="str">
        <f>IF('FUENTE NO BORRAR'!D1766="","",'FUENTE NO BORRAR'!D1766)</f>
        <v/>
      </c>
      <c r="E1748" s="5" t="str">
        <f>IF('FUENTE NO BORRAR'!E1766="","",'FUENTE NO BORRAR'!E1766)</f>
        <v/>
      </c>
      <c r="F1748" s="6">
        <f>IF('FUENTE NO BORRAR'!F1766="","",IF('FUENTE NO BORRAR'!$A1766&lt;&gt;"Resultado total",('FUENTE NO BORRAR'!F1766),""))</f>
        <v>1221.98</v>
      </c>
      <c r="G1748" s="6">
        <f>IF('FUENTE NO BORRAR'!G1766="","",IF('FUENTE NO BORRAR'!$A1766&lt;&gt;"Resultado total",('FUENTE NO BORRAR'!G1766),""))</f>
        <v>1221.98</v>
      </c>
      <c r="H1748" s="6">
        <f>IF('FUENTE NO BORRAR'!H1766="","",IF('FUENTE NO BORRAR'!$A1766&lt;&gt;"Resultado total",('FUENTE NO BORRAR'!H1766),""))</f>
        <v>760.01</v>
      </c>
      <c r="I1748" s="6">
        <f>IF('FUENTE NO BORRAR'!I1766="","",IF('FUENTE NO BORRAR'!$A1766&lt;&gt;"Resultado total",('FUENTE NO BORRAR'!I1766),""))</f>
        <v>0</v>
      </c>
    </row>
    <row r="1749" spans="1:9" x14ac:dyDescent="0.2">
      <c r="A1749" s="5" t="str">
        <f>IF('FUENTE NO BORRAR'!A1767="","",(IF('FUENTE NO BORRAR'!A1767&lt;&gt;"Resultado total",'FUENTE NO BORRAR'!A1767,"")))</f>
        <v/>
      </c>
      <c r="B1749" s="5" t="str">
        <f>IF('FUENTE NO BORRAR'!B1767="","",'FUENTE NO BORRAR'!B1767)</f>
        <v/>
      </c>
      <c r="C1749" s="5" t="str">
        <f>IF('FUENTE NO BORRAR'!C1767="","",'FUENTE NO BORRAR'!C1767)</f>
        <v/>
      </c>
      <c r="D1749" s="5" t="str">
        <f>IF('FUENTE NO BORRAR'!D1767="","",'FUENTE NO BORRAR'!D1767)</f>
        <v/>
      </c>
      <c r="E1749" s="5" t="str">
        <f>IF('FUENTE NO BORRAR'!E1767="","",'FUENTE NO BORRAR'!E1767)</f>
        <v/>
      </c>
      <c r="F1749" s="6">
        <f>IF('FUENTE NO BORRAR'!F1767="","",IF('FUENTE NO BORRAR'!$A1767&lt;&gt;"Resultado total",('FUENTE NO BORRAR'!F1767),""))</f>
        <v>2670.33</v>
      </c>
      <c r="G1749" s="6">
        <f>IF('FUENTE NO BORRAR'!G1767="","",IF('FUENTE NO BORRAR'!$A1767&lt;&gt;"Resultado total",('FUENTE NO BORRAR'!G1767),""))</f>
        <v>2670.33</v>
      </c>
      <c r="H1749" s="6">
        <f>IF('FUENTE NO BORRAR'!H1767="","",IF('FUENTE NO BORRAR'!$A1767&lt;&gt;"Resultado total",('FUENTE NO BORRAR'!H1767),""))</f>
        <v>2670.33</v>
      </c>
      <c r="I1749" s="6">
        <f>IF('FUENTE NO BORRAR'!I1767="","",IF('FUENTE NO BORRAR'!$A1767&lt;&gt;"Resultado total",('FUENTE NO BORRAR'!I1767),""))</f>
        <v>0</v>
      </c>
    </row>
    <row r="1750" spans="1:9" x14ac:dyDescent="0.2">
      <c r="A1750" s="5" t="str">
        <f>IF('FUENTE NO BORRAR'!A1768="","",(IF('FUENTE NO BORRAR'!A1768&lt;&gt;"Resultado total",'FUENTE NO BORRAR'!A1768,"")))</f>
        <v/>
      </c>
      <c r="B1750" s="5" t="str">
        <f>IF('FUENTE NO BORRAR'!B1768="","",'FUENTE NO BORRAR'!B1768)</f>
        <v/>
      </c>
      <c r="C1750" s="5" t="str">
        <f>IF('FUENTE NO BORRAR'!C1768="","",'FUENTE NO BORRAR'!C1768)</f>
        <v/>
      </c>
      <c r="D1750" s="5" t="str">
        <f>IF('FUENTE NO BORRAR'!D1768="","",'FUENTE NO BORRAR'!D1768)</f>
        <v/>
      </c>
      <c r="E1750" s="5" t="str">
        <f>IF('FUENTE NO BORRAR'!E1768="","",'FUENTE NO BORRAR'!E1768)</f>
        <v/>
      </c>
      <c r="F1750" s="6">
        <f>IF('FUENTE NO BORRAR'!F1768="","",IF('FUENTE NO BORRAR'!$A1768&lt;&gt;"Resultado total",('FUENTE NO BORRAR'!F1768),""))</f>
        <v>1339.25</v>
      </c>
      <c r="G1750" s="6">
        <f>IF('FUENTE NO BORRAR'!G1768="","",IF('FUENTE NO BORRAR'!$A1768&lt;&gt;"Resultado total",('FUENTE NO BORRAR'!G1768),""))</f>
        <v>1339.25</v>
      </c>
      <c r="H1750" s="6">
        <f>IF('FUENTE NO BORRAR'!H1768="","",IF('FUENTE NO BORRAR'!$A1768&lt;&gt;"Resultado total",('FUENTE NO BORRAR'!H1768),""))</f>
        <v>1339.25</v>
      </c>
      <c r="I1750" s="6">
        <f>IF('FUENTE NO BORRAR'!I1768="","",IF('FUENTE NO BORRAR'!$A1768&lt;&gt;"Resultado total",('FUENTE NO BORRAR'!I1768),""))</f>
        <v>0</v>
      </c>
    </row>
    <row r="1751" spans="1:9" x14ac:dyDescent="0.2">
      <c r="A1751" s="5" t="str">
        <f>IF('FUENTE NO BORRAR'!A1769="","",(IF('FUENTE NO BORRAR'!A1769&lt;&gt;"Resultado total",'FUENTE NO BORRAR'!A1769,"")))</f>
        <v/>
      </c>
      <c r="B1751" s="5" t="str">
        <f>IF('FUENTE NO BORRAR'!B1769="","",'FUENTE NO BORRAR'!B1769)</f>
        <v/>
      </c>
      <c r="C1751" s="5" t="str">
        <f>IF('FUENTE NO BORRAR'!C1769="","",'FUENTE NO BORRAR'!C1769)</f>
        <v/>
      </c>
      <c r="D1751" s="5" t="str">
        <f>IF('FUENTE NO BORRAR'!D1769="","",'FUENTE NO BORRAR'!D1769)</f>
        <v/>
      </c>
      <c r="E1751" s="5" t="str">
        <f>IF('FUENTE NO BORRAR'!E1769="","",'FUENTE NO BORRAR'!E1769)</f>
        <v/>
      </c>
      <c r="F1751" s="6">
        <f>IF('FUENTE NO BORRAR'!F1769="","",IF('FUENTE NO BORRAR'!$A1769&lt;&gt;"Resultado total",('FUENTE NO BORRAR'!F1769),""))</f>
        <v>304</v>
      </c>
      <c r="G1751" s="6">
        <f>IF('FUENTE NO BORRAR'!G1769="","",IF('FUENTE NO BORRAR'!$A1769&lt;&gt;"Resultado total",('FUENTE NO BORRAR'!G1769),""))</f>
        <v>304</v>
      </c>
      <c r="H1751" s="6">
        <f>IF('FUENTE NO BORRAR'!H1769="","",IF('FUENTE NO BORRAR'!$A1769&lt;&gt;"Resultado total",('FUENTE NO BORRAR'!H1769),""))</f>
        <v>304</v>
      </c>
      <c r="I1751" s="6">
        <f>IF('FUENTE NO BORRAR'!I1769="","",IF('FUENTE NO BORRAR'!$A1769&lt;&gt;"Resultado total",('FUENTE NO BORRAR'!I1769),""))</f>
        <v>0</v>
      </c>
    </row>
    <row r="1752" spans="1:9" x14ac:dyDescent="0.2">
      <c r="A1752" s="5" t="str">
        <f>IF('FUENTE NO BORRAR'!A1770="","",(IF('FUENTE NO BORRAR'!A1770&lt;&gt;"Resultado total",'FUENTE NO BORRAR'!A1770,"")))</f>
        <v/>
      </c>
      <c r="B1752" s="5" t="str">
        <f>IF('FUENTE NO BORRAR'!B1770="","",'FUENTE NO BORRAR'!B1770)</f>
        <v/>
      </c>
      <c r="C1752" s="5" t="str">
        <f>IF('FUENTE NO BORRAR'!C1770="","",'FUENTE NO BORRAR'!C1770)</f>
        <v/>
      </c>
      <c r="D1752" s="5" t="str">
        <f>IF('FUENTE NO BORRAR'!D1770="","",'FUENTE NO BORRAR'!D1770)</f>
        <v/>
      </c>
      <c r="E1752" s="5" t="str">
        <f>IF('FUENTE NO BORRAR'!E1770="","",'FUENTE NO BORRAR'!E1770)</f>
        <v/>
      </c>
      <c r="F1752" s="6">
        <f>IF('FUENTE NO BORRAR'!F1770="","",IF('FUENTE NO BORRAR'!$A1770&lt;&gt;"Resultado total",('FUENTE NO BORRAR'!F1770),""))</f>
        <v>1143.49</v>
      </c>
      <c r="G1752" s="6">
        <f>IF('FUENTE NO BORRAR'!G1770="","",IF('FUENTE NO BORRAR'!$A1770&lt;&gt;"Resultado total",('FUENTE NO BORRAR'!G1770),""))</f>
        <v>1143.49</v>
      </c>
      <c r="H1752" s="6">
        <f>IF('FUENTE NO BORRAR'!H1770="","",IF('FUENTE NO BORRAR'!$A1770&lt;&gt;"Resultado total",('FUENTE NO BORRAR'!H1770),""))</f>
        <v>236.49</v>
      </c>
      <c r="I1752" s="6">
        <f>IF('FUENTE NO BORRAR'!I1770="","",IF('FUENTE NO BORRAR'!$A1770&lt;&gt;"Resultado total",('FUENTE NO BORRAR'!I1770),""))</f>
        <v>0</v>
      </c>
    </row>
    <row r="1753" spans="1:9" x14ac:dyDescent="0.2">
      <c r="A1753" s="5" t="str">
        <f>IF('FUENTE NO BORRAR'!A1771="","",(IF('FUENTE NO BORRAR'!A1771&lt;&gt;"Resultado total",'FUENTE NO BORRAR'!A1771,"")))</f>
        <v/>
      </c>
      <c r="B1753" s="5" t="str">
        <f>IF('FUENTE NO BORRAR'!B1771="","",'FUENTE NO BORRAR'!B1771)</f>
        <v/>
      </c>
      <c r="C1753" s="5" t="str">
        <f>IF('FUENTE NO BORRAR'!C1771="","",'FUENTE NO BORRAR'!C1771)</f>
        <v/>
      </c>
      <c r="D1753" s="5" t="str">
        <f>IF('FUENTE NO BORRAR'!D1771="","",'FUENTE NO BORRAR'!D1771)</f>
        <v/>
      </c>
      <c r="E1753" s="5" t="str">
        <f>IF('FUENTE NO BORRAR'!E1771="","",'FUENTE NO BORRAR'!E1771)</f>
        <v/>
      </c>
      <c r="F1753" s="6">
        <f>IF('FUENTE NO BORRAR'!F1771="","",IF('FUENTE NO BORRAR'!$A1771&lt;&gt;"Resultado total",('FUENTE NO BORRAR'!F1771),""))</f>
        <v>85.84</v>
      </c>
      <c r="G1753" s="6">
        <f>IF('FUENTE NO BORRAR'!G1771="","",IF('FUENTE NO BORRAR'!$A1771&lt;&gt;"Resultado total",('FUENTE NO BORRAR'!G1771),""))</f>
        <v>85.84</v>
      </c>
      <c r="H1753" s="6">
        <f>IF('FUENTE NO BORRAR'!H1771="","",IF('FUENTE NO BORRAR'!$A1771&lt;&gt;"Resultado total",('FUENTE NO BORRAR'!H1771),""))</f>
        <v>85.84</v>
      </c>
      <c r="I1753" s="6">
        <f>IF('FUENTE NO BORRAR'!I1771="","",IF('FUENTE NO BORRAR'!$A1771&lt;&gt;"Resultado total",('FUENTE NO BORRAR'!I1771),""))</f>
        <v>0</v>
      </c>
    </row>
    <row r="1754" spans="1:9" x14ac:dyDescent="0.2">
      <c r="A1754" s="5" t="str">
        <f>IF('FUENTE NO BORRAR'!A1772="","",(IF('FUENTE NO BORRAR'!A1772&lt;&gt;"Resultado total",'FUENTE NO BORRAR'!A1772,"")))</f>
        <v/>
      </c>
      <c r="B1754" s="5" t="str">
        <f>IF('FUENTE NO BORRAR'!B1772="","",'FUENTE NO BORRAR'!B1772)</f>
        <v/>
      </c>
      <c r="C1754" s="5" t="str">
        <f>IF('FUENTE NO BORRAR'!C1772="","",'FUENTE NO BORRAR'!C1772)</f>
        <v/>
      </c>
      <c r="D1754" s="5" t="str">
        <f>IF('FUENTE NO BORRAR'!D1772="","",'FUENTE NO BORRAR'!D1772)</f>
        <v/>
      </c>
      <c r="E1754" s="5" t="str">
        <f>IF('FUENTE NO BORRAR'!E1772="","",'FUENTE NO BORRAR'!E1772)</f>
        <v/>
      </c>
      <c r="F1754" s="6">
        <f>IF('FUENTE NO BORRAR'!F1772="","",IF('FUENTE NO BORRAR'!$A1772&lt;&gt;"Resultado total",('FUENTE NO BORRAR'!F1772),""))</f>
        <v>260</v>
      </c>
      <c r="G1754" s="6">
        <f>IF('FUENTE NO BORRAR'!G1772="","",IF('FUENTE NO BORRAR'!$A1772&lt;&gt;"Resultado total",('FUENTE NO BORRAR'!G1772),""))</f>
        <v>260</v>
      </c>
      <c r="H1754" s="6">
        <f>IF('FUENTE NO BORRAR'!H1772="","",IF('FUENTE NO BORRAR'!$A1772&lt;&gt;"Resultado total",('FUENTE NO BORRAR'!H1772),""))</f>
        <v>260</v>
      </c>
      <c r="I1754" s="6">
        <f>IF('FUENTE NO BORRAR'!I1772="","",IF('FUENTE NO BORRAR'!$A1772&lt;&gt;"Resultado total",('FUENTE NO BORRAR'!I1772),""))</f>
        <v>0</v>
      </c>
    </row>
    <row r="1755" spans="1:9" x14ac:dyDescent="0.2">
      <c r="A1755" s="5" t="str">
        <f>IF('FUENTE NO BORRAR'!A1773="","",(IF('FUENTE NO BORRAR'!A1773&lt;&gt;"Resultado total",'FUENTE NO BORRAR'!A1773,"")))</f>
        <v/>
      </c>
      <c r="B1755" s="5" t="str">
        <f>IF('FUENTE NO BORRAR'!B1773="","",'FUENTE NO BORRAR'!B1773)</f>
        <v/>
      </c>
      <c r="C1755" s="5" t="str">
        <f>IF('FUENTE NO BORRAR'!C1773="","",'FUENTE NO BORRAR'!C1773)</f>
        <v/>
      </c>
      <c r="D1755" s="5" t="str">
        <f>IF('FUENTE NO BORRAR'!D1773="","",'FUENTE NO BORRAR'!D1773)</f>
        <v/>
      </c>
      <c r="E1755" s="5" t="str">
        <f>IF('FUENTE NO BORRAR'!E1773="","",'FUENTE NO BORRAR'!E1773)</f>
        <v/>
      </c>
      <c r="F1755" s="6">
        <f>IF('FUENTE NO BORRAR'!F1773="","",IF('FUENTE NO BORRAR'!$A1773&lt;&gt;"Resultado total",('FUENTE NO BORRAR'!F1773),""))</f>
        <v>63774.59</v>
      </c>
      <c r="G1755" s="6">
        <f>IF('FUENTE NO BORRAR'!G1773="","",IF('FUENTE NO BORRAR'!$A1773&lt;&gt;"Resultado total",('FUENTE NO BORRAR'!G1773),""))</f>
        <v>63774.59</v>
      </c>
      <c r="H1755" s="6">
        <f>IF('FUENTE NO BORRAR'!H1773="","",IF('FUENTE NO BORRAR'!$A1773&lt;&gt;"Resultado total",('FUENTE NO BORRAR'!H1773),""))</f>
        <v>60817.59</v>
      </c>
      <c r="I1755" s="6">
        <f>IF('FUENTE NO BORRAR'!I1773="","",IF('FUENTE NO BORRAR'!$A1773&lt;&gt;"Resultado total",('FUENTE NO BORRAR'!I1773),""))</f>
        <v>0</v>
      </c>
    </row>
    <row r="1756" spans="1:9" x14ac:dyDescent="0.2">
      <c r="A1756" s="5" t="str">
        <f>IF('FUENTE NO BORRAR'!A1774="","",(IF('FUENTE NO BORRAR'!A1774&lt;&gt;"Resultado total",'FUENTE NO BORRAR'!A1774,"")))</f>
        <v/>
      </c>
      <c r="B1756" s="5" t="str">
        <f>IF('FUENTE NO BORRAR'!B1774="","",'FUENTE NO BORRAR'!B1774)</f>
        <v/>
      </c>
      <c r="C1756" s="5" t="str">
        <f>IF('FUENTE NO BORRAR'!C1774="","",'FUENTE NO BORRAR'!C1774)</f>
        <v/>
      </c>
      <c r="D1756" s="5" t="str">
        <f>IF('FUENTE NO BORRAR'!D1774="","",'FUENTE NO BORRAR'!D1774)</f>
        <v/>
      </c>
      <c r="E1756" s="5" t="str">
        <f>IF('FUENTE NO BORRAR'!E1774="","",'FUENTE NO BORRAR'!E1774)</f>
        <v/>
      </c>
      <c r="F1756" s="6">
        <f>IF('FUENTE NO BORRAR'!F1774="","",IF('FUENTE NO BORRAR'!$A1774&lt;&gt;"Resultado total",('FUENTE NO BORRAR'!F1774),""))</f>
        <v>14814.67</v>
      </c>
      <c r="G1756" s="6">
        <f>IF('FUENTE NO BORRAR'!G1774="","",IF('FUENTE NO BORRAR'!$A1774&lt;&gt;"Resultado total",('FUENTE NO BORRAR'!G1774),""))</f>
        <v>14814.67</v>
      </c>
      <c r="H1756" s="6">
        <f>IF('FUENTE NO BORRAR'!H1774="","",IF('FUENTE NO BORRAR'!$A1774&lt;&gt;"Resultado total",('FUENTE NO BORRAR'!H1774),""))</f>
        <v>14814.67</v>
      </c>
      <c r="I1756" s="6">
        <f>IF('FUENTE NO BORRAR'!I1774="","",IF('FUENTE NO BORRAR'!$A1774&lt;&gt;"Resultado total",('FUENTE NO BORRAR'!I1774),""))</f>
        <v>0</v>
      </c>
    </row>
    <row r="1757" spans="1:9" x14ac:dyDescent="0.2">
      <c r="A1757" s="5" t="str">
        <f>IF('FUENTE NO BORRAR'!A1775="","",(IF('FUENTE NO BORRAR'!A1775&lt;&gt;"Resultado total",'FUENTE NO BORRAR'!A1775,"")))</f>
        <v/>
      </c>
      <c r="B1757" s="5" t="str">
        <f>IF('FUENTE NO BORRAR'!B1775="","",'FUENTE NO BORRAR'!B1775)</f>
        <v/>
      </c>
      <c r="C1757" s="5" t="str">
        <f>IF('FUENTE NO BORRAR'!C1775="","",'FUENTE NO BORRAR'!C1775)</f>
        <v/>
      </c>
      <c r="D1757" s="5" t="str">
        <f>IF('FUENTE NO BORRAR'!D1775="","",'FUENTE NO BORRAR'!D1775)</f>
        <v/>
      </c>
      <c r="E1757" s="5" t="str">
        <f>IF('FUENTE NO BORRAR'!E1775="","",'FUENTE NO BORRAR'!E1775)</f>
        <v/>
      </c>
      <c r="F1757" s="6">
        <f>IF('FUENTE NO BORRAR'!F1775="","",IF('FUENTE NO BORRAR'!$A1775&lt;&gt;"Resultado total",('FUENTE NO BORRAR'!F1775),""))</f>
        <v>42738</v>
      </c>
      <c r="G1757" s="6">
        <f>IF('FUENTE NO BORRAR'!G1775="","",IF('FUENTE NO BORRAR'!$A1775&lt;&gt;"Resultado total",('FUENTE NO BORRAR'!G1775),""))</f>
        <v>42738</v>
      </c>
      <c r="H1757" s="6">
        <f>IF('FUENTE NO BORRAR'!H1775="","",IF('FUENTE NO BORRAR'!$A1775&lt;&gt;"Resultado total",('FUENTE NO BORRAR'!H1775),""))</f>
        <v>42738</v>
      </c>
      <c r="I1757" s="6">
        <f>IF('FUENTE NO BORRAR'!I1775="","",IF('FUENTE NO BORRAR'!$A1775&lt;&gt;"Resultado total",('FUENTE NO BORRAR'!I1775),""))</f>
        <v>0</v>
      </c>
    </row>
    <row r="1758" spans="1:9" x14ac:dyDescent="0.2">
      <c r="A1758" s="5" t="str">
        <f>IF('FUENTE NO BORRAR'!A1776="","",(IF('FUENTE NO BORRAR'!A1776&lt;&gt;"Resultado total",'FUENTE NO BORRAR'!A1776,"")))</f>
        <v/>
      </c>
      <c r="B1758" s="5" t="str">
        <f>IF('FUENTE NO BORRAR'!B1776="","",'FUENTE NO BORRAR'!B1776)</f>
        <v/>
      </c>
      <c r="C1758" s="5" t="str">
        <f>IF('FUENTE NO BORRAR'!C1776="","",'FUENTE NO BORRAR'!C1776)</f>
        <v/>
      </c>
      <c r="D1758" s="5" t="str">
        <f>IF('FUENTE NO BORRAR'!D1776="","",'FUENTE NO BORRAR'!D1776)</f>
        <v/>
      </c>
      <c r="E1758" s="5" t="str">
        <f>IF('FUENTE NO BORRAR'!E1776="","",'FUENTE NO BORRAR'!E1776)</f>
        <v/>
      </c>
      <c r="F1758" s="6">
        <f>IF('FUENTE NO BORRAR'!F1776="","",IF('FUENTE NO BORRAR'!$A1776&lt;&gt;"Resultado total",('FUENTE NO BORRAR'!F1776),""))</f>
        <v>39712.019999999997</v>
      </c>
      <c r="G1758" s="6">
        <f>IF('FUENTE NO BORRAR'!G1776="","",IF('FUENTE NO BORRAR'!$A1776&lt;&gt;"Resultado total",('FUENTE NO BORRAR'!G1776),""))</f>
        <v>39712.019999999997</v>
      </c>
      <c r="H1758" s="6">
        <f>IF('FUENTE NO BORRAR'!H1776="","",IF('FUENTE NO BORRAR'!$A1776&lt;&gt;"Resultado total",('FUENTE NO BORRAR'!H1776),""))</f>
        <v>39712.019999999997</v>
      </c>
      <c r="I1758" s="6">
        <f>IF('FUENTE NO BORRAR'!I1776="","",IF('FUENTE NO BORRAR'!$A1776&lt;&gt;"Resultado total",('FUENTE NO BORRAR'!I1776),""))</f>
        <v>0</v>
      </c>
    </row>
    <row r="1759" spans="1:9" x14ac:dyDescent="0.2">
      <c r="A1759" s="5" t="str">
        <f>IF('FUENTE NO BORRAR'!A1777="","",(IF('FUENTE NO BORRAR'!A1777&lt;&gt;"Resultado total",'FUENTE NO BORRAR'!A1777,"")))</f>
        <v/>
      </c>
      <c r="B1759" s="5" t="str">
        <f>IF('FUENTE NO BORRAR'!B1777="","",'FUENTE NO BORRAR'!B1777)</f>
        <v/>
      </c>
      <c r="C1759" s="5" t="str">
        <f>IF('FUENTE NO BORRAR'!C1777="","",'FUENTE NO BORRAR'!C1777)</f>
        <v/>
      </c>
      <c r="D1759" s="5" t="str">
        <f>IF('FUENTE NO BORRAR'!D1777="","",'FUENTE NO BORRAR'!D1777)</f>
        <v/>
      </c>
      <c r="E1759" s="5" t="str">
        <f>IF('FUENTE NO BORRAR'!E1777="","",'FUENTE NO BORRAR'!E1777)</f>
        <v/>
      </c>
      <c r="F1759" s="6">
        <f>IF('FUENTE NO BORRAR'!F1777="","",IF('FUENTE NO BORRAR'!$A1777&lt;&gt;"Resultado total",('FUENTE NO BORRAR'!F1777),""))</f>
        <v>1394017.85</v>
      </c>
      <c r="G1759" s="6">
        <f>IF('FUENTE NO BORRAR'!G1777="","",IF('FUENTE NO BORRAR'!$A1777&lt;&gt;"Resultado total",('FUENTE NO BORRAR'!G1777),""))</f>
        <v>1394017.85</v>
      </c>
      <c r="H1759" s="6">
        <f>IF('FUENTE NO BORRAR'!H1777="","",IF('FUENTE NO BORRAR'!$A1777&lt;&gt;"Resultado total",('FUENTE NO BORRAR'!H1777),""))</f>
        <v>1283462</v>
      </c>
      <c r="I1759" s="6">
        <f>IF('FUENTE NO BORRAR'!I1777="","",IF('FUENTE NO BORRAR'!$A1777&lt;&gt;"Resultado total",('FUENTE NO BORRAR'!I1777),""))</f>
        <v>0</v>
      </c>
    </row>
    <row r="1760" spans="1:9" x14ac:dyDescent="0.2">
      <c r="A1760" s="5" t="str">
        <f>IF('FUENTE NO BORRAR'!A1778="","",(IF('FUENTE NO BORRAR'!A1778&lt;&gt;"Resultado total",'FUENTE NO BORRAR'!A1778,"")))</f>
        <v/>
      </c>
      <c r="B1760" s="5" t="str">
        <f>IF('FUENTE NO BORRAR'!B1778="","",'FUENTE NO BORRAR'!B1778)</f>
        <v/>
      </c>
      <c r="C1760" s="5" t="str">
        <f>IF('FUENTE NO BORRAR'!C1778="","",'FUENTE NO BORRAR'!C1778)</f>
        <v/>
      </c>
      <c r="D1760" s="5" t="str">
        <f>IF('FUENTE NO BORRAR'!D1778="","",'FUENTE NO BORRAR'!D1778)</f>
        <v/>
      </c>
      <c r="E1760" s="5" t="str">
        <f>IF('FUENTE NO BORRAR'!E1778="","",'FUENTE NO BORRAR'!E1778)</f>
        <v/>
      </c>
      <c r="F1760" s="6">
        <f>IF('FUENTE NO BORRAR'!F1778="","",IF('FUENTE NO BORRAR'!$A1778&lt;&gt;"Resultado total",('FUENTE NO BORRAR'!F1778),""))</f>
        <v>9342.2900000000009</v>
      </c>
      <c r="G1760" s="6">
        <f>IF('FUENTE NO BORRAR'!G1778="","",IF('FUENTE NO BORRAR'!$A1778&lt;&gt;"Resultado total",('FUENTE NO BORRAR'!G1778),""))</f>
        <v>9342.2900000000009</v>
      </c>
      <c r="H1760" s="6">
        <f>IF('FUENTE NO BORRAR'!H1778="","",IF('FUENTE NO BORRAR'!$A1778&lt;&gt;"Resultado total",('FUENTE NO BORRAR'!H1778),""))</f>
        <v>4554.68</v>
      </c>
      <c r="I1760" s="6">
        <f>IF('FUENTE NO BORRAR'!I1778="","",IF('FUENTE NO BORRAR'!$A1778&lt;&gt;"Resultado total",('FUENTE NO BORRAR'!I1778),""))</f>
        <v>0</v>
      </c>
    </row>
    <row r="1761" spans="1:9" x14ac:dyDescent="0.2">
      <c r="A1761" s="5" t="str">
        <f>IF('FUENTE NO BORRAR'!A1779="","",(IF('FUENTE NO BORRAR'!A1779&lt;&gt;"Resultado total",'FUENTE NO BORRAR'!A1779,"")))</f>
        <v/>
      </c>
      <c r="B1761" s="5" t="str">
        <f>IF('FUENTE NO BORRAR'!B1779="","",'FUENTE NO BORRAR'!B1779)</f>
        <v/>
      </c>
      <c r="C1761" s="5" t="str">
        <f>IF('FUENTE NO BORRAR'!C1779="","",'FUENTE NO BORRAR'!C1779)</f>
        <v/>
      </c>
      <c r="D1761" s="5" t="str">
        <f>IF('FUENTE NO BORRAR'!D1779="","",'FUENTE NO BORRAR'!D1779)</f>
        <v/>
      </c>
      <c r="E1761" s="5" t="str">
        <f>IF('FUENTE NO BORRAR'!E1779="","",'FUENTE NO BORRAR'!E1779)</f>
        <v/>
      </c>
      <c r="F1761" s="6">
        <f>IF('FUENTE NO BORRAR'!F1779="","",IF('FUENTE NO BORRAR'!$A1779&lt;&gt;"Resultado total",('FUENTE NO BORRAR'!F1779),""))</f>
        <v>2080</v>
      </c>
      <c r="G1761" s="6">
        <f>IF('FUENTE NO BORRAR'!G1779="","",IF('FUENTE NO BORRAR'!$A1779&lt;&gt;"Resultado total",('FUENTE NO BORRAR'!G1779),""))</f>
        <v>2080</v>
      </c>
      <c r="H1761" s="6">
        <f>IF('FUENTE NO BORRAR'!H1779="","",IF('FUENTE NO BORRAR'!$A1779&lt;&gt;"Resultado total",('FUENTE NO BORRAR'!H1779),""))</f>
        <v>2080</v>
      </c>
      <c r="I1761" s="6">
        <f>IF('FUENTE NO BORRAR'!I1779="","",IF('FUENTE NO BORRAR'!$A1779&lt;&gt;"Resultado total",('FUENTE NO BORRAR'!I1779),""))</f>
        <v>0</v>
      </c>
    </row>
    <row r="1762" spans="1:9" x14ac:dyDescent="0.2">
      <c r="A1762" s="5" t="str">
        <f>IF('FUENTE NO BORRAR'!A1780="","",(IF('FUENTE NO BORRAR'!A1780&lt;&gt;"Resultado total",'FUENTE NO BORRAR'!A1780,"")))</f>
        <v/>
      </c>
      <c r="B1762" s="5" t="str">
        <f>IF('FUENTE NO BORRAR'!B1780="","",'FUENTE NO BORRAR'!B1780)</f>
        <v/>
      </c>
      <c r="C1762" s="5" t="str">
        <f>IF('FUENTE NO BORRAR'!C1780="","",'FUENTE NO BORRAR'!C1780)</f>
        <v/>
      </c>
      <c r="D1762" s="5" t="str">
        <f>IF('FUENTE NO BORRAR'!D1780="","",'FUENTE NO BORRAR'!D1780)</f>
        <v/>
      </c>
      <c r="E1762" s="5" t="str">
        <f>IF('FUENTE NO BORRAR'!E1780="","",'FUENTE NO BORRAR'!E1780)</f>
        <v/>
      </c>
      <c r="F1762" s="6">
        <f>IF('FUENTE NO BORRAR'!F1780="","",IF('FUENTE NO BORRAR'!$A1780&lt;&gt;"Resultado total",('FUENTE NO BORRAR'!F1780),""))</f>
        <v>5476</v>
      </c>
      <c r="G1762" s="6">
        <f>IF('FUENTE NO BORRAR'!G1780="","",IF('FUENTE NO BORRAR'!$A1780&lt;&gt;"Resultado total",('FUENTE NO BORRAR'!G1780),""))</f>
        <v>5476</v>
      </c>
      <c r="H1762" s="6">
        <f>IF('FUENTE NO BORRAR'!H1780="","",IF('FUENTE NO BORRAR'!$A1780&lt;&gt;"Resultado total",('FUENTE NO BORRAR'!H1780),""))</f>
        <v>5476</v>
      </c>
      <c r="I1762" s="6">
        <f>IF('FUENTE NO BORRAR'!I1780="","",IF('FUENTE NO BORRAR'!$A1780&lt;&gt;"Resultado total",('FUENTE NO BORRAR'!I1780),""))</f>
        <v>0</v>
      </c>
    </row>
    <row r="1763" spans="1:9" x14ac:dyDescent="0.2">
      <c r="A1763" s="5" t="str">
        <f>IF('FUENTE NO BORRAR'!A1781="","",(IF('FUENTE NO BORRAR'!A1781&lt;&gt;"Resultado total",'FUENTE NO BORRAR'!A1781,"")))</f>
        <v/>
      </c>
      <c r="B1763" s="5" t="str">
        <f>IF('FUENTE NO BORRAR'!B1781="","",'FUENTE NO BORRAR'!B1781)</f>
        <v/>
      </c>
      <c r="C1763" s="5" t="str">
        <f>IF('FUENTE NO BORRAR'!C1781="","",'FUENTE NO BORRAR'!C1781)</f>
        <v/>
      </c>
      <c r="D1763" s="5" t="str">
        <f>IF('FUENTE NO BORRAR'!D1781="","",'FUENTE NO BORRAR'!D1781)</f>
        <v/>
      </c>
      <c r="E1763" s="5" t="str">
        <f>IF('FUENTE NO BORRAR'!E1781="","",'FUENTE NO BORRAR'!E1781)</f>
        <v/>
      </c>
      <c r="F1763" s="6">
        <f>IF('FUENTE NO BORRAR'!F1781="","",IF('FUENTE NO BORRAR'!$A1781&lt;&gt;"Resultado total",('FUENTE NO BORRAR'!F1781),""))</f>
        <v>249059.34</v>
      </c>
      <c r="G1763" s="6">
        <f>IF('FUENTE NO BORRAR'!G1781="","",IF('FUENTE NO BORRAR'!$A1781&lt;&gt;"Resultado total",('FUENTE NO BORRAR'!G1781),""))</f>
        <v>249059.34</v>
      </c>
      <c r="H1763" s="6">
        <f>IF('FUENTE NO BORRAR'!H1781="","",IF('FUENTE NO BORRAR'!$A1781&lt;&gt;"Resultado total",('FUENTE NO BORRAR'!H1781),""))</f>
        <v>0</v>
      </c>
      <c r="I1763" s="6">
        <f>IF('FUENTE NO BORRAR'!I1781="","",IF('FUENTE NO BORRAR'!$A1781&lt;&gt;"Resultado total",('FUENTE NO BORRAR'!I1781),""))</f>
        <v>0</v>
      </c>
    </row>
    <row r="1764" spans="1:9" x14ac:dyDescent="0.2">
      <c r="A1764" s="5" t="str">
        <f>IF('FUENTE NO BORRAR'!A1782="","",(IF('FUENTE NO BORRAR'!A1782&lt;&gt;"Resultado total",'FUENTE NO BORRAR'!A1782,"")))</f>
        <v/>
      </c>
      <c r="B1764" s="5" t="str">
        <f>IF('FUENTE NO BORRAR'!B1782="","",'FUENTE NO BORRAR'!B1782)</f>
        <v/>
      </c>
      <c r="C1764" s="5" t="str">
        <f>IF('FUENTE NO BORRAR'!C1782="","",'FUENTE NO BORRAR'!C1782)</f>
        <v/>
      </c>
      <c r="D1764" s="5" t="str">
        <f>IF('FUENTE NO BORRAR'!D1782="","",'FUENTE NO BORRAR'!D1782)</f>
        <v/>
      </c>
      <c r="E1764" s="5" t="str">
        <f>IF('FUENTE NO BORRAR'!E1782="","",'FUENTE NO BORRAR'!E1782)</f>
        <v/>
      </c>
      <c r="F1764" s="6">
        <f>IF('FUENTE NO BORRAR'!F1782="","",IF('FUENTE NO BORRAR'!$A1782&lt;&gt;"Resultado total",('FUENTE NO BORRAR'!F1782),""))</f>
        <v>1988</v>
      </c>
      <c r="G1764" s="6">
        <f>IF('FUENTE NO BORRAR'!G1782="","",IF('FUENTE NO BORRAR'!$A1782&lt;&gt;"Resultado total",('FUENTE NO BORRAR'!G1782),""))</f>
        <v>1988</v>
      </c>
      <c r="H1764" s="6">
        <f>IF('FUENTE NO BORRAR'!H1782="","",IF('FUENTE NO BORRAR'!$A1782&lt;&gt;"Resultado total",('FUENTE NO BORRAR'!H1782),""))</f>
        <v>1988</v>
      </c>
      <c r="I1764" s="6">
        <f>IF('FUENTE NO BORRAR'!I1782="","",IF('FUENTE NO BORRAR'!$A1782&lt;&gt;"Resultado total",('FUENTE NO BORRAR'!I1782),""))</f>
        <v>0</v>
      </c>
    </row>
    <row r="1765" spans="1:9" x14ac:dyDescent="0.2">
      <c r="A1765" s="5" t="str">
        <f>IF('FUENTE NO BORRAR'!A1783="","",(IF('FUENTE NO BORRAR'!A1783&lt;&gt;"Resultado total",'FUENTE NO BORRAR'!A1783,"")))</f>
        <v/>
      </c>
      <c r="B1765" s="5" t="str">
        <f>IF('FUENTE NO BORRAR'!B1783="","",'FUENTE NO BORRAR'!B1783)</f>
        <v/>
      </c>
      <c r="C1765" s="5" t="str">
        <f>IF('FUENTE NO BORRAR'!C1783="","",'FUENTE NO BORRAR'!C1783)</f>
        <v/>
      </c>
      <c r="D1765" s="5" t="str">
        <f>IF('FUENTE NO BORRAR'!D1783="","",'FUENTE NO BORRAR'!D1783)</f>
        <v/>
      </c>
      <c r="E1765" s="5" t="str">
        <f>IF('FUENTE NO BORRAR'!E1783="","",'FUENTE NO BORRAR'!E1783)</f>
        <v/>
      </c>
      <c r="F1765" s="6">
        <f>IF('FUENTE NO BORRAR'!F1783="","",IF('FUENTE NO BORRAR'!$A1783&lt;&gt;"Resultado total",('FUENTE NO BORRAR'!F1783),""))</f>
        <v>2533.1999999999998</v>
      </c>
      <c r="G1765" s="6">
        <f>IF('FUENTE NO BORRAR'!G1783="","",IF('FUENTE NO BORRAR'!$A1783&lt;&gt;"Resultado total",('FUENTE NO BORRAR'!G1783),""))</f>
        <v>2533.1999999999998</v>
      </c>
      <c r="H1765" s="6">
        <f>IF('FUENTE NO BORRAR'!H1783="","",IF('FUENTE NO BORRAR'!$A1783&lt;&gt;"Resultado total",('FUENTE NO BORRAR'!H1783),""))</f>
        <v>2533.1999999999998</v>
      </c>
      <c r="I1765" s="6">
        <f>IF('FUENTE NO BORRAR'!I1783="","",IF('FUENTE NO BORRAR'!$A1783&lt;&gt;"Resultado total",('FUENTE NO BORRAR'!I1783),""))</f>
        <v>0</v>
      </c>
    </row>
    <row r="1766" spans="1:9" x14ac:dyDescent="0.2">
      <c r="A1766" s="5" t="str">
        <f>IF('FUENTE NO BORRAR'!A1784="","",(IF('FUENTE NO BORRAR'!A1784&lt;&gt;"Resultado total",'FUENTE NO BORRAR'!A1784,"")))</f>
        <v/>
      </c>
      <c r="B1766" s="5" t="str">
        <f>IF('FUENTE NO BORRAR'!B1784="","",'FUENTE NO BORRAR'!B1784)</f>
        <v/>
      </c>
      <c r="C1766" s="5" t="str">
        <f>IF('FUENTE NO BORRAR'!C1784="","",'FUENTE NO BORRAR'!C1784)</f>
        <v/>
      </c>
      <c r="D1766" s="5" t="str">
        <f>IF('FUENTE NO BORRAR'!D1784="","",'FUENTE NO BORRAR'!D1784)</f>
        <v/>
      </c>
      <c r="E1766" s="5" t="str">
        <f>IF('FUENTE NO BORRAR'!E1784="","",'FUENTE NO BORRAR'!E1784)</f>
        <v/>
      </c>
      <c r="F1766" s="6">
        <f>IF('FUENTE NO BORRAR'!F1784="","",IF('FUENTE NO BORRAR'!$A1784&lt;&gt;"Resultado total",('FUENTE NO BORRAR'!F1784),""))</f>
        <v>9800</v>
      </c>
      <c r="G1766" s="6">
        <f>IF('FUENTE NO BORRAR'!G1784="","",IF('FUENTE NO BORRAR'!$A1784&lt;&gt;"Resultado total",('FUENTE NO BORRAR'!G1784),""))</f>
        <v>9800</v>
      </c>
      <c r="H1766" s="6">
        <f>IF('FUENTE NO BORRAR'!H1784="","",IF('FUENTE NO BORRAR'!$A1784&lt;&gt;"Resultado total",('FUENTE NO BORRAR'!H1784),""))</f>
        <v>9800</v>
      </c>
      <c r="I1766" s="6">
        <f>IF('FUENTE NO BORRAR'!I1784="","",IF('FUENTE NO BORRAR'!$A1784&lt;&gt;"Resultado total",('FUENTE NO BORRAR'!I1784),""))</f>
        <v>0</v>
      </c>
    </row>
    <row r="1767" spans="1:9" x14ac:dyDescent="0.2">
      <c r="A1767" s="5" t="str">
        <f>IF('FUENTE NO BORRAR'!A1785="","",(IF('FUENTE NO BORRAR'!A1785&lt;&gt;"Resultado total",'FUENTE NO BORRAR'!A1785,"")))</f>
        <v/>
      </c>
      <c r="B1767" s="5" t="str">
        <f>IF('FUENTE NO BORRAR'!B1785="","",'FUENTE NO BORRAR'!B1785)</f>
        <v/>
      </c>
      <c r="C1767" s="5" t="str">
        <f>IF('FUENTE NO BORRAR'!C1785="","",'FUENTE NO BORRAR'!C1785)</f>
        <v/>
      </c>
      <c r="D1767" s="5" t="str">
        <f>IF('FUENTE NO BORRAR'!D1785="","",'FUENTE NO BORRAR'!D1785)</f>
        <v/>
      </c>
      <c r="E1767" s="5" t="str">
        <f>IF('FUENTE NO BORRAR'!E1785="","",'FUENTE NO BORRAR'!E1785)</f>
        <v/>
      </c>
      <c r="F1767" s="6">
        <f>IF('FUENTE NO BORRAR'!F1785="","",IF('FUENTE NO BORRAR'!$A1785&lt;&gt;"Resultado total",('FUENTE NO BORRAR'!F1785),""))</f>
        <v>8903</v>
      </c>
      <c r="G1767" s="6">
        <f>IF('FUENTE NO BORRAR'!G1785="","",IF('FUENTE NO BORRAR'!$A1785&lt;&gt;"Resultado total",('FUENTE NO BORRAR'!G1785),""))</f>
        <v>8903</v>
      </c>
      <c r="H1767" s="6">
        <f>IF('FUENTE NO BORRAR'!H1785="","",IF('FUENTE NO BORRAR'!$A1785&lt;&gt;"Resultado total",('FUENTE NO BORRAR'!H1785),""))</f>
        <v>0</v>
      </c>
      <c r="I1767" s="6">
        <f>IF('FUENTE NO BORRAR'!I1785="","",IF('FUENTE NO BORRAR'!$A1785&lt;&gt;"Resultado total",('FUENTE NO BORRAR'!I1785),""))</f>
        <v>0</v>
      </c>
    </row>
    <row r="1768" spans="1:9" x14ac:dyDescent="0.2">
      <c r="A1768" s="5" t="str">
        <f>IF('FUENTE NO BORRAR'!A1786="","",(IF('FUENTE NO BORRAR'!A1786&lt;&gt;"Resultado total",'FUENTE NO BORRAR'!A1786,"")))</f>
        <v/>
      </c>
      <c r="B1768" s="5" t="str">
        <f>IF('FUENTE NO BORRAR'!B1786="","",'FUENTE NO BORRAR'!B1786)</f>
        <v/>
      </c>
      <c r="C1768" s="5" t="str">
        <f>IF('FUENTE NO BORRAR'!C1786="","",'FUENTE NO BORRAR'!C1786)</f>
        <v>26012071E213</v>
      </c>
      <c r="D1768" s="5" t="str">
        <f>IF('FUENTE NO BORRAR'!D1786="","",'FUENTE NO BORRAR'!D1786)</f>
        <v>26012071E213</v>
      </c>
      <c r="E1768" s="5" t="str">
        <f>IF('FUENTE NO BORRAR'!E1786="","",'FUENTE NO BORRAR'!E1786)</f>
        <v/>
      </c>
      <c r="F1768" s="6">
        <f>IF('FUENTE NO BORRAR'!F1786="","",IF('FUENTE NO BORRAR'!$A1786&lt;&gt;"Resultado total",('FUENTE NO BORRAR'!F1786),""))</f>
        <v>4167319.61</v>
      </c>
      <c r="G1768" s="6">
        <f>IF('FUENTE NO BORRAR'!G1786="","",IF('FUENTE NO BORRAR'!$A1786&lt;&gt;"Resultado total",('FUENTE NO BORRAR'!G1786),""))</f>
        <v>4167319.61</v>
      </c>
      <c r="H1768" s="6">
        <f>IF('FUENTE NO BORRAR'!H1786="","",IF('FUENTE NO BORRAR'!$A1786&lt;&gt;"Resultado total",('FUENTE NO BORRAR'!H1786),""))</f>
        <v>4167319.61</v>
      </c>
      <c r="I1768" s="6">
        <f>IF('FUENTE NO BORRAR'!I1786="","",IF('FUENTE NO BORRAR'!$A1786&lt;&gt;"Resultado total",('FUENTE NO BORRAR'!I1786),""))</f>
        <v>-1.0000000000000001E-9</v>
      </c>
    </row>
    <row r="1769" spans="1:9" x14ac:dyDescent="0.2">
      <c r="A1769" s="5" t="str">
        <f>IF('FUENTE NO BORRAR'!A1787="","",(IF('FUENTE NO BORRAR'!A1787&lt;&gt;"Resultado total",'FUENTE NO BORRAR'!A1787,"")))</f>
        <v/>
      </c>
      <c r="B1769" s="5" t="str">
        <f>IF('FUENTE NO BORRAR'!B1787="","",'FUENTE NO BORRAR'!B1787)</f>
        <v/>
      </c>
      <c r="C1769" s="5" t="str">
        <f>IF('FUENTE NO BORRAR'!C1787="","",'FUENTE NO BORRAR'!C1787)</f>
        <v/>
      </c>
      <c r="D1769" s="5" t="str">
        <f>IF('FUENTE NO BORRAR'!D1787="","",'FUENTE NO BORRAR'!D1787)</f>
        <v/>
      </c>
      <c r="E1769" s="5" t="str">
        <f>IF('FUENTE NO BORRAR'!E1787="","",'FUENTE NO BORRAR'!E1787)</f>
        <v/>
      </c>
      <c r="F1769" s="6">
        <f>IF('FUENTE NO BORRAR'!F1787="","",IF('FUENTE NO BORRAR'!$A1787&lt;&gt;"Resultado total",('FUENTE NO BORRAR'!F1787),""))</f>
        <v>2575874.9900000002</v>
      </c>
      <c r="G1769" s="6">
        <f>IF('FUENTE NO BORRAR'!G1787="","",IF('FUENTE NO BORRAR'!$A1787&lt;&gt;"Resultado total",('FUENTE NO BORRAR'!G1787),""))</f>
        <v>2575874.9900000002</v>
      </c>
      <c r="H1769" s="6">
        <f>IF('FUENTE NO BORRAR'!H1787="","",IF('FUENTE NO BORRAR'!$A1787&lt;&gt;"Resultado total",('FUENTE NO BORRAR'!H1787),""))</f>
        <v>2575874.9900000002</v>
      </c>
      <c r="I1769" s="6">
        <f>IF('FUENTE NO BORRAR'!I1787="","",IF('FUENTE NO BORRAR'!$A1787&lt;&gt;"Resultado total",('FUENTE NO BORRAR'!I1787),""))</f>
        <v>0</v>
      </c>
    </row>
    <row r="1770" spans="1:9" x14ac:dyDescent="0.2">
      <c r="A1770" s="5" t="str">
        <f>IF('FUENTE NO BORRAR'!A1788="","",(IF('FUENTE NO BORRAR'!A1788&lt;&gt;"Resultado total",'FUENTE NO BORRAR'!A1788,"")))</f>
        <v/>
      </c>
      <c r="B1770" s="5" t="str">
        <f>IF('FUENTE NO BORRAR'!B1788="","",'FUENTE NO BORRAR'!B1788)</f>
        <v/>
      </c>
      <c r="C1770" s="5" t="str">
        <f>IF('FUENTE NO BORRAR'!C1788="","",'FUENTE NO BORRAR'!C1788)</f>
        <v/>
      </c>
      <c r="D1770" s="5" t="str">
        <f>IF('FUENTE NO BORRAR'!D1788="","",'FUENTE NO BORRAR'!D1788)</f>
        <v/>
      </c>
      <c r="E1770" s="5" t="str">
        <f>IF('FUENTE NO BORRAR'!E1788="","",'FUENTE NO BORRAR'!E1788)</f>
        <v/>
      </c>
      <c r="F1770" s="6">
        <f>IF('FUENTE NO BORRAR'!F1788="","",IF('FUENTE NO BORRAR'!$A1788&lt;&gt;"Resultado total",('FUENTE NO BORRAR'!F1788),""))</f>
        <v>1694074.25</v>
      </c>
      <c r="G1770" s="6">
        <f>IF('FUENTE NO BORRAR'!G1788="","",IF('FUENTE NO BORRAR'!$A1788&lt;&gt;"Resultado total",('FUENTE NO BORRAR'!G1788),""))</f>
        <v>1694074.25</v>
      </c>
      <c r="H1770" s="6">
        <f>IF('FUENTE NO BORRAR'!H1788="","",IF('FUENTE NO BORRAR'!$A1788&lt;&gt;"Resultado total",('FUENTE NO BORRAR'!H1788),""))</f>
        <v>1694074.25</v>
      </c>
      <c r="I1770" s="6">
        <f>IF('FUENTE NO BORRAR'!I1788="","",IF('FUENTE NO BORRAR'!$A1788&lt;&gt;"Resultado total",('FUENTE NO BORRAR'!I1788),""))</f>
        <v>0</v>
      </c>
    </row>
    <row r="1771" spans="1:9" x14ac:dyDescent="0.2">
      <c r="A1771" s="5" t="str">
        <f>IF('FUENTE NO BORRAR'!A1789="","",(IF('FUENTE NO BORRAR'!A1789&lt;&gt;"Resultado total",'FUENTE NO BORRAR'!A1789,"")))</f>
        <v/>
      </c>
      <c r="B1771" s="5" t="str">
        <f>IF('FUENTE NO BORRAR'!B1789="","",'FUENTE NO BORRAR'!B1789)</f>
        <v/>
      </c>
      <c r="C1771" s="5" t="str">
        <f>IF('FUENTE NO BORRAR'!C1789="","",'FUENTE NO BORRAR'!C1789)</f>
        <v/>
      </c>
      <c r="D1771" s="5" t="str">
        <f>IF('FUENTE NO BORRAR'!D1789="","",'FUENTE NO BORRAR'!D1789)</f>
        <v/>
      </c>
      <c r="E1771" s="5" t="str">
        <f>IF('FUENTE NO BORRAR'!E1789="","",'FUENTE NO BORRAR'!E1789)</f>
        <v/>
      </c>
      <c r="F1771" s="6">
        <f>IF('FUENTE NO BORRAR'!F1789="","",IF('FUENTE NO BORRAR'!$A1789&lt;&gt;"Resultado total",('FUENTE NO BORRAR'!F1789),""))</f>
        <v>353148.48</v>
      </c>
      <c r="G1771" s="6">
        <f>IF('FUENTE NO BORRAR'!G1789="","",IF('FUENTE NO BORRAR'!$A1789&lt;&gt;"Resultado total",('FUENTE NO BORRAR'!G1789),""))</f>
        <v>353148.48</v>
      </c>
      <c r="H1771" s="6">
        <f>IF('FUENTE NO BORRAR'!H1789="","",IF('FUENTE NO BORRAR'!$A1789&lt;&gt;"Resultado total",('FUENTE NO BORRAR'!H1789),""))</f>
        <v>353148.48</v>
      </c>
      <c r="I1771" s="6">
        <f>IF('FUENTE NO BORRAR'!I1789="","",IF('FUENTE NO BORRAR'!$A1789&lt;&gt;"Resultado total",('FUENTE NO BORRAR'!I1789),""))</f>
        <v>0</v>
      </c>
    </row>
    <row r="1772" spans="1:9" x14ac:dyDescent="0.2">
      <c r="A1772" s="5" t="str">
        <f>IF('FUENTE NO BORRAR'!A1790="","",(IF('FUENTE NO BORRAR'!A1790&lt;&gt;"Resultado total",'FUENTE NO BORRAR'!A1790,"")))</f>
        <v/>
      </c>
      <c r="B1772" s="5" t="str">
        <f>IF('FUENTE NO BORRAR'!B1790="","",'FUENTE NO BORRAR'!B1790)</f>
        <v/>
      </c>
      <c r="C1772" s="5" t="str">
        <f>IF('FUENTE NO BORRAR'!C1790="","",'FUENTE NO BORRAR'!C1790)</f>
        <v/>
      </c>
      <c r="D1772" s="5" t="str">
        <f>IF('FUENTE NO BORRAR'!D1790="","",'FUENTE NO BORRAR'!D1790)</f>
        <v/>
      </c>
      <c r="E1772" s="5" t="str">
        <f>IF('FUENTE NO BORRAR'!E1790="","",'FUENTE NO BORRAR'!E1790)</f>
        <v/>
      </c>
      <c r="F1772" s="6">
        <f>IF('FUENTE NO BORRAR'!F1790="","",IF('FUENTE NO BORRAR'!$A1790&lt;&gt;"Resultado total",('FUENTE NO BORRAR'!F1790),""))</f>
        <v>14253.55</v>
      </c>
      <c r="G1772" s="6">
        <f>IF('FUENTE NO BORRAR'!G1790="","",IF('FUENTE NO BORRAR'!$A1790&lt;&gt;"Resultado total",('FUENTE NO BORRAR'!G1790),""))</f>
        <v>14253.55</v>
      </c>
      <c r="H1772" s="6">
        <f>IF('FUENTE NO BORRAR'!H1790="","",IF('FUENTE NO BORRAR'!$A1790&lt;&gt;"Resultado total",('FUENTE NO BORRAR'!H1790),""))</f>
        <v>14253.55</v>
      </c>
      <c r="I1772" s="6">
        <f>IF('FUENTE NO BORRAR'!I1790="","",IF('FUENTE NO BORRAR'!$A1790&lt;&gt;"Resultado total",('FUENTE NO BORRAR'!I1790),""))</f>
        <v>0</v>
      </c>
    </row>
    <row r="1773" spans="1:9" x14ac:dyDescent="0.2">
      <c r="A1773" s="5" t="str">
        <f>IF('FUENTE NO BORRAR'!A1791="","",(IF('FUENTE NO BORRAR'!A1791&lt;&gt;"Resultado total",'FUENTE NO BORRAR'!A1791,"")))</f>
        <v/>
      </c>
      <c r="B1773" s="5" t="str">
        <f>IF('FUENTE NO BORRAR'!B1791="","",'FUENTE NO BORRAR'!B1791)</f>
        <v/>
      </c>
      <c r="C1773" s="5" t="str">
        <f>IF('FUENTE NO BORRAR'!C1791="","",'FUENTE NO BORRAR'!C1791)</f>
        <v/>
      </c>
      <c r="D1773" s="5" t="str">
        <f>IF('FUENTE NO BORRAR'!D1791="","",'FUENTE NO BORRAR'!D1791)</f>
        <v/>
      </c>
      <c r="E1773" s="5" t="str">
        <f>IF('FUENTE NO BORRAR'!E1791="","",'FUENTE NO BORRAR'!E1791)</f>
        <v/>
      </c>
      <c r="F1773" s="6">
        <f>IF('FUENTE NO BORRAR'!F1791="","",IF('FUENTE NO BORRAR'!$A1791&lt;&gt;"Resultado total",('FUENTE NO BORRAR'!F1791),""))</f>
        <v>272630.15000000002</v>
      </c>
      <c r="G1773" s="6">
        <f>IF('FUENTE NO BORRAR'!G1791="","",IF('FUENTE NO BORRAR'!$A1791&lt;&gt;"Resultado total",('FUENTE NO BORRAR'!G1791),""))</f>
        <v>272630.15000000002</v>
      </c>
      <c r="H1773" s="6">
        <f>IF('FUENTE NO BORRAR'!H1791="","",IF('FUENTE NO BORRAR'!$A1791&lt;&gt;"Resultado total",('FUENTE NO BORRAR'!H1791),""))</f>
        <v>272630.15000000002</v>
      </c>
      <c r="I1773" s="6">
        <f>IF('FUENTE NO BORRAR'!I1791="","",IF('FUENTE NO BORRAR'!$A1791&lt;&gt;"Resultado total",('FUENTE NO BORRAR'!I1791),""))</f>
        <v>0</v>
      </c>
    </row>
    <row r="1774" spans="1:9" x14ac:dyDescent="0.2">
      <c r="A1774" s="5" t="str">
        <f>IF('FUENTE NO BORRAR'!A1792="","",(IF('FUENTE NO BORRAR'!A1792&lt;&gt;"Resultado total",'FUENTE NO BORRAR'!A1792,"")))</f>
        <v/>
      </c>
      <c r="B1774" s="5" t="str">
        <f>IF('FUENTE NO BORRAR'!B1792="","",'FUENTE NO BORRAR'!B1792)</f>
        <v/>
      </c>
      <c r="C1774" s="5" t="str">
        <f>IF('FUENTE NO BORRAR'!C1792="","",'FUENTE NO BORRAR'!C1792)</f>
        <v/>
      </c>
      <c r="D1774" s="5" t="str">
        <f>IF('FUENTE NO BORRAR'!D1792="","",'FUENTE NO BORRAR'!D1792)</f>
        <v/>
      </c>
      <c r="E1774" s="5" t="str">
        <f>IF('FUENTE NO BORRAR'!E1792="","",'FUENTE NO BORRAR'!E1792)</f>
        <v/>
      </c>
      <c r="F1774" s="6">
        <f>IF('FUENTE NO BORRAR'!F1792="","",IF('FUENTE NO BORRAR'!$A1792&lt;&gt;"Resultado total",('FUENTE NO BORRAR'!F1792),""))</f>
        <v>1478912.95</v>
      </c>
      <c r="G1774" s="6">
        <f>IF('FUENTE NO BORRAR'!G1792="","",IF('FUENTE NO BORRAR'!$A1792&lt;&gt;"Resultado total",('FUENTE NO BORRAR'!G1792),""))</f>
        <v>1478912.95</v>
      </c>
      <c r="H1774" s="6">
        <f>IF('FUENTE NO BORRAR'!H1792="","",IF('FUENTE NO BORRAR'!$A1792&lt;&gt;"Resultado total",('FUENTE NO BORRAR'!H1792),""))</f>
        <v>1478912.95</v>
      </c>
      <c r="I1774" s="6">
        <f>IF('FUENTE NO BORRAR'!I1792="","",IF('FUENTE NO BORRAR'!$A1792&lt;&gt;"Resultado total",('FUENTE NO BORRAR'!I1792),""))</f>
        <v>0</v>
      </c>
    </row>
    <row r="1775" spans="1:9" x14ac:dyDescent="0.2">
      <c r="A1775" s="5" t="str">
        <f>IF('FUENTE NO BORRAR'!A1793="","",(IF('FUENTE NO BORRAR'!A1793&lt;&gt;"Resultado total",'FUENTE NO BORRAR'!A1793,"")))</f>
        <v/>
      </c>
      <c r="B1775" s="5" t="str">
        <f>IF('FUENTE NO BORRAR'!B1793="","",'FUENTE NO BORRAR'!B1793)</f>
        <v/>
      </c>
      <c r="C1775" s="5" t="str">
        <f>IF('FUENTE NO BORRAR'!C1793="","",'FUENTE NO BORRAR'!C1793)</f>
        <v/>
      </c>
      <c r="D1775" s="5" t="str">
        <f>IF('FUENTE NO BORRAR'!D1793="","",'FUENTE NO BORRAR'!D1793)</f>
        <v/>
      </c>
      <c r="E1775" s="5" t="str">
        <f>IF('FUENTE NO BORRAR'!E1793="","",'FUENTE NO BORRAR'!E1793)</f>
        <v/>
      </c>
      <c r="F1775" s="6">
        <f>IF('FUENTE NO BORRAR'!F1793="","",IF('FUENTE NO BORRAR'!$A1793&lt;&gt;"Resultado total",('FUENTE NO BORRAR'!F1793),""))</f>
        <v>494186.18</v>
      </c>
      <c r="G1775" s="6">
        <f>IF('FUENTE NO BORRAR'!G1793="","",IF('FUENTE NO BORRAR'!$A1793&lt;&gt;"Resultado total",('FUENTE NO BORRAR'!G1793),""))</f>
        <v>494186.18</v>
      </c>
      <c r="H1775" s="6">
        <f>IF('FUENTE NO BORRAR'!H1793="","",IF('FUENTE NO BORRAR'!$A1793&lt;&gt;"Resultado total",('FUENTE NO BORRAR'!H1793),""))</f>
        <v>494186.18</v>
      </c>
      <c r="I1775" s="6">
        <f>IF('FUENTE NO BORRAR'!I1793="","",IF('FUENTE NO BORRAR'!$A1793&lt;&gt;"Resultado total",('FUENTE NO BORRAR'!I1793),""))</f>
        <v>0</v>
      </c>
    </row>
    <row r="1776" spans="1:9" x14ac:dyDescent="0.2">
      <c r="A1776" s="5" t="str">
        <f>IF('FUENTE NO BORRAR'!A1794="","",(IF('FUENTE NO BORRAR'!A1794&lt;&gt;"Resultado total",'FUENTE NO BORRAR'!A1794,"")))</f>
        <v/>
      </c>
      <c r="B1776" s="5" t="str">
        <f>IF('FUENTE NO BORRAR'!B1794="","",'FUENTE NO BORRAR'!B1794)</f>
        <v/>
      </c>
      <c r="C1776" s="5" t="str">
        <f>IF('FUENTE NO BORRAR'!C1794="","",'FUENTE NO BORRAR'!C1794)</f>
        <v/>
      </c>
      <c r="D1776" s="5" t="str">
        <f>IF('FUENTE NO BORRAR'!D1794="","",'FUENTE NO BORRAR'!D1794)</f>
        <v/>
      </c>
      <c r="E1776" s="5" t="str">
        <f>IF('FUENTE NO BORRAR'!E1794="","",'FUENTE NO BORRAR'!E1794)</f>
        <v/>
      </c>
      <c r="F1776" s="6">
        <f>IF('FUENTE NO BORRAR'!F1794="","",IF('FUENTE NO BORRAR'!$A1794&lt;&gt;"Resultado total",('FUENTE NO BORRAR'!F1794),""))</f>
        <v>2416357.09</v>
      </c>
      <c r="G1776" s="6">
        <f>IF('FUENTE NO BORRAR'!G1794="","",IF('FUENTE NO BORRAR'!$A1794&lt;&gt;"Resultado total",('FUENTE NO BORRAR'!G1794),""))</f>
        <v>2416357.09</v>
      </c>
      <c r="H1776" s="6">
        <f>IF('FUENTE NO BORRAR'!H1794="","",IF('FUENTE NO BORRAR'!$A1794&lt;&gt;"Resultado total",('FUENTE NO BORRAR'!H1794),""))</f>
        <v>2456468.31</v>
      </c>
      <c r="I1776" s="6">
        <f>IF('FUENTE NO BORRAR'!I1794="","",IF('FUENTE NO BORRAR'!$A1794&lt;&gt;"Resultado total",('FUENTE NO BORRAR'!I1794),""))</f>
        <v>0</v>
      </c>
    </row>
    <row r="1777" spans="1:9" x14ac:dyDescent="0.2">
      <c r="A1777" s="5" t="str">
        <f>IF('FUENTE NO BORRAR'!A1795="","",(IF('FUENTE NO BORRAR'!A1795&lt;&gt;"Resultado total",'FUENTE NO BORRAR'!A1795,"")))</f>
        <v/>
      </c>
      <c r="B1777" s="5" t="str">
        <f>IF('FUENTE NO BORRAR'!B1795="","",'FUENTE NO BORRAR'!B1795)</f>
        <v/>
      </c>
      <c r="C1777" s="5" t="str">
        <f>IF('FUENTE NO BORRAR'!C1795="","",'FUENTE NO BORRAR'!C1795)</f>
        <v/>
      </c>
      <c r="D1777" s="5" t="str">
        <f>IF('FUENTE NO BORRAR'!D1795="","",'FUENTE NO BORRAR'!D1795)</f>
        <v/>
      </c>
      <c r="E1777" s="5" t="str">
        <f>IF('FUENTE NO BORRAR'!E1795="","",'FUENTE NO BORRAR'!E1795)</f>
        <v/>
      </c>
      <c r="F1777" s="6">
        <f>IF('FUENTE NO BORRAR'!F1795="","",IF('FUENTE NO BORRAR'!$A1795&lt;&gt;"Resultado total",('FUENTE NO BORRAR'!F1795),""))</f>
        <v>3529341.55</v>
      </c>
      <c r="G1777" s="6">
        <f>IF('FUENTE NO BORRAR'!G1795="","",IF('FUENTE NO BORRAR'!$A1795&lt;&gt;"Resultado total",('FUENTE NO BORRAR'!G1795),""))</f>
        <v>3529341.55</v>
      </c>
      <c r="H1777" s="6">
        <f>IF('FUENTE NO BORRAR'!H1795="","",IF('FUENTE NO BORRAR'!$A1795&lt;&gt;"Resultado total",('FUENTE NO BORRAR'!H1795),""))</f>
        <v>3529341.55</v>
      </c>
      <c r="I1777" s="6">
        <f>IF('FUENTE NO BORRAR'!I1795="","",IF('FUENTE NO BORRAR'!$A1795&lt;&gt;"Resultado total",('FUENTE NO BORRAR'!I1795),""))</f>
        <v>0</v>
      </c>
    </row>
    <row r="1778" spans="1:9" x14ac:dyDescent="0.2">
      <c r="A1778" s="5" t="str">
        <f>IF('FUENTE NO BORRAR'!A1796="","",(IF('FUENTE NO BORRAR'!A1796&lt;&gt;"Resultado total",'FUENTE NO BORRAR'!A1796,"")))</f>
        <v/>
      </c>
      <c r="B1778" s="5" t="str">
        <f>IF('FUENTE NO BORRAR'!B1796="","",'FUENTE NO BORRAR'!B1796)</f>
        <v/>
      </c>
      <c r="C1778" s="5" t="str">
        <f>IF('FUENTE NO BORRAR'!C1796="","",'FUENTE NO BORRAR'!C1796)</f>
        <v/>
      </c>
      <c r="D1778" s="5" t="str">
        <f>IF('FUENTE NO BORRAR'!D1796="","",'FUENTE NO BORRAR'!D1796)</f>
        <v/>
      </c>
      <c r="E1778" s="5" t="str">
        <f>IF('FUENTE NO BORRAR'!E1796="","",'FUENTE NO BORRAR'!E1796)</f>
        <v/>
      </c>
      <c r="F1778" s="6">
        <f>IF('FUENTE NO BORRAR'!F1796="","",IF('FUENTE NO BORRAR'!$A1796&lt;&gt;"Resultado total",('FUENTE NO BORRAR'!F1796),""))</f>
        <v>1555158.67</v>
      </c>
      <c r="G1778" s="6">
        <f>IF('FUENTE NO BORRAR'!G1796="","",IF('FUENTE NO BORRAR'!$A1796&lt;&gt;"Resultado total",('FUENTE NO BORRAR'!G1796),""))</f>
        <v>1555158.67</v>
      </c>
      <c r="H1778" s="6">
        <f>IF('FUENTE NO BORRAR'!H1796="","",IF('FUENTE NO BORRAR'!$A1796&lt;&gt;"Resultado total",('FUENTE NO BORRAR'!H1796),""))</f>
        <v>1555158.67</v>
      </c>
      <c r="I1778" s="6">
        <f>IF('FUENTE NO BORRAR'!I1796="","",IF('FUENTE NO BORRAR'!$A1796&lt;&gt;"Resultado total",('FUENTE NO BORRAR'!I1796),""))</f>
        <v>0</v>
      </c>
    </row>
    <row r="1779" spans="1:9" x14ac:dyDescent="0.2">
      <c r="A1779" s="5" t="str">
        <f>IF('FUENTE NO BORRAR'!A1797="","",(IF('FUENTE NO BORRAR'!A1797&lt;&gt;"Resultado total",'FUENTE NO BORRAR'!A1797,"")))</f>
        <v/>
      </c>
      <c r="B1779" s="5" t="str">
        <f>IF('FUENTE NO BORRAR'!B1797="","",'FUENTE NO BORRAR'!B1797)</f>
        <v/>
      </c>
      <c r="C1779" s="5" t="str">
        <f>IF('FUENTE NO BORRAR'!C1797="","",'FUENTE NO BORRAR'!C1797)</f>
        <v/>
      </c>
      <c r="D1779" s="5" t="str">
        <f>IF('FUENTE NO BORRAR'!D1797="","",'FUENTE NO BORRAR'!D1797)</f>
        <v/>
      </c>
      <c r="E1779" s="5" t="str">
        <f>IF('FUENTE NO BORRAR'!E1797="","",'FUENTE NO BORRAR'!E1797)</f>
        <v/>
      </c>
      <c r="F1779" s="6">
        <f>IF('FUENTE NO BORRAR'!F1797="","",IF('FUENTE NO BORRAR'!$A1797&lt;&gt;"Resultado total",('FUENTE NO BORRAR'!F1797),""))</f>
        <v>496029.31</v>
      </c>
      <c r="G1779" s="6">
        <f>IF('FUENTE NO BORRAR'!G1797="","",IF('FUENTE NO BORRAR'!$A1797&lt;&gt;"Resultado total",('FUENTE NO BORRAR'!G1797),""))</f>
        <v>496029.31</v>
      </c>
      <c r="H1779" s="6">
        <f>IF('FUENTE NO BORRAR'!H1797="","",IF('FUENTE NO BORRAR'!$A1797&lt;&gt;"Resultado total",('FUENTE NO BORRAR'!H1797),""))</f>
        <v>496029.31</v>
      </c>
      <c r="I1779" s="6">
        <f>IF('FUENTE NO BORRAR'!I1797="","",IF('FUENTE NO BORRAR'!$A1797&lt;&gt;"Resultado total",('FUENTE NO BORRAR'!I1797),""))</f>
        <v>0</v>
      </c>
    </row>
    <row r="1780" spans="1:9" x14ac:dyDescent="0.2">
      <c r="A1780" s="5" t="str">
        <f>IF('FUENTE NO BORRAR'!A1798="","",(IF('FUENTE NO BORRAR'!A1798&lt;&gt;"Resultado total",'FUENTE NO BORRAR'!A1798,"")))</f>
        <v/>
      </c>
      <c r="B1780" s="5" t="str">
        <f>IF('FUENTE NO BORRAR'!B1798="","",'FUENTE NO BORRAR'!B1798)</f>
        <v/>
      </c>
      <c r="C1780" s="5" t="str">
        <f>IF('FUENTE NO BORRAR'!C1798="","",'FUENTE NO BORRAR'!C1798)</f>
        <v/>
      </c>
      <c r="D1780" s="5" t="str">
        <f>IF('FUENTE NO BORRAR'!D1798="","",'FUENTE NO BORRAR'!D1798)</f>
        <v/>
      </c>
      <c r="E1780" s="5" t="str">
        <f>IF('FUENTE NO BORRAR'!E1798="","",'FUENTE NO BORRAR'!E1798)</f>
        <v/>
      </c>
      <c r="F1780" s="6">
        <f>IF('FUENTE NO BORRAR'!F1798="","",IF('FUENTE NO BORRAR'!$A1798&lt;&gt;"Resultado total",('FUENTE NO BORRAR'!F1798),""))</f>
        <v>234754.04</v>
      </c>
      <c r="G1780" s="6">
        <f>IF('FUENTE NO BORRAR'!G1798="","",IF('FUENTE NO BORRAR'!$A1798&lt;&gt;"Resultado total",('FUENTE NO BORRAR'!G1798),""))</f>
        <v>234754.04</v>
      </c>
      <c r="H1780" s="6">
        <f>IF('FUENTE NO BORRAR'!H1798="","",IF('FUENTE NO BORRAR'!$A1798&lt;&gt;"Resultado total",('FUENTE NO BORRAR'!H1798),""))</f>
        <v>234754.04</v>
      </c>
      <c r="I1780" s="6">
        <f>IF('FUENTE NO BORRAR'!I1798="","",IF('FUENTE NO BORRAR'!$A1798&lt;&gt;"Resultado total",('FUENTE NO BORRAR'!I1798),""))</f>
        <v>0</v>
      </c>
    </row>
    <row r="1781" spans="1:9" x14ac:dyDescent="0.2">
      <c r="A1781" s="5" t="str">
        <f>IF('FUENTE NO BORRAR'!A1799="","",(IF('FUENTE NO BORRAR'!A1799&lt;&gt;"Resultado total",'FUENTE NO BORRAR'!A1799,"")))</f>
        <v/>
      </c>
      <c r="B1781" s="5" t="str">
        <f>IF('FUENTE NO BORRAR'!B1799="","",'FUENTE NO BORRAR'!B1799)</f>
        <v/>
      </c>
      <c r="C1781" s="5" t="str">
        <f>IF('FUENTE NO BORRAR'!C1799="","",'FUENTE NO BORRAR'!C1799)</f>
        <v/>
      </c>
      <c r="D1781" s="5" t="str">
        <f>IF('FUENTE NO BORRAR'!D1799="","",'FUENTE NO BORRAR'!D1799)</f>
        <v/>
      </c>
      <c r="E1781" s="5" t="str">
        <f>IF('FUENTE NO BORRAR'!E1799="","",'FUENTE NO BORRAR'!E1799)</f>
        <v/>
      </c>
      <c r="F1781" s="6">
        <f>IF('FUENTE NO BORRAR'!F1799="","",IF('FUENTE NO BORRAR'!$A1799&lt;&gt;"Resultado total",('FUENTE NO BORRAR'!F1799),""))</f>
        <v>809539.44</v>
      </c>
      <c r="G1781" s="6">
        <f>IF('FUENTE NO BORRAR'!G1799="","",IF('FUENTE NO BORRAR'!$A1799&lt;&gt;"Resultado total",('FUENTE NO BORRAR'!G1799),""))</f>
        <v>809539.44</v>
      </c>
      <c r="H1781" s="6">
        <f>IF('FUENTE NO BORRAR'!H1799="","",IF('FUENTE NO BORRAR'!$A1799&lt;&gt;"Resultado total",('FUENTE NO BORRAR'!H1799),""))</f>
        <v>809539.44</v>
      </c>
      <c r="I1781" s="6">
        <f>IF('FUENTE NO BORRAR'!I1799="","",IF('FUENTE NO BORRAR'!$A1799&lt;&gt;"Resultado total",('FUENTE NO BORRAR'!I1799),""))</f>
        <v>0</v>
      </c>
    </row>
    <row r="1782" spans="1:9" x14ac:dyDescent="0.2">
      <c r="A1782" s="5" t="str">
        <f>IF('FUENTE NO BORRAR'!A1800="","",(IF('FUENTE NO BORRAR'!A1800&lt;&gt;"Resultado total",'FUENTE NO BORRAR'!A1800,"")))</f>
        <v/>
      </c>
      <c r="B1782" s="5" t="str">
        <f>IF('FUENTE NO BORRAR'!B1800="","",'FUENTE NO BORRAR'!B1800)</f>
        <v/>
      </c>
      <c r="C1782" s="5" t="str">
        <f>IF('FUENTE NO BORRAR'!C1800="","",'FUENTE NO BORRAR'!C1800)</f>
        <v/>
      </c>
      <c r="D1782" s="5" t="str">
        <f>IF('FUENTE NO BORRAR'!D1800="","",'FUENTE NO BORRAR'!D1800)</f>
        <v/>
      </c>
      <c r="E1782" s="5" t="str">
        <f>IF('FUENTE NO BORRAR'!E1800="","",'FUENTE NO BORRAR'!E1800)</f>
        <v/>
      </c>
      <c r="F1782" s="6">
        <f>IF('FUENTE NO BORRAR'!F1800="","",IF('FUENTE NO BORRAR'!$A1800&lt;&gt;"Resultado total",('FUENTE NO BORRAR'!F1800),""))</f>
        <v>3639801.69</v>
      </c>
      <c r="G1782" s="6">
        <f>IF('FUENTE NO BORRAR'!G1800="","",IF('FUENTE NO BORRAR'!$A1800&lt;&gt;"Resultado total",('FUENTE NO BORRAR'!G1800),""))</f>
        <v>3639801.69</v>
      </c>
      <c r="H1782" s="6">
        <f>IF('FUENTE NO BORRAR'!H1800="","",IF('FUENTE NO BORRAR'!$A1800&lt;&gt;"Resultado total",('FUENTE NO BORRAR'!H1800),""))</f>
        <v>3639801.69</v>
      </c>
      <c r="I1782" s="6">
        <f>IF('FUENTE NO BORRAR'!I1800="","",IF('FUENTE NO BORRAR'!$A1800&lt;&gt;"Resultado total",('FUENTE NO BORRAR'!I1800),""))</f>
        <v>0</v>
      </c>
    </row>
    <row r="1783" spans="1:9" x14ac:dyDescent="0.2">
      <c r="A1783" s="5" t="str">
        <f>IF('FUENTE NO BORRAR'!A1801="","",(IF('FUENTE NO BORRAR'!A1801&lt;&gt;"Resultado total",'FUENTE NO BORRAR'!A1801,"")))</f>
        <v/>
      </c>
      <c r="B1783" s="5" t="str">
        <f>IF('FUENTE NO BORRAR'!B1801="","",'FUENTE NO BORRAR'!B1801)</f>
        <v/>
      </c>
      <c r="C1783" s="5" t="str">
        <f>IF('FUENTE NO BORRAR'!C1801="","",'FUENTE NO BORRAR'!C1801)</f>
        <v/>
      </c>
      <c r="D1783" s="5" t="str">
        <f>IF('FUENTE NO BORRAR'!D1801="","",'FUENTE NO BORRAR'!D1801)</f>
        <v/>
      </c>
      <c r="E1783" s="5" t="str">
        <f>IF('FUENTE NO BORRAR'!E1801="","",'FUENTE NO BORRAR'!E1801)</f>
        <v/>
      </c>
      <c r="F1783" s="6">
        <f>IF('FUENTE NO BORRAR'!F1801="","",IF('FUENTE NO BORRAR'!$A1801&lt;&gt;"Resultado total",('FUENTE NO BORRAR'!F1801),""))</f>
        <v>13890548.710000001</v>
      </c>
      <c r="G1783" s="6">
        <f>IF('FUENTE NO BORRAR'!G1801="","",IF('FUENTE NO BORRAR'!$A1801&lt;&gt;"Resultado total",('FUENTE NO BORRAR'!G1801),""))</f>
        <v>13890548.710000001</v>
      </c>
      <c r="H1783" s="6">
        <f>IF('FUENTE NO BORRAR'!H1801="","",IF('FUENTE NO BORRAR'!$A1801&lt;&gt;"Resultado total",('FUENTE NO BORRAR'!H1801),""))</f>
        <v>10801553.01</v>
      </c>
      <c r="I1783" s="6">
        <f>IF('FUENTE NO BORRAR'!I1801="","",IF('FUENTE NO BORRAR'!$A1801&lt;&gt;"Resultado total",('FUENTE NO BORRAR'!I1801),""))</f>
        <v>-2.0000000000000001E-9</v>
      </c>
    </row>
    <row r="1784" spans="1:9" x14ac:dyDescent="0.2">
      <c r="A1784" s="5" t="str">
        <f>IF('FUENTE NO BORRAR'!A1802="","",(IF('FUENTE NO BORRAR'!A1802&lt;&gt;"Resultado total",'FUENTE NO BORRAR'!A1802,"")))</f>
        <v/>
      </c>
      <c r="B1784" s="5" t="str">
        <f>IF('FUENTE NO BORRAR'!B1802="","",'FUENTE NO BORRAR'!B1802)</f>
        <v/>
      </c>
      <c r="C1784" s="5" t="str">
        <f>IF('FUENTE NO BORRAR'!C1802="","",'FUENTE NO BORRAR'!C1802)</f>
        <v>26082012E212</v>
      </c>
      <c r="D1784" s="5" t="str">
        <f>IF('FUENTE NO BORRAR'!D1802="","",'FUENTE NO BORRAR'!D1802)</f>
        <v>26082012E212</v>
      </c>
      <c r="E1784" s="5" t="str">
        <f>IF('FUENTE NO BORRAR'!E1802="","",'FUENTE NO BORRAR'!E1802)</f>
        <v/>
      </c>
      <c r="F1784" s="6">
        <f>IF('FUENTE NO BORRAR'!F1802="","",IF('FUENTE NO BORRAR'!$A1802&lt;&gt;"Resultado total",('FUENTE NO BORRAR'!F1802),""))</f>
        <v>0</v>
      </c>
      <c r="G1784" s="6">
        <f>IF('FUENTE NO BORRAR'!G1802="","",IF('FUENTE NO BORRAR'!$A1802&lt;&gt;"Resultado total",('FUENTE NO BORRAR'!G1802),""))</f>
        <v>0</v>
      </c>
      <c r="H1784" s="6">
        <f>IF('FUENTE NO BORRAR'!H1802="","",IF('FUENTE NO BORRAR'!$A1802&lt;&gt;"Resultado total",('FUENTE NO BORRAR'!H1802),""))</f>
        <v>0</v>
      </c>
      <c r="I1784" s="6">
        <f>IF('FUENTE NO BORRAR'!I1802="","",IF('FUENTE NO BORRAR'!$A1802&lt;&gt;"Resultado total",('FUENTE NO BORRAR'!I1802),""))</f>
        <v>0</v>
      </c>
    </row>
    <row r="1785" spans="1:9" x14ac:dyDescent="0.2">
      <c r="A1785" s="5" t="str">
        <f>IF('FUENTE NO BORRAR'!A1803="","",(IF('FUENTE NO BORRAR'!A1803&lt;&gt;"Resultado total",'FUENTE NO BORRAR'!A1803,"")))</f>
        <v/>
      </c>
      <c r="B1785" s="5" t="str">
        <f>IF('FUENTE NO BORRAR'!B1803="","",'FUENTE NO BORRAR'!B1803)</f>
        <v/>
      </c>
      <c r="C1785" s="5" t="str">
        <f>IF('FUENTE NO BORRAR'!C1803="","",'FUENTE NO BORRAR'!C1803)</f>
        <v>26082081E211</v>
      </c>
      <c r="D1785" s="5" t="str">
        <f>IF('FUENTE NO BORRAR'!D1803="","",'FUENTE NO BORRAR'!D1803)</f>
        <v>26082081E211</v>
      </c>
      <c r="E1785" s="5" t="str">
        <f>IF('FUENTE NO BORRAR'!E1803="","",'FUENTE NO BORRAR'!E1803)</f>
        <v/>
      </c>
      <c r="F1785" s="6">
        <f>IF('FUENTE NO BORRAR'!F1803="","",IF('FUENTE NO BORRAR'!$A1803&lt;&gt;"Resultado total",('FUENTE NO BORRAR'!F1803),""))</f>
        <v>1169161.9099999999</v>
      </c>
      <c r="G1785" s="6">
        <f>IF('FUENTE NO BORRAR'!G1803="","",IF('FUENTE NO BORRAR'!$A1803&lt;&gt;"Resultado total",('FUENTE NO BORRAR'!G1803),""))</f>
        <v>1169161.9099999999</v>
      </c>
      <c r="H1785" s="6">
        <f>IF('FUENTE NO BORRAR'!H1803="","",IF('FUENTE NO BORRAR'!$A1803&lt;&gt;"Resultado total",('FUENTE NO BORRAR'!H1803),""))</f>
        <v>1169161.9099999999</v>
      </c>
      <c r="I1785" s="6">
        <f>IF('FUENTE NO BORRAR'!I1803="","",IF('FUENTE NO BORRAR'!$A1803&lt;&gt;"Resultado total",('FUENTE NO BORRAR'!I1803),""))</f>
        <v>0</v>
      </c>
    </row>
    <row r="1786" spans="1:9" x14ac:dyDescent="0.2">
      <c r="A1786" s="5" t="str">
        <f>IF('FUENTE NO BORRAR'!A1804="","",(IF('FUENTE NO BORRAR'!A1804&lt;&gt;"Resultado total",'FUENTE NO BORRAR'!A1804,"")))</f>
        <v/>
      </c>
      <c r="B1786" s="5" t="str">
        <f>IF('FUENTE NO BORRAR'!B1804="","",'FUENTE NO BORRAR'!B1804)</f>
        <v/>
      </c>
      <c r="C1786" s="5" t="str">
        <f>IF('FUENTE NO BORRAR'!C1804="","",'FUENTE NO BORRAR'!C1804)</f>
        <v/>
      </c>
      <c r="D1786" s="5" t="str">
        <f>IF('FUENTE NO BORRAR'!D1804="","",'FUENTE NO BORRAR'!D1804)</f>
        <v/>
      </c>
      <c r="E1786" s="5" t="str">
        <f>IF('FUENTE NO BORRAR'!E1804="","",'FUENTE NO BORRAR'!E1804)</f>
        <v/>
      </c>
      <c r="F1786" s="6">
        <f>IF('FUENTE NO BORRAR'!F1804="","",IF('FUENTE NO BORRAR'!$A1804&lt;&gt;"Resultado total",('FUENTE NO BORRAR'!F1804),""))</f>
        <v>1381418.37</v>
      </c>
      <c r="G1786" s="6">
        <f>IF('FUENTE NO BORRAR'!G1804="","",IF('FUENTE NO BORRAR'!$A1804&lt;&gt;"Resultado total",('FUENTE NO BORRAR'!G1804),""))</f>
        <v>1381418.37</v>
      </c>
      <c r="H1786" s="6">
        <f>IF('FUENTE NO BORRAR'!H1804="","",IF('FUENTE NO BORRAR'!$A1804&lt;&gt;"Resultado total",('FUENTE NO BORRAR'!H1804),""))</f>
        <v>1381418.37</v>
      </c>
      <c r="I1786" s="6">
        <f>IF('FUENTE NO BORRAR'!I1804="","",IF('FUENTE NO BORRAR'!$A1804&lt;&gt;"Resultado total",('FUENTE NO BORRAR'!I1804),""))</f>
        <v>0</v>
      </c>
    </row>
    <row r="1787" spans="1:9" x14ac:dyDescent="0.2">
      <c r="A1787" s="5" t="str">
        <f>IF('FUENTE NO BORRAR'!A1805="","",(IF('FUENTE NO BORRAR'!A1805&lt;&gt;"Resultado total",'FUENTE NO BORRAR'!A1805,"")))</f>
        <v/>
      </c>
      <c r="B1787" s="5" t="str">
        <f>IF('FUENTE NO BORRAR'!B1805="","",'FUENTE NO BORRAR'!B1805)</f>
        <v/>
      </c>
      <c r="C1787" s="5" t="str">
        <f>IF('FUENTE NO BORRAR'!C1805="","",'FUENTE NO BORRAR'!C1805)</f>
        <v/>
      </c>
      <c r="D1787" s="5" t="str">
        <f>IF('FUENTE NO BORRAR'!D1805="","",'FUENTE NO BORRAR'!D1805)</f>
        <v/>
      </c>
      <c r="E1787" s="5" t="str">
        <f>IF('FUENTE NO BORRAR'!E1805="","",'FUENTE NO BORRAR'!E1805)</f>
        <v/>
      </c>
      <c r="F1787" s="6">
        <f>IF('FUENTE NO BORRAR'!F1805="","",IF('FUENTE NO BORRAR'!$A1805&lt;&gt;"Resultado total",('FUENTE NO BORRAR'!F1805),""))</f>
        <v>64322</v>
      </c>
      <c r="G1787" s="6">
        <f>IF('FUENTE NO BORRAR'!G1805="","",IF('FUENTE NO BORRAR'!$A1805&lt;&gt;"Resultado total",('FUENTE NO BORRAR'!G1805),""))</f>
        <v>64322</v>
      </c>
      <c r="H1787" s="6">
        <f>IF('FUENTE NO BORRAR'!H1805="","",IF('FUENTE NO BORRAR'!$A1805&lt;&gt;"Resultado total",('FUENTE NO BORRAR'!H1805),""))</f>
        <v>64322</v>
      </c>
      <c r="I1787" s="6">
        <f>IF('FUENTE NO BORRAR'!I1805="","",IF('FUENTE NO BORRAR'!$A1805&lt;&gt;"Resultado total",('FUENTE NO BORRAR'!I1805),""))</f>
        <v>0</v>
      </c>
    </row>
    <row r="1788" spans="1:9" x14ac:dyDescent="0.2">
      <c r="A1788" s="5" t="str">
        <f>IF('FUENTE NO BORRAR'!A1806="","",(IF('FUENTE NO BORRAR'!A1806&lt;&gt;"Resultado total",'FUENTE NO BORRAR'!A1806,"")))</f>
        <v/>
      </c>
      <c r="B1788" s="5" t="str">
        <f>IF('FUENTE NO BORRAR'!B1806="","",'FUENTE NO BORRAR'!B1806)</f>
        <v/>
      </c>
      <c r="C1788" s="5" t="str">
        <f>IF('FUENTE NO BORRAR'!C1806="","",'FUENTE NO BORRAR'!C1806)</f>
        <v/>
      </c>
      <c r="D1788" s="5" t="str">
        <f>IF('FUENTE NO BORRAR'!D1806="","",'FUENTE NO BORRAR'!D1806)</f>
        <v/>
      </c>
      <c r="E1788" s="5" t="str">
        <f>IF('FUENTE NO BORRAR'!E1806="","",'FUENTE NO BORRAR'!E1806)</f>
        <v/>
      </c>
      <c r="F1788" s="6">
        <f>IF('FUENTE NO BORRAR'!F1806="","",IF('FUENTE NO BORRAR'!$A1806&lt;&gt;"Resultado total",('FUENTE NO BORRAR'!F1806),""))</f>
        <v>4428.57</v>
      </c>
      <c r="G1788" s="6">
        <f>IF('FUENTE NO BORRAR'!G1806="","",IF('FUENTE NO BORRAR'!$A1806&lt;&gt;"Resultado total",('FUENTE NO BORRAR'!G1806),""))</f>
        <v>4428.57</v>
      </c>
      <c r="H1788" s="6">
        <f>IF('FUENTE NO BORRAR'!H1806="","",IF('FUENTE NO BORRAR'!$A1806&lt;&gt;"Resultado total",('FUENTE NO BORRAR'!H1806),""))</f>
        <v>4428.57</v>
      </c>
      <c r="I1788" s="6">
        <f>IF('FUENTE NO BORRAR'!I1806="","",IF('FUENTE NO BORRAR'!$A1806&lt;&gt;"Resultado total",('FUENTE NO BORRAR'!I1806),""))</f>
        <v>0</v>
      </c>
    </row>
    <row r="1789" spans="1:9" x14ac:dyDescent="0.2">
      <c r="A1789" s="5" t="str">
        <f>IF('FUENTE NO BORRAR'!A1807="","",(IF('FUENTE NO BORRAR'!A1807&lt;&gt;"Resultado total",'FUENTE NO BORRAR'!A1807,"")))</f>
        <v/>
      </c>
      <c r="B1789" s="5" t="str">
        <f>IF('FUENTE NO BORRAR'!B1807="","",'FUENTE NO BORRAR'!B1807)</f>
        <v/>
      </c>
      <c r="C1789" s="5" t="str">
        <f>IF('FUENTE NO BORRAR'!C1807="","",'FUENTE NO BORRAR'!C1807)</f>
        <v/>
      </c>
      <c r="D1789" s="5" t="str">
        <f>IF('FUENTE NO BORRAR'!D1807="","",'FUENTE NO BORRAR'!D1807)</f>
        <v/>
      </c>
      <c r="E1789" s="5" t="str">
        <f>IF('FUENTE NO BORRAR'!E1807="","",'FUENTE NO BORRAR'!E1807)</f>
        <v/>
      </c>
      <c r="F1789" s="6">
        <f>IF('FUENTE NO BORRAR'!F1807="","",IF('FUENTE NO BORRAR'!$A1807&lt;&gt;"Resultado total",('FUENTE NO BORRAR'!F1807),""))</f>
        <v>84456.99</v>
      </c>
      <c r="G1789" s="6">
        <f>IF('FUENTE NO BORRAR'!G1807="","",IF('FUENTE NO BORRAR'!$A1807&lt;&gt;"Resultado total",('FUENTE NO BORRAR'!G1807),""))</f>
        <v>84456.99</v>
      </c>
      <c r="H1789" s="6">
        <f>IF('FUENTE NO BORRAR'!H1807="","",IF('FUENTE NO BORRAR'!$A1807&lt;&gt;"Resultado total",('FUENTE NO BORRAR'!H1807),""))</f>
        <v>84456.99</v>
      </c>
      <c r="I1789" s="6">
        <f>IF('FUENTE NO BORRAR'!I1807="","",IF('FUENTE NO BORRAR'!$A1807&lt;&gt;"Resultado total",('FUENTE NO BORRAR'!I1807),""))</f>
        <v>0</v>
      </c>
    </row>
    <row r="1790" spans="1:9" x14ac:dyDescent="0.2">
      <c r="A1790" s="5" t="str">
        <f>IF('FUENTE NO BORRAR'!A1808="","",(IF('FUENTE NO BORRAR'!A1808&lt;&gt;"Resultado total",'FUENTE NO BORRAR'!A1808,"")))</f>
        <v/>
      </c>
      <c r="B1790" s="5" t="str">
        <f>IF('FUENTE NO BORRAR'!B1808="","",'FUENTE NO BORRAR'!B1808)</f>
        <v/>
      </c>
      <c r="C1790" s="5" t="str">
        <f>IF('FUENTE NO BORRAR'!C1808="","",'FUENTE NO BORRAR'!C1808)</f>
        <v/>
      </c>
      <c r="D1790" s="5" t="str">
        <f>IF('FUENTE NO BORRAR'!D1808="","",'FUENTE NO BORRAR'!D1808)</f>
        <v/>
      </c>
      <c r="E1790" s="5" t="str">
        <f>IF('FUENTE NO BORRAR'!E1808="","",'FUENTE NO BORRAR'!E1808)</f>
        <v/>
      </c>
      <c r="F1790" s="6">
        <f>IF('FUENTE NO BORRAR'!F1808="","",IF('FUENTE NO BORRAR'!$A1808&lt;&gt;"Resultado total",('FUENTE NO BORRAR'!F1808),""))</f>
        <v>533203.35</v>
      </c>
      <c r="G1790" s="6">
        <f>IF('FUENTE NO BORRAR'!G1808="","",IF('FUENTE NO BORRAR'!$A1808&lt;&gt;"Resultado total",('FUENTE NO BORRAR'!G1808),""))</f>
        <v>533203.35</v>
      </c>
      <c r="H1790" s="6">
        <f>IF('FUENTE NO BORRAR'!H1808="","",IF('FUENTE NO BORRAR'!$A1808&lt;&gt;"Resultado total",('FUENTE NO BORRAR'!H1808),""))</f>
        <v>533203.35</v>
      </c>
      <c r="I1790" s="6">
        <f>IF('FUENTE NO BORRAR'!I1808="","",IF('FUENTE NO BORRAR'!$A1808&lt;&gt;"Resultado total",('FUENTE NO BORRAR'!I1808),""))</f>
        <v>0</v>
      </c>
    </row>
    <row r="1791" spans="1:9" x14ac:dyDescent="0.2">
      <c r="A1791" s="5" t="str">
        <f>IF('FUENTE NO BORRAR'!A1809="","",(IF('FUENTE NO BORRAR'!A1809&lt;&gt;"Resultado total",'FUENTE NO BORRAR'!A1809,"")))</f>
        <v/>
      </c>
      <c r="B1791" s="5" t="str">
        <f>IF('FUENTE NO BORRAR'!B1809="","",'FUENTE NO BORRAR'!B1809)</f>
        <v/>
      </c>
      <c r="C1791" s="5" t="str">
        <f>IF('FUENTE NO BORRAR'!C1809="","",'FUENTE NO BORRAR'!C1809)</f>
        <v/>
      </c>
      <c r="D1791" s="5" t="str">
        <f>IF('FUENTE NO BORRAR'!D1809="","",'FUENTE NO BORRAR'!D1809)</f>
        <v/>
      </c>
      <c r="E1791" s="5" t="str">
        <f>IF('FUENTE NO BORRAR'!E1809="","",'FUENTE NO BORRAR'!E1809)</f>
        <v/>
      </c>
      <c r="F1791" s="6">
        <f>IF('FUENTE NO BORRAR'!F1809="","",IF('FUENTE NO BORRAR'!$A1809&lt;&gt;"Resultado total",('FUENTE NO BORRAR'!F1809),""))</f>
        <v>501022.35</v>
      </c>
      <c r="G1791" s="6">
        <f>IF('FUENTE NO BORRAR'!G1809="","",IF('FUENTE NO BORRAR'!$A1809&lt;&gt;"Resultado total",('FUENTE NO BORRAR'!G1809),""))</f>
        <v>501022.35</v>
      </c>
      <c r="H1791" s="6">
        <f>IF('FUENTE NO BORRAR'!H1809="","",IF('FUENTE NO BORRAR'!$A1809&lt;&gt;"Resultado total",('FUENTE NO BORRAR'!H1809),""))</f>
        <v>509360.32</v>
      </c>
      <c r="I1791" s="6">
        <f>IF('FUENTE NO BORRAR'!I1809="","",IF('FUENTE NO BORRAR'!$A1809&lt;&gt;"Resultado total",('FUENTE NO BORRAR'!I1809),""))</f>
        <v>0</v>
      </c>
    </row>
    <row r="1792" spans="1:9" x14ac:dyDescent="0.2">
      <c r="A1792" s="5" t="str">
        <f>IF('FUENTE NO BORRAR'!A1810="","",(IF('FUENTE NO BORRAR'!A1810&lt;&gt;"Resultado total",'FUENTE NO BORRAR'!A1810,"")))</f>
        <v/>
      </c>
      <c r="B1792" s="5" t="str">
        <f>IF('FUENTE NO BORRAR'!B1810="","",'FUENTE NO BORRAR'!B1810)</f>
        <v/>
      </c>
      <c r="C1792" s="5" t="str">
        <f>IF('FUENTE NO BORRAR'!C1810="","",'FUENTE NO BORRAR'!C1810)</f>
        <v/>
      </c>
      <c r="D1792" s="5" t="str">
        <f>IF('FUENTE NO BORRAR'!D1810="","",'FUENTE NO BORRAR'!D1810)</f>
        <v/>
      </c>
      <c r="E1792" s="5" t="str">
        <f>IF('FUENTE NO BORRAR'!E1810="","",'FUENTE NO BORRAR'!E1810)</f>
        <v/>
      </c>
      <c r="F1792" s="6">
        <f>IF('FUENTE NO BORRAR'!F1810="","",IF('FUENTE NO BORRAR'!$A1810&lt;&gt;"Resultado total",('FUENTE NO BORRAR'!F1810),""))</f>
        <v>2378736.66</v>
      </c>
      <c r="G1792" s="6">
        <f>IF('FUENTE NO BORRAR'!G1810="","",IF('FUENTE NO BORRAR'!$A1810&lt;&gt;"Resultado total",('FUENTE NO BORRAR'!G1810),""))</f>
        <v>2378736.66</v>
      </c>
      <c r="H1792" s="6">
        <f>IF('FUENTE NO BORRAR'!H1810="","",IF('FUENTE NO BORRAR'!$A1810&lt;&gt;"Resultado total",('FUENTE NO BORRAR'!H1810),""))</f>
        <v>2378736.66</v>
      </c>
      <c r="I1792" s="6">
        <f>IF('FUENTE NO BORRAR'!I1810="","",IF('FUENTE NO BORRAR'!$A1810&lt;&gt;"Resultado total",('FUENTE NO BORRAR'!I1810),""))</f>
        <v>0</v>
      </c>
    </row>
    <row r="1793" spans="1:9" x14ac:dyDescent="0.2">
      <c r="A1793" s="5" t="str">
        <f>IF('FUENTE NO BORRAR'!A1811="","",(IF('FUENTE NO BORRAR'!A1811&lt;&gt;"Resultado total",'FUENTE NO BORRAR'!A1811,"")))</f>
        <v/>
      </c>
      <c r="B1793" s="5" t="str">
        <f>IF('FUENTE NO BORRAR'!B1811="","",'FUENTE NO BORRAR'!B1811)</f>
        <v/>
      </c>
      <c r="C1793" s="5" t="str">
        <f>IF('FUENTE NO BORRAR'!C1811="","",'FUENTE NO BORRAR'!C1811)</f>
        <v/>
      </c>
      <c r="D1793" s="5" t="str">
        <f>IF('FUENTE NO BORRAR'!D1811="","",'FUENTE NO BORRAR'!D1811)</f>
        <v/>
      </c>
      <c r="E1793" s="5" t="str">
        <f>IF('FUENTE NO BORRAR'!E1811="","",'FUENTE NO BORRAR'!E1811)</f>
        <v/>
      </c>
      <c r="F1793" s="6">
        <f>IF('FUENTE NO BORRAR'!F1811="","",IF('FUENTE NO BORRAR'!$A1811&lt;&gt;"Resultado total",('FUENTE NO BORRAR'!F1811),""))</f>
        <v>483298.97</v>
      </c>
      <c r="G1793" s="6">
        <f>IF('FUENTE NO BORRAR'!G1811="","",IF('FUENTE NO BORRAR'!$A1811&lt;&gt;"Resultado total",('FUENTE NO BORRAR'!G1811),""))</f>
        <v>483298.97</v>
      </c>
      <c r="H1793" s="6">
        <f>IF('FUENTE NO BORRAR'!H1811="","",IF('FUENTE NO BORRAR'!$A1811&lt;&gt;"Resultado total",('FUENTE NO BORRAR'!H1811),""))</f>
        <v>483298.97</v>
      </c>
      <c r="I1793" s="6">
        <f>IF('FUENTE NO BORRAR'!I1811="","",IF('FUENTE NO BORRAR'!$A1811&lt;&gt;"Resultado total",('FUENTE NO BORRAR'!I1811),""))</f>
        <v>0</v>
      </c>
    </row>
    <row r="1794" spans="1:9" x14ac:dyDescent="0.2">
      <c r="A1794" s="5" t="str">
        <f>IF('FUENTE NO BORRAR'!A1812="","",(IF('FUENTE NO BORRAR'!A1812&lt;&gt;"Resultado total",'FUENTE NO BORRAR'!A1812,"")))</f>
        <v/>
      </c>
      <c r="B1794" s="5" t="str">
        <f>IF('FUENTE NO BORRAR'!B1812="","",'FUENTE NO BORRAR'!B1812)</f>
        <v/>
      </c>
      <c r="C1794" s="5" t="str">
        <f>IF('FUENTE NO BORRAR'!C1812="","",'FUENTE NO BORRAR'!C1812)</f>
        <v/>
      </c>
      <c r="D1794" s="5" t="str">
        <f>IF('FUENTE NO BORRAR'!D1812="","",'FUENTE NO BORRAR'!D1812)</f>
        <v/>
      </c>
      <c r="E1794" s="5" t="str">
        <f>IF('FUENTE NO BORRAR'!E1812="","",'FUENTE NO BORRAR'!E1812)</f>
        <v/>
      </c>
      <c r="F1794" s="6">
        <f>IF('FUENTE NO BORRAR'!F1812="","",IF('FUENTE NO BORRAR'!$A1812&lt;&gt;"Resultado total",('FUENTE NO BORRAR'!F1812),""))</f>
        <v>154023.07999999999</v>
      </c>
      <c r="G1794" s="6">
        <f>IF('FUENTE NO BORRAR'!G1812="","",IF('FUENTE NO BORRAR'!$A1812&lt;&gt;"Resultado total",('FUENTE NO BORRAR'!G1812),""))</f>
        <v>154023.07999999999</v>
      </c>
      <c r="H1794" s="6">
        <f>IF('FUENTE NO BORRAR'!H1812="","",IF('FUENTE NO BORRAR'!$A1812&lt;&gt;"Resultado total",('FUENTE NO BORRAR'!H1812),""))</f>
        <v>154023.07999999999</v>
      </c>
      <c r="I1794" s="6">
        <f>IF('FUENTE NO BORRAR'!I1812="","",IF('FUENTE NO BORRAR'!$A1812&lt;&gt;"Resultado total",('FUENTE NO BORRAR'!I1812),""))</f>
        <v>0</v>
      </c>
    </row>
    <row r="1795" spans="1:9" x14ac:dyDescent="0.2">
      <c r="A1795" s="5" t="str">
        <f>IF('FUENTE NO BORRAR'!A1813="","",(IF('FUENTE NO BORRAR'!A1813&lt;&gt;"Resultado total",'FUENTE NO BORRAR'!A1813,"")))</f>
        <v/>
      </c>
      <c r="B1795" s="5" t="str">
        <f>IF('FUENTE NO BORRAR'!B1813="","",'FUENTE NO BORRAR'!B1813)</f>
        <v/>
      </c>
      <c r="C1795" s="5" t="str">
        <f>IF('FUENTE NO BORRAR'!C1813="","",'FUENTE NO BORRAR'!C1813)</f>
        <v/>
      </c>
      <c r="D1795" s="5" t="str">
        <f>IF('FUENTE NO BORRAR'!D1813="","",'FUENTE NO BORRAR'!D1813)</f>
        <v/>
      </c>
      <c r="E1795" s="5" t="str">
        <f>IF('FUENTE NO BORRAR'!E1813="","",'FUENTE NO BORRAR'!E1813)</f>
        <v/>
      </c>
      <c r="F1795" s="6">
        <f>IF('FUENTE NO BORRAR'!F1813="","",IF('FUENTE NO BORRAR'!$A1813&lt;&gt;"Resultado total",('FUENTE NO BORRAR'!F1813),""))</f>
        <v>73967.02</v>
      </c>
      <c r="G1795" s="6">
        <f>IF('FUENTE NO BORRAR'!G1813="","",IF('FUENTE NO BORRAR'!$A1813&lt;&gt;"Resultado total",('FUENTE NO BORRAR'!G1813),""))</f>
        <v>73967.02</v>
      </c>
      <c r="H1795" s="6">
        <f>IF('FUENTE NO BORRAR'!H1813="","",IF('FUENTE NO BORRAR'!$A1813&lt;&gt;"Resultado total",('FUENTE NO BORRAR'!H1813),""))</f>
        <v>73967.02</v>
      </c>
      <c r="I1795" s="6">
        <f>IF('FUENTE NO BORRAR'!I1813="","",IF('FUENTE NO BORRAR'!$A1813&lt;&gt;"Resultado total",('FUENTE NO BORRAR'!I1813),""))</f>
        <v>0</v>
      </c>
    </row>
    <row r="1796" spans="1:9" x14ac:dyDescent="0.2">
      <c r="A1796" s="5" t="str">
        <f>IF('FUENTE NO BORRAR'!A1814="","",(IF('FUENTE NO BORRAR'!A1814&lt;&gt;"Resultado total",'FUENTE NO BORRAR'!A1814,"")))</f>
        <v/>
      </c>
      <c r="B1796" s="5" t="str">
        <f>IF('FUENTE NO BORRAR'!B1814="","",'FUENTE NO BORRAR'!B1814)</f>
        <v/>
      </c>
      <c r="C1796" s="5" t="str">
        <f>IF('FUENTE NO BORRAR'!C1814="","",'FUENTE NO BORRAR'!C1814)</f>
        <v/>
      </c>
      <c r="D1796" s="5" t="str">
        <f>IF('FUENTE NO BORRAR'!D1814="","",'FUENTE NO BORRAR'!D1814)</f>
        <v/>
      </c>
      <c r="E1796" s="5" t="str">
        <f>IF('FUENTE NO BORRAR'!E1814="","",'FUENTE NO BORRAR'!E1814)</f>
        <v/>
      </c>
      <c r="F1796" s="6">
        <f>IF('FUENTE NO BORRAR'!F1814="","",IF('FUENTE NO BORRAR'!$A1814&lt;&gt;"Resultado total",('FUENTE NO BORRAR'!F1814),""))</f>
        <v>306861</v>
      </c>
      <c r="G1796" s="6">
        <f>IF('FUENTE NO BORRAR'!G1814="","",IF('FUENTE NO BORRAR'!$A1814&lt;&gt;"Resultado total",('FUENTE NO BORRAR'!G1814),""))</f>
        <v>306861</v>
      </c>
      <c r="H1796" s="6">
        <f>IF('FUENTE NO BORRAR'!H1814="","",IF('FUENTE NO BORRAR'!$A1814&lt;&gt;"Resultado total",('FUENTE NO BORRAR'!H1814),""))</f>
        <v>306861</v>
      </c>
      <c r="I1796" s="6">
        <f>IF('FUENTE NO BORRAR'!I1814="","",IF('FUENTE NO BORRAR'!$A1814&lt;&gt;"Resultado total",('FUENTE NO BORRAR'!I1814),""))</f>
        <v>0</v>
      </c>
    </row>
    <row r="1797" spans="1:9" x14ac:dyDescent="0.2">
      <c r="A1797" s="5" t="str">
        <f>IF('FUENTE NO BORRAR'!A1815="","",(IF('FUENTE NO BORRAR'!A1815&lt;&gt;"Resultado total",'FUENTE NO BORRAR'!A1815,"")))</f>
        <v/>
      </c>
      <c r="B1797" s="5" t="str">
        <f>IF('FUENTE NO BORRAR'!B1815="","",'FUENTE NO BORRAR'!B1815)</f>
        <v/>
      </c>
      <c r="C1797" s="5" t="str">
        <f>IF('FUENTE NO BORRAR'!C1815="","",'FUENTE NO BORRAR'!C1815)</f>
        <v/>
      </c>
      <c r="D1797" s="5" t="str">
        <f>IF('FUENTE NO BORRAR'!D1815="","",'FUENTE NO BORRAR'!D1815)</f>
        <v/>
      </c>
      <c r="E1797" s="5" t="str">
        <f>IF('FUENTE NO BORRAR'!E1815="","",'FUENTE NO BORRAR'!E1815)</f>
        <v/>
      </c>
      <c r="F1797" s="6">
        <f>IF('FUENTE NO BORRAR'!F1815="","",IF('FUENTE NO BORRAR'!$A1815&lt;&gt;"Resultado total",('FUENTE NO BORRAR'!F1815),""))</f>
        <v>1175483.46</v>
      </c>
      <c r="G1797" s="6">
        <f>IF('FUENTE NO BORRAR'!G1815="","",IF('FUENTE NO BORRAR'!$A1815&lt;&gt;"Resultado total",('FUENTE NO BORRAR'!G1815),""))</f>
        <v>1175483.46</v>
      </c>
      <c r="H1797" s="6">
        <f>IF('FUENTE NO BORRAR'!H1815="","",IF('FUENTE NO BORRAR'!$A1815&lt;&gt;"Resultado total",('FUENTE NO BORRAR'!H1815),""))</f>
        <v>1175483.46</v>
      </c>
      <c r="I1797" s="6">
        <f>IF('FUENTE NO BORRAR'!I1815="","",IF('FUENTE NO BORRAR'!$A1815&lt;&gt;"Resultado total",('FUENTE NO BORRAR'!I1815),""))</f>
        <v>0</v>
      </c>
    </row>
    <row r="1798" spans="1:9" x14ac:dyDescent="0.2">
      <c r="A1798" s="5" t="str">
        <f>IF('FUENTE NO BORRAR'!A1816="","",(IF('FUENTE NO BORRAR'!A1816&lt;&gt;"Resultado total",'FUENTE NO BORRAR'!A1816,"")))</f>
        <v/>
      </c>
      <c r="B1798" s="5" t="str">
        <f>IF('FUENTE NO BORRAR'!B1816="","",'FUENTE NO BORRAR'!B1816)</f>
        <v/>
      </c>
      <c r="C1798" s="5" t="str">
        <f>IF('FUENTE NO BORRAR'!C1816="","",'FUENTE NO BORRAR'!C1816)</f>
        <v/>
      </c>
      <c r="D1798" s="5" t="str">
        <f>IF('FUENTE NO BORRAR'!D1816="","",'FUENTE NO BORRAR'!D1816)</f>
        <v/>
      </c>
      <c r="E1798" s="5" t="str">
        <f>IF('FUENTE NO BORRAR'!E1816="","",'FUENTE NO BORRAR'!E1816)</f>
        <v/>
      </c>
      <c r="F1798" s="6">
        <f>IF('FUENTE NO BORRAR'!F1816="","",IF('FUENTE NO BORRAR'!$A1816&lt;&gt;"Resultado total",('FUENTE NO BORRAR'!F1816),""))</f>
        <v>2105028</v>
      </c>
      <c r="G1798" s="6">
        <f>IF('FUENTE NO BORRAR'!G1816="","",IF('FUENTE NO BORRAR'!$A1816&lt;&gt;"Resultado total",('FUENTE NO BORRAR'!G1816),""))</f>
        <v>2105028</v>
      </c>
      <c r="H1798" s="6">
        <f>IF('FUENTE NO BORRAR'!H1816="","",IF('FUENTE NO BORRAR'!$A1816&lt;&gt;"Resultado total",('FUENTE NO BORRAR'!H1816),""))</f>
        <v>2105028</v>
      </c>
      <c r="I1798" s="6">
        <f>IF('FUENTE NO BORRAR'!I1816="","",IF('FUENTE NO BORRAR'!$A1816&lt;&gt;"Resultado total",('FUENTE NO BORRAR'!I1816),""))</f>
        <v>0</v>
      </c>
    </row>
    <row r="1799" spans="1:9" x14ac:dyDescent="0.2">
      <c r="A1799" s="5" t="str">
        <f>IF('FUENTE NO BORRAR'!A1817="","",(IF('FUENTE NO BORRAR'!A1817&lt;&gt;"Resultado total",'FUENTE NO BORRAR'!A1817,"")))</f>
        <v/>
      </c>
      <c r="B1799" s="5" t="str">
        <f>IF('FUENTE NO BORRAR'!B1817="","",'FUENTE NO BORRAR'!B1817)</f>
        <v/>
      </c>
      <c r="C1799" s="5" t="str">
        <f>IF('FUENTE NO BORRAR'!C1817="","",'FUENTE NO BORRAR'!C1817)</f>
        <v>26082121E202</v>
      </c>
      <c r="D1799" s="5" t="str">
        <f>IF('FUENTE NO BORRAR'!D1817="","",'FUENTE NO BORRAR'!D1817)</f>
        <v>26082121E202</v>
      </c>
      <c r="E1799" s="5" t="str">
        <f>IF('FUENTE NO BORRAR'!E1817="","",'FUENTE NO BORRAR'!E1817)</f>
        <v/>
      </c>
      <c r="F1799" s="6">
        <f>IF('FUENTE NO BORRAR'!F1817="","",IF('FUENTE NO BORRAR'!$A1817&lt;&gt;"Resultado total",('FUENTE NO BORRAR'!F1817),""))</f>
        <v>1465213.11</v>
      </c>
      <c r="G1799" s="6">
        <f>IF('FUENTE NO BORRAR'!G1817="","",IF('FUENTE NO BORRAR'!$A1817&lt;&gt;"Resultado total",('FUENTE NO BORRAR'!G1817),""))</f>
        <v>1465213.11</v>
      </c>
      <c r="H1799" s="6">
        <f>IF('FUENTE NO BORRAR'!H1817="","",IF('FUENTE NO BORRAR'!$A1817&lt;&gt;"Resultado total",('FUENTE NO BORRAR'!H1817),""))</f>
        <v>1465213.11</v>
      </c>
      <c r="I1799" s="6">
        <f>IF('FUENTE NO BORRAR'!I1817="","",IF('FUENTE NO BORRAR'!$A1817&lt;&gt;"Resultado total",('FUENTE NO BORRAR'!I1817),""))</f>
        <v>0</v>
      </c>
    </row>
    <row r="1800" spans="1:9" x14ac:dyDescent="0.2">
      <c r="A1800" s="5" t="str">
        <f>IF('FUENTE NO BORRAR'!A1818="","",(IF('FUENTE NO BORRAR'!A1818&lt;&gt;"Resultado total",'FUENTE NO BORRAR'!A1818,"")))</f>
        <v/>
      </c>
      <c r="B1800" s="5" t="str">
        <f>IF('FUENTE NO BORRAR'!B1818="","",'FUENTE NO BORRAR'!B1818)</f>
        <v/>
      </c>
      <c r="C1800" s="5" t="str">
        <f>IF('FUENTE NO BORRAR'!C1818="","",'FUENTE NO BORRAR'!C1818)</f>
        <v/>
      </c>
      <c r="D1800" s="5" t="str">
        <f>IF('FUENTE NO BORRAR'!D1818="","",'FUENTE NO BORRAR'!D1818)</f>
        <v/>
      </c>
      <c r="E1800" s="5" t="str">
        <f>IF('FUENTE NO BORRAR'!E1818="","",'FUENTE NO BORRAR'!E1818)</f>
        <v/>
      </c>
      <c r="F1800" s="6">
        <f>IF('FUENTE NO BORRAR'!F1818="","",IF('FUENTE NO BORRAR'!$A1818&lt;&gt;"Resultado total",('FUENTE NO BORRAR'!F1818),""))</f>
        <v>1164063.26</v>
      </c>
      <c r="G1800" s="6">
        <f>IF('FUENTE NO BORRAR'!G1818="","",IF('FUENTE NO BORRAR'!$A1818&lt;&gt;"Resultado total",('FUENTE NO BORRAR'!G1818),""))</f>
        <v>1164063.26</v>
      </c>
      <c r="H1800" s="6">
        <f>IF('FUENTE NO BORRAR'!H1818="","",IF('FUENTE NO BORRAR'!$A1818&lt;&gt;"Resultado total",('FUENTE NO BORRAR'!H1818),""))</f>
        <v>1164063.26</v>
      </c>
      <c r="I1800" s="6">
        <f>IF('FUENTE NO BORRAR'!I1818="","",IF('FUENTE NO BORRAR'!$A1818&lt;&gt;"Resultado total",('FUENTE NO BORRAR'!I1818),""))</f>
        <v>0</v>
      </c>
    </row>
    <row r="1801" spans="1:9" x14ac:dyDescent="0.2">
      <c r="A1801" s="5" t="str">
        <f>IF('FUENTE NO BORRAR'!A1819="","",(IF('FUENTE NO BORRAR'!A1819&lt;&gt;"Resultado total",'FUENTE NO BORRAR'!A1819,"")))</f>
        <v/>
      </c>
      <c r="B1801" s="5" t="str">
        <f>IF('FUENTE NO BORRAR'!B1819="","",'FUENTE NO BORRAR'!B1819)</f>
        <v/>
      </c>
      <c r="C1801" s="5" t="str">
        <f>IF('FUENTE NO BORRAR'!C1819="","",'FUENTE NO BORRAR'!C1819)</f>
        <v/>
      </c>
      <c r="D1801" s="5" t="str">
        <f>IF('FUENTE NO BORRAR'!D1819="","",'FUENTE NO BORRAR'!D1819)</f>
        <v/>
      </c>
      <c r="E1801" s="5" t="str">
        <f>IF('FUENTE NO BORRAR'!E1819="","",'FUENTE NO BORRAR'!E1819)</f>
        <v/>
      </c>
      <c r="F1801" s="6">
        <f>IF('FUENTE NO BORRAR'!F1819="","",IF('FUENTE NO BORRAR'!$A1819&lt;&gt;"Resultado total",('FUENTE NO BORRAR'!F1819),""))</f>
        <v>2284410.3199999998</v>
      </c>
      <c r="G1801" s="6">
        <f>IF('FUENTE NO BORRAR'!G1819="","",IF('FUENTE NO BORRAR'!$A1819&lt;&gt;"Resultado total",('FUENTE NO BORRAR'!G1819),""))</f>
        <v>2284410.3199999998</v>
      </c>
      <c r="H1801" s="6">
        <f>IF('FUENTE NO BORRAR'!H1819="","",IF('FUENTE NO BORRAR'!$A1819&lt;&gt;"Resultado total",('FUENTE NO BORRAR'!H1819),""))</f>
        <v>2143256.33</v>
      </c>
      <c r="I1801" s="6">
        <f>IF('FUENTE NO BORRAR'!I1819="","",IF('FUENTE NO BORRAR'!$A1819&lt;&gt;"Resultado total",('FUENTE NO BORRAR'!I1819),""))</f>
        <v>0</v>
      </c>
    </row>
    <row r="1802" spans="1:9" x14ac:dyDescent="0.2">
      <c r="A1802" s="5" t="str">
        <f>IF('FUENTE NO BORRAR'!A1820="","",(IF('FUENTE NO BORRAR'!A1820&lt;&gt;"Resultado total",'FUENTE NO BORRAR'!A1820,"")))</f>
        <v/>
      </c>
      <c r="B1802" s="5" t="str">
        <f>IF('FUENTE NO BORRAR'!B1820="","",'FUENTE NO BORRAR'!B1820)</f>
        <v/>
      </c>
      <c r="C1802" s="5" t="str">
        <f>IF('FUENTE NO BORRAR'!C1820="","",'FUENTE NO BORRAR'!C1820)</f>
        <v/>
      </c>
      <c r="D1802" s="5" t="str">
        <f>IF('FUENTE NO BORRAR'!D1820="","",'FUENTE NO BORRAR'!D1820)</f>
        <v/>
      </c>
      <c r="E1802" s="5" t="str">
        <f>IF('FUENTE NO BORRAR'!E1820="","",'FUENTE NO BORRAR'!E1820)</f>
        <v/>
      </c>
      <c r="F1802" s="6">
        <f>IF('FUENTE NO BORRAR'!F1820="","",IF('FUENTE NO BORRAR'!$A1820&lt;&gt;"Resultado total",('FUENTE NO BORRAR'!F1820),""))</f>
        <v>711684.08</v>
      </c>
      <c r="G1802" s="6">
        <f>IF('FUENTE NO BORRAR'!G1820="","",IF('FUENTE NO BORRAR'!$A1820&lt;&gt;"Resultado total",('FUENTE NO BORRAR'!G1820),""))</f>
        <v>711684.08</v>
      </c>
      <c r="H1802" s="6">
        <f>IF('FUENTE NO BORRAR'!H1820="","",IF('FUENTE NO BORRAR'!$A1820&lt;&gt;"Resultado total",('FUENTE NO BORRAR'!H1820),""))</f>
        <v>711684.08</v>
      </c>
      <c r="I1802" s="6">
        <f>IF('FUENTE NO BORRAR'!I1820="","",IF('FUENTE NO BORRAR'!$A1820&lt;&gt;"Resultado total",('FUENTE NO BORRAR'!I1820),""))</f>
        <v>0</v>
      </c>
    </row>
    <row r="1803" spans="1:9" x14ac:dyDescent="0.2">
      <c r="A1803" s="5" t="str">
        <f>IF('FUENTE NO BORRAR'!A1821="","",(IF('FUENTE NO BORRAR'!A1821&lt;&gt;"Resultado total",'FUENTE NO BORRAR'!A1821,"")))</f>
        <v/>
      </c>
      <c r="B1803" s="5" t="str">
        <f>IF('FUENTE NO BORRAR'!B1821="","",'FUENTE NO BORRAR'!B1821)</f>
        <v/>
      </c>
      <c r="C1803" s="5" t="str">
        <f>IF('FUENTE NO BORRAR'!C1821="","",'FUENTE NO BORRAR'!C1821)</f>
        <v/>
      </c>
      <c r="D1803" s="5" t="str">
        <f>IF('FUENTE NO BORRAR'!D1821="","",'FUENTE NO BORRAR'!D1821)</f>
        <v/>
      </c>
      <c r="E1803" s="5" t="str">
        <f>IF('FUENTE NO BORRAR'!E1821="","",'FUENTE NO BORRAR'!E1821)</f>
        <v/>
      </c>
      <c r="F1803" s="6">
        <f>IF('FUENTE NO BORRAR'!F1821="","",IF('FUENTE NO BORRAR'!$A1821&lt;&gt;"Resultado total",('FUENTE NO BORRAR'!F1821),""))</f>
        <v>112839.37</v>
      </c>
      <c r="G1803" s="6">
        <f>IF('FUENTE NO BORRAR'!G1821="","",IF('FUENTE NO BORRAR'!$A1821&lt;&gt;"Resultado total",('FUENTE NO BORRAR'!G1821),""))</f>
        <v>112839.37</v>
      </c>
      <c r="H1803" s="6">
        <f>IF('FUENTE NO BORRAR'!H1821="","",IF('FUENTE NO BORRAR'!$A1821&lt;&gt;"Resultado total",('FUENTE NO BORRAR'!H1821),""))</f>
        <v>112839.37</v>
      </c>
      <c r="I1803" s="6">
        <f>IF('FUENTE NO BORRAR'!I1821="","",IF('FUENTE NO BORRAR'!$A1821&lt;&gt;"Resultado total",('FUENTE NO BORRAR'!I1821),""))</f>
        <v>0</v>
      </c>
    </row>
    <row r="1804" spans="1:9" x14ac:dyDescent="0.2">
      <c r="A1804" s="5" t="str">
        <f>IF('FUENTE NO BORRAR'!A1822="","",(IF('FUENTE NO BORRAR'!A1822&lt;&gt;"Resultado total",'FUENTE NO BORRAR'!A1822,"")))</f>
        <v/>
      </c>
      <c r="B1804" s="5" t="str">
        <f>IF('FUENTE NO BORRAR'!B1822="","",'FUENTE NO BORRAR'!B1822)</f>
        <v/>
      </c>
      <c r="C1804" s="5" t="str">
        <f>IF('FUENTE NO BORRAR'!C1822="","",'FUENTE NO BORRAR'!C1822)</f>
        <v/>
      </c>
      <c r="D1804" s="5" t="str">
        <f>IF('FUENTE NO BORRAR'!D1822="","",'FUENTE NO BORRAR'!D1822)</f>
        <v/>
      </c>
      <c r="E1804" s="5" t="str">
        <f>IF('FUENTE NO BORRAR'!E1822="","",'FUENTE NO BORRAR'!E1822)</f>
        <v/>
      </c>
      <c r="F1804" s="6">
        <f>IF('FUENTE NO BORRAR'!F1822="","",IF('FUENTE NO BORRAR'!$A1822&lt;&gt;"Resultado total",('FUENTE NO BORRAR'!F1822),""))</f>
        <v>22752.959999999999</v>
      </c>
      <c r="G1804" s="6">
        <f>IF('FUENTE NO BORRAR'!G1822="","",IF('FUENTE NO BORRAR'!$A1822&lt;&gt;"Resultado total",('FUENTE NO BORRAR'!G1822),""))</f>
        <v>22752.959999999999</v>
      </c>
      <c r="H1804" s="6">
        <f>IF('FUENTE NO BORRAR'!H1822="","",IF('FUENTE NO BORRAR'!$A1822&lt;&gt;"Resultado total",('FUENTE NO BORRAR'!H1822),""))</f>
        <v>22752.959999999999</v>
      </c>
      <c r="I1804" s="6">
        <f>IF('FUENTE NO BORRAR'!I1822="","",IF('FUENTE NO BORRAR'!$A1822&lt;&gt;"Resultado total",('FUENTE NO BORRAR'!I1822),""))</f>
        <v>0</v>
      </c>
    </row>
    <row r="1805" spans="1:9" x14ac:dyDescent="0.2">
      <c r="A1805" s="5" t="str">
        <f>IF('FUENTE NO BORRAR'!A1823="","",(IF('FUENTE NO BORRAR'!A1823&lt;&gt;"Resultado total",'FUENTE NO BORRAR'!A1823,"")))</f>
        <v/>
      </c>
      <c r="B1805" s="5" t="str">
        <f>IF('FUENTE NO BORRAR'!B1823="","",'FUENTE NO BORRAR'!B1823)</f>
        <v/>
      </c>
      <c r="C1805" s="5" t="str">
        <f>IF('FUENTE NO BORRAR'!C1823="","",'FUENTE NO BORRAR'!C1823)</f>
        <v/>
      </c>
      <c r="D1805" s="5" t="str">
        <f>IF('FUENTE NO BORRAR'!D1823="","",'FUENTE NO BORRAR'!D1823)</f>
        <v/>
      </c>
      <c r="E1805" s="5" t="str">
        <f>IF('FUENTE NO BORRAR'!E1823="","",'FUENTE NO BORRAR'!E1823)</f>
        <v/>
      </c>
      <c r="F1805" s="6">
        <f>IF('FUENTE NO BORRAR'!F1823="","",IF('FUENTE NO BORRAR'!$A1823&lt;&gt;"Resultado total",('FUENTE NO BORRAR'!F1823),""))</f>
        <v>102283.45</v>
      </c>
      <c r="G1805" s="6">
        <f>IF('FUENTE NO BORRAR'!G1823="","",IF('FUENTE NO BORRAR'!$A1823&lt;&gt;"Resultado total",('FUENTE NO BORRAR'!G1823),""))</f>
        <v>102283.45</v>
      </c>
      <c r="H1805" s="6">
        <f>IF('FUENTE NO BORRAR'!H1823="","",IF('FUENTE NO BORRAR'!$A1823&lt;&gt;"Resultado total",('FUENTE NO BORRAR'!H1823),""))</f>
        <v>102283.45</v>
      </c>
      <c r="I1805" s="6">
        <f>IF('FUENTE NO BORRAR'!I1823="","",IF('FUENTE NO BORRAR'!$A1823&lt;&gt;"Resultado total",('FUENTE NO BORRAR'!I1823),""))</f>
        <v>0</v>
      </c>
    </row>
    <row r="1806" spans="1:9" x14ac:dyDescent="0.2">
      <c r="A1806" s="5" t="str">
        <f>IF('FUENTE NO BORRAR'!A1824="","",(IF('FUENTE NO BORRAR'!A1824&lt;&gt;"Resultado total",'FUENTE NO BORRAR'!A1824,"")))</f>
        <v/>
      </c>
      <c r="B1806" s="5" t="str">
        <f>IF('FUENTE NO BORRAR'!B1824="","",'FUENTE NO BORRAR'!B1824)</f>
        <v/>
      </c>
      <c r="C1806" s="5" t="str">
        <f>IF('FUENTE NO BORRAR'!C1824="","",'FUENTE NO BORRAR'!C1824)</f>
        <v/>
      </c>
      <c r="D1806" s="5" t="str">
        <f>IF('FUENTE NO BORRAR'!D1824="","",'FUENTE NO BORRAR'!D1824)</f>
        <v/>
      </c>
      <c r="E1806" s="5" t="str">
        <f>IF('FUENTE NO BORRAR'!E1824="","",'FUENTE NO BORRAR'!E1824)</f>
        <v/>
      </c>
      <c r="F1806" s="6">
        <f>IF('FUENTE NO BORRAR'!F1824="","",IF('FUENTE NO BORRAR'!$A1824&lt;&gt;"Resultado total",('FUENTE NO BORRAR'!F1824),""))</f>
        <v>595474.31999999995</v>
      </c>
      <c r="G1806" s="6">
        <f>IF('FUENTE NO BORRAR'!G1824="","",IF('FUENTE NO BORRAR'!$A1824&lt;&gt;"Resultado total",('FUENTE NO BORRAR'!G1824),""))</f>
        <v>595474.31999999995</v>
      </c>
      <c r="H1806" s="6">
        <f>IF('FUENTE NO BORRAR'!H1824="","",IF('FUENTE NO BORRAR'!$A1824&lt;&gt;"Resultado total",('FUENTE NO BORRAR'!H1824),""))</f>
        <v>595474.31999999995</v>
      </c>
      <c r="I1806" s="6">
        <f>IF('FUENTE NO BORRAR'!I1824="","",IF('FUENTE NO BORRAR'!$A1824&lt;&gt;"Resultado total",('FUENTE NO BORRAR'!I1824),""))</f>
        <v>0</v>
      </c>
    </row>
    <row r="1807" spans="1:9" x14ac:dyDescent="0.2">
      <c r="A1807" s="5" t="str">
        <f>IF('FUENTE NO BORRAR'!A1825="","",(IF('FUENTE NO BORRAR'!A1825&lt;&gt;"Resultado total",'FUENTE NO BORRAR'!A1825,"")))</f>
        <v/>
      </c>
      <c r="B1807" s="5" t="str">
        <f>IF('FUENTE NO BORRAR'!B1825="","",'FUENTE NO BORRAR'!B1825)</f>
        <v/>
      </c>
      <c r="C1807" s="5" t="str">
        <f>IF('FUENTE NO BORRAR'!C1825="","",'FUENTE NO BORRAR'!C1825)</f>
        <v/>
      </c>
      <c r="D1807" s="5" t="str">
        <f>IF('FUENTE NO BORRAR'!D1825="","",'FUENTE NO BORRAR'!D1825)</f>
        <v/>
      </c>
      <c r="E1807" s="5" t="str">
        <f>IF('FUENTE NO BORRAR'!E1825="","",'FUENTE NO BORRAR'!E1825)</f>
        <v/>
      </c>
      <c r="F1807" s="6">
        <f>IF('FUENTE NO BORRAR'!F1825="","",IF('FUENTE NO BORRAR'!$A1825&lt;&gt;"Resultado total",('FUENTE NO BORRAR'!F1825),""))</f>
        <v>1566926.57</v>
      </c>
      <c r="G1807" s="6">
        <f>IF('FUENTE NO BORRAR'!G1825="","",IF('FUENTE NO BORRAR'!$A1825&lt;&gt;"Resultado total",('FUENTE NO BORRAR'!G1825),""))</f>
        <v>1566926.57</v>
      </c>
      <c r="H1807" s="6">
        <f>IF('FUENTE NO BORRAR'!H1825="","",IF('FUENTE NO BORRAR'!$A1825&lt;&gt;"Resultado total",('FUENTE NO BORRAR'!H1825),""))</f>
        <v>1573105.36</v>
      </c>
      <c r="I1807" s="6">
        <f>IF('FUENTE NO BORRAR'!I1825="","",IF('FUENTE NO BORRAR'!$A1825&lt;&gt;"Resultado total",('FUENTE NO BORRAR'!I1825),""))</f>
        <v>0</v>
      </c>
    </row>
    <row r="1808" spans="1:9" x14ac:dyDescent="0.2">
      <c r="A1808" s="5" t="str">
        <f>IF('FUENTE NO BORRAR'!A1826="","",(IF('FUENTE NO BORRAR'!A1826&lt;&gt;"Resultado total",'FUENTE NO BORRAR'!A1826,"")))</f>
        <v/>
      </c>
      <c r="B1808" s="5" t="str">
        <f>IF('FUENTE NO BORRAR'!B1826="","",'FUENTE NO BORRAR'!B1826)</f>
        <v/>
      </c>
      <c r="C1808" s="5" t="str">
        <f>IF('FUENTE NO BORRAR'!C1826="","",'FUENTE NO BORRAR'!C1826)</f>
        <v/>
      </c>
      <c r="D1808" s="5" t="str">
        <f>IF('FUENTE NO BORRAR'!D1826="","",'FUENTE NO BORRAR'!D1826)</f>
        <v/>
      </c>
      <c r="E1808" s="5" t="str">
        <f>IF('FUENTE NO BORRAR'!E1826="","",'FUENTE NO BORRAR'!E1826)</f>
        <v/>
      </c>
      <c r="F1808" s="6">
        <f>IF('FUENTE NO BORRAR'!F1826="","",IF('FUENTE NO BORRAR'!$A1826&lt;&gt;"Resultado total",('FUENTE NO BORRAR'!F1826),""))</f>
        <v>757968.52</v>
      </c>
      <c r="G1808" s="6">
        <f>IF('FUENTE NO BORRAR'!G1826="","",IF('FUENTE NO BORRAR'!$A1826&lt;&gt;"Resultado total",('FUENTE NO BORRAR'!G1826),""))</f>
        <v>757968.52</v>
      </c>
      <c r="H1808" s="6">
        <f>IF('FUENTE NO BORRAR'!H1826="","",IF('FUENTE NO BORRAR'!$A1826&lt;&gt;"Resultado total",('FUENTE NO BORRAR'!H1826),""))</f>
        <v>757968.52</v>
      </c>
      <c r="I1808" s="6">
        <f>IF('FUENTE NO BORRAR'!I1826="","",IF('FUENTE NO BORRAR'!$A1826&lt;&gt;"Resultado total",('FUENTE NO BORRAR'!I1826),""))</f>
        <v>0</v>
      </c>
    </row>
    <row r="1809" spans="1:9" x14ac:dyDescent="0.2">
      <c r="A1809" s="5" t="str">
        <f>IF('FUENTE NO BORRAR'!A1827="","",(IF('FUENTE NO BORRAR'!A1827&lt;&gt;"Resultado total",'FUENTE NO BORRAR'!A1827,"")))</f>
        <v/>
      </c>
      <c r="B1809" s="5" t="str">
        <f>IF('FUENTE NO BORRAR'!B1827="","",'FUENTE NO BORRAR'!B1827)</f>
        <v/>
      </c>
      <c r="C1809" s="5" t="str">
        <f>IF('FUENTE NO BORRAR'!C1827="","",'FUENTE NO BORRAR'!C1827)</f>
        <v/>
      </c>
      <c r="D1809" s="5" t="str">
        <f>IF('FUENTE NO BORRAR'!D1827="","",'FUENTE NO BORRAR'!D1827)</f>
        <v/>
      </c>
      <c r="E1809" s="5" t="str">
        <f>IF('FUENTE NO BORRAR'!E1827="","",'FUENTE NO BORRAR'!E1827)</f>
        <v/>
      </c>
      <c r="F1809" s="6">
        <f>IF('FUENTE NO BORRAR'!F1827="","",IF('FUENTE NO BORRAR'!$A1827&lt;&gt;"Resultado total",('FUENTE NO BORRAR'!F1827),""))</f>
        <v>616556.49</v>
      </c>
      <c r="G1809" s="6">
        <f>IF('FUENTE NO BORRAR'!G1827="","",IF('FUENTE NO BORRAR'!$A1827&lt;&gt;"Resultado total",('FUENTE NO BORRAR'!G1827),""))</f>
        <v>616556.49</v>
      </c>
      <c r="H1809" s="6">
        <f>IF('FUENTE NO BORRAR'!H1827="","",IF('FUENTE NO BORRAR'!$A1827&lt;&gt;"Resultado total",('FUENTE NO BORRAR'!H1827),""))</f>
        <v>616556.49</v>
      </c>
      <c r="I1809" s="6">
        <f>IF('FUENTE NO BORRAR'!I1827="","",IF('FUENTE NO BORRAR'!$A1827&lt;&gt;"Resultado total",('FUENTE NO BORRAR'!I1827),""))</f>
        <v>0</v>
      </c>
    </row>
    <row r="1810" spans="1:9" x14ac:dyDescent="0.2">
      <c r="A1810" s="5" t="str">
        <f>IF('FUENTE NO BORRAR'!A1828="","",(IF('FUENTE NO BORRAR'!A1828&lt;&gt;"Resultado total",'FUENTE NO BORRAR'!A1828,"")))</f>
        <v/>
      </c>
      <c r="B1810" s="5" t="str">
        <f>IF('FUENTE NO BORRAR'!B1828="","",'FUENTE NO BORRAR'!B1828)</f>
        <v/>
      </c>
      <c r="C1810" s="5" t="str">
        <f>IF('FUENTE NO BORRAR'!C1828="","",'FUENTE NO BORRAR'!C1828)</f>
        <v/>
      </c>
      <c r="D1810" s="5" t="str">
        <f>IF('FUENTE NO BORRAR'!D1828="","",'FUENTE NO BORRAR'!D1828)</f>
        <v/>
      </c>
      <c r="E1810" s="5" t="str">
        <f>IF('FUENTE NO BORRAR'!E1828="","",'FUENTE NO BORRAR'!E1828)</f>
        <v/>
      </c>
      <c r="F1810" s="6">
        <f>IF('FUENTE NO BORRAR'!F1828="","",IF('FUENTE NO BORRAR'!$A1828&lt;&gt;"Resultado total",('FUENTE NO BORRAR'!F1828),""))</f>
        <v>208567.51</v>
      </c>
      <c r="G1810" s="6">
        <f>IF('FUENTE NO BORRAR'!G1828="","",IF('FUENTE NO BORRAR'!$A1828&lt;&gt;"Resultado total",('FUENTE NO BORRAR'!G1828),""))</f>
        <v>208567.51</v>
      </c>
      <c r="H1810" s="6">
        <f>IF('FUENTE NO BORRAR'!H1828="","",IF('FUENTE NO BORRAR'!$A1828&lt;&gt;"Resultado total",('FUENTE NO BORRAR'!H1828),""))</f>
        <v>208567.51</v>
      </c>
      <c r="I1810" s="6">
        <f>IF('FUENTE NO BORRAR'!I1828="","",IF('FUENTE NO BORRAR'!$A1828&lt;&gt;"Resultado total",('FUENTE NO BORRAR'!I1828),""))</f>
        <v>0</v>
      </c>
    </row>
    <row r="1811" spans="1:9" x14ac:dyDescent="0.2">
      <c r="A1811" s="5" t="str">
        <f>IF('FUENTE NO BORRAR'!A1829="","",(IF('FUENTE NO BORRAR'!A1829&lt;&gt;"Resultado total",'FUENTE NO BORRAR'!A1829,"")))</f>
        <v/>
      </c>
      <c r="B1811" s="5" t="str">
        <f>IF('FUENTE NO BORRAR'!B1829="","",'FUENTE NO BORRAR'!B1829)</f>
        <v/>
      </c>
      <c r="C1811" s="5" t="str">
        <f>IF('FUENTE NO BORRAR'!C1829="","",'FUENTE NO BORRAR'!C1829)</f>
        <v/>
      </c>
      <c r="D1811" s="5" t="str">
        <f>IF('FUENTE NO BORRAR'!D1829="","",'FUENTE NO BORRAR'!D1829)</f>
        <v/>
      </c>
      <c r="E1811" s="5" t="str">
        <f>IF('FUENTE NO BORRAR'!E1829="","",'FUENTE NO BORRAR'!E1829)</f>
        <v/>
      </c>
      <c r="F1811" s="6">
        <f>IF('FUENTE NO BORRAR'!F1829="","",IF('FUENTE NO BORRAR'!$A1829&lt;&gt;"Resultado total",('FUENTE NO BORRAR'!F1829),""))</f>
        <v>98516.76</v>
      </c>
      <c r="G1811" s="6">
        <f>IF('FUENTE NO BORRAR'!G1829="","",IF('FUENTE NO BORRAR'!$A1829&lt;&gt;"Resultado total",('FUENTE NO BORRAR'!G1829),""))</f>
        <v>98516.76</v>
      </c>
      <c r="H1811" s="6">
        <f>IF('FUENTE NO BORRAR'!H1829="","",IF('FUENTE NO BORRAR'!$A1829&lt;&gt;"Resultado total",('FUENTE NO BORRAR'!H1829),""))</f>
        <v>98516.76</v>
      </c>
      <c r="I1811" s="6">
        <f>IF('FUENTE NO BORRAR'!I1829="","",IF('FUENTE NO BORRAR'!$A1829&lt;&gt;"Resultado total",('FUENTE NO BORRAR'!I1829),""))</f>
        <v>0</v>
      </c>
    </row>
    <row r="1812" spans="1:9" x14ac:dyDescent="0.2">
      <c r="A1812" s="5" t="str">
        <f>IF('FUENTE NO BORRAR'!A1830="","",(IF('FUENTE NO BORRAR'!A1830&lt;&gt;"Resultado total",'FUENTE NO BORRAR'!A1830,"")))</f>
        <v/>
      </c>
      <c r="B1812" s="5" t="str">
        <f>IF('FUENTE NO BORRAR'!B1830="","",'FUENTE NO BORRAR'!B1830)</f>
        <v/>
      </c>
      <c r="C1812" s="5" t="str">
        <f>IF('FUENTE NO BORRAR'!C1830="","",'FUENTE NO BORRAR'!C1830)</f>
        <v/>
      </c>
      <c r="D1812" s="5" t="str">
        <f>IF('FUENTE NO BORRAR'!D1830="","",'FUENTE NO BORRAR'!D1830)</f>
        <v/>
      </c>
      <c r="E1812" s="5" t="str">
        <f>IF('FUENTE NO BORRAR'!E1830="","",'FUENTE NO BORRAR'!E1830)</f>
        <v/>
      </c>
      <c r="F1812" s="6">
        <f>IF('FUENTE NO BORRAR'!F1830="","",IF('FUENTE NO BORRAR'!$A1830&lt;&gt;"Resultado total",('FUENTE NO BORRAR'!F1830),""))</f>
        <v>315564.24</v>
      </c>
      <c r="G1812" s="6">
        <f>IF('FUENTE NO BORRAR'!G1830="","",IF('FUENTE NO BORRAR'!$A1830&lt;&gt;"Resultado total",('FUENTE NO BORRAR'!G1830),""))</f>
        <v>315564.24</v>
      </c>
      <c r="H1812" s="6">
        <f>IF('FUENTE NO BORRAR'!H1830="","",IF('FUENTE NO BORRAR'!$A1830&lt;&gt;"Resultado total",('FUENTE NO BORRAR'!H1830),""))</f>
        <v>315564.24</v>
      </c>
      <c r="I1812" s="6">
        <f>IF('FUENTE NO BORRAR'!I1830="","",IF('FUENTE NO BORRAR'!$A1830&lt;&gt;"Resultado total",('FUENTE NO BORRAR'!I1830),""))</f>
        <v>0</v>
      </c>
    </row>
    <row r="1813" spans="1:9" x14ac:dyDescent="0.2">
      <c r="A1813" s="5" t="str">
        <f>IF('FUENTE NO BORRAR'!A1831="","",(IF('FUENTE NO BORRAR'!A1831&lt;&gt;"Resultado total",'FUENTE NO BORRAR'!A1831,"")))</f>
        <v/>
      </c>
      <c r="B1813" s="5" t="str">
        <f>IF('FUENTE NO BORRAR'!B1831="","",'FUENTE NO BORRAR'!B1831)</f>
        <v/>
      </c>
      <c r="C1813" s="5" t="str">
        <f>IF('FUENTE NO BORRAR'!C1831="","",'FUENTE NO BORRAR'!C1831)</f>
        <v/>
      </c>
      <c r="D1813" s="5" t="str">
        <f>IF('FUENTE NO BORRAR'!D1831="","",'FUENTE NO BORRAR'!D1831)</f>
        <v/>
      </c>
      <c r="E1813" s="5" t="str">
        <f>IF('FUENTE NO BORRAR'!E1831="","",'FUENTE NO BORRAR'!E1831)</f>
        <v/>
      </c>
      <c r="F1813" s="6">
        <f>IF('FUENTE NO BORRAR'!F1831="","",IF('FUENTE NO BORRAR'!$A1831&lt;&gt;"Resultado total",('FUENTE NO BORRAR'!F1831),""))</f>
        <v>0</v>
      </c>
      <c r="G1813" s="6">
        <f>IF('FUENTE NO BORRAR'!G1831="","",IF('FUENTE NO BORRAR'!$A1831&lt;&gt;"Resultado total",('FUENTE NO BORRAR'!G1831),""))</f>
        <v>0</v>
      </c>
      <c r="H1813" s="6">
        <f>IF('FUENTE NO BORRAR'!H1831="","",IF('FUENTE NO BORRAR'!$A1831&lt;&gt;"Resultado total",('FUENTE NO BORRAR'!H1831),""))</f>
        <v>0</v>
      </c>
      <c r="I1813" s="6">
        <f>IF('FUENTE NO BORRAR'!I1831="","",IF('FUENTE NO BORRAR'!$A1831&lt;&gt;"Resultado total",('FUENTE NO BORRAR'!I1831),""))</f>
        <v>0</v>
      </c>
    </row>
    <row r="1814" spans="1:9" x14ac:dyDescent="0.2">
      <c r="A1814" s="5" t="str">
        <f>IF('FUENTE NO BORRAR'!A1832="","",(IF('FUENTE NO BORRAR'!A1832&lt;&gt;"Resultado total",'FUENTE NO BORRAR'!A1832,"")))</f>
        <v/>
      </c>
      <c r="B1814" s="5" t="str">
        <f>IF('FUENTE NO BORRAR'!B1832="","",'FUENTE NO BORRAR'!B1832)</f>
        <v/>
      </c>
      <c r="C1814" s="5" t="str">
        <f>IF('FUENTE NO BORRAR'!C1832="","",'FUENTE NO BORRAR'!C1832)</f>
        <v/>
      </c>
      <c r="D1814" s="5" t="str">
        <f>IF('FUENTE NO BORRAR'!D1832="","",'FUENTE NO BORRAR'!D1832)</f>
        <v/>
      </c>
      <c r="E1814" s="5" t="str">
        <f>IF('FUENTE NO BORRAR'!E1832="","",'FUENTE NO BORRAR'!E1832)</f>
        <v/>
      </c>
      <c r="F1814" s="6">
        <f>IF('FUENTE NO BORRAR'!F1832="","",IF('FUENTE NO BORRAR'!$A1832&lt;&gt;"Resultado total",('FUENTE NO BORRAR'!F1832),""))</f>
        <v>1385066.07</v>
      </c>
      <c r="G1814" s="6">
        <f>IF('FUENTE NO BORRAR'!G1832="","",IF('FUENTE NO BORRAR'!$A1832&lt;&gt;"Resultado total",('FUENTE NO BORRAR'!G1832),""))</f>
        <v>1385066.07</v>
      </c>
      <c r="H1814" s="6">
        <f>IF('FUENTE NO BORRAR'!H1832="","",IF('FUENTE NO BORRAR'!$A1832&lt;&gt;"Resultado total",('FUENTE NO BORRAR'!H1832),""))</f>
        <v>1385066.07</v>
      </c>
      <c r="I1814" s="6">
        <f>IF('FUENTE NO BORRAR'!I1832="","",IF('FUENTE NO BORRAR'!$A1832&lt;&gt;"Resultado total",('FUENTE NO BORRAR'!I1832),""))</f>
        <v>0</v>
      </c>
    </row>
    <row r="1815" spans="1:9" x14ac:dyDescent="0.2">
      <c r="A1815" s="5" t="str">
        <f>IF('FUENTE NO BORRAR'!A1833="","",(IF('FUENTE NO BORRAR'!A1833&lt;&gt;"Resultado total",'FUENTE NO BORRAR'!A1833,"")))</f>
        <v/>
      </c>
      <c r="B1815" s="5" t="str">
        <f>IF('FUENTE NO BORRAR'!B1833="","",'FUENTE NO BORRAR'!B1833)</f>
        <v/>
      </c>
      <c r="C1815" s="5" t="str">
        <f>IF('FUENTE NO BORRAR'!C1833="","",'FUENTE NO BORRAR'!C1833)</f>
        <v/>
      </c>
      <c r="D1815" s="5" t="str">
        <f>IF('FUENTE NO BORRAR'!D1833="","",'FUENTE NO BORRAR'!D1833)</f>
        <v/>
      </c>
      <c r="E1815" s="5" t="str">
        <f>IF('FUENTE NO BORRAR'!E1833="","",'FUENTE NO BORRAR'!E1833)</f>
        <v/>
      </c>
      <c r="F1815" s="6">
        <f>IF('FUENTE NO BORRAR'!F1833="","",IF('FUENTE NO BORRAR'!$A1833&lt;&gt;"Resultado total",('FUENTE NO BORRAR'!F1833),""))</f>
        <v>72160.41</v>
      </c>
      <c r="G1815" s="6">
        <f>IF('FUENTE NO BORRAR'!G1833="","",IF('FUENTE NO BORRAR'!$A1833&lt;&gt;"Resultado total",('FUENTE NO BORRAR'!G1833),""))</f>
        <v>72160.41</v>
      </c>
      <c r="H1815" s="6">
        <f>IF('FUENTE NO BORRAR'!H1833="","",IF('FUENTE NO BORRAR'!$A1833&lt;&gt;"Resultado total",('FUENTE NO BORRAR'!H1833),""))</f>
        <v>57011.5</v>
      </c>
      <c r="I1815" s="6">
        <f>IF('FUENTE NO BORRAR'!I1833="","",IF('FUENTE NO BORRAR'!$A1833&lt;&gt;"Resultado total",('FUENTE NO BORRAR'!I1833),""))</f>
        <v>0</v>
      </c>
    </row>
    <row r="1816" spans="1:9" x14ac:dyDescent="0.2">
      <c r="A1816" s="5" t="str">
        <f>IF('FUENTE NO BORRAR'!A1834="","",(IF('FUENTE NO BORRAR'!A1834&lt;&gt;"Resultado total",'FUENTE NO BORRAR'!A1834,"")))</f>
        <v/>
      </c>
      <c r="B1816" s="5" t="str">
        <f>IF('FUENTE NO BORRAR'!B1834="","",'FUENTE NO BORRAR'!B1834)</f>
        <v/>
      </c>
      <c r="C1816" s="5" t="str">
        <f>IF('FUENTE NO BORRAR'!C1834="","",'FUENTE NO BORRAR'!C1834)</f>
        <v/>
      </c>
      <c r="D1816" s="5" t="str">
        <f>IF('FUENTE NO BORRAR'!D1834="","",'FUENTE NO BORRAR'!D1834)</f>
        <v/>
      </c>
      <c r="E1816" s="5" t="str">
        <f>IF('FUENTE NO BORRAR'!E1834="","",'FUENTE NO BORRAR'!E1834)</f>
        <v/>
      </c>
      <c r="F1816" s="6">
        <f>IF('FUENTE NO BORRAR'!F1834="","",IF('FUENTE NO BORRAR'!$A1834&lt;&gt;"Resultado total",('FUENTE NO BORRAR'!F1834),""))</f>
        <v>3972</v>
      </c>
      <c r="G1816" s="6">
        <f>IF('FUENTE NO BORRAR'!G1834="","",IF('FUENTE NO BORRAR'!$A1834&lt;&gt;"Resultado total",('FUENTE NO BORRAR'!G1834),""))</f>
        <v>3972</v>
      </c>
      <c r="H1816" s="6">
        <f>IF('FUENTE NO BORRAR'!H1834="","",IF('FUENTE NO BORRAR'!$A1834&lt;&gt;"Resultado total",('FUENTE NO BORRAR'!H1834),""))</f>
        <v>3972</v>
      </c>
      <c r="I1816" s="6">
        <f>IF('FUENTE NO BORRAR'!I1834="","",IF('FUENTE NO BORRAR'!$A1834&lt;&gt;"Resultado total",('FUENTE NO BORRAR'!I1834),""))</f>
        <v>0</v>
      </c>
    </row>
    <row r="1817" spans="1:9" x14ac:dyDescent="0.2">
      <c r="A1817" s="5" t="str">
        <f>IF('FUENTE NO BORRAR'!A1835="","",(IF('FUENTE NO BORRAR'!A1835&lt;&gt;"Resultado total",'FUENTE NO BORRAR'!A1835,"")))</f>
        <v/>
      </c>
      <c r="B1817" s="5" t="str">
        <f>IF('FUENTE NO BORRAR'!B1835="","",'FUENTE NO BORRAR'!B1835)</f>
        <v/>
      </c>
      <c r="C1817" s="5" t="str">
        <f>IF('FUENTE NO BORRAR'!C1835="","",'FUENTE NO BORRAR'!C1835)</f>
        <v/>
      </c>
      <c r="D1817" s="5" t="str">
        <f>IF('FUENTE NO BORRAR'!D1835="","",'FUENTE NO BORRAR'!D1835)</f>
        <v/>
      </c>
      <c r="E1817" s="5" t="str">
        <f>IF('FUENTE NO BORRAR'!E1835="","",'FUENTE NO BORRAR'!E1835)</f>
        <v/>
      </c>
      <c r="F1817" s="6">
        <f>IF('FUENTE NO BORRAR'!F1835="","",IF('FUENTE NO BORRAR'!$A1835&lt;&gt;"Resultado total",('FUENTE NO BORRAR'!F1835),""))</f>
        <v>22005.07</v>
      </c>
      <c r="G1817" s="6">
        <f>IF('FUENTE NO BORRAR'!G1835="","",IF('FUENTE NO BORRAR'!$A1835&lt;&gt;"Resultado total",('FUENTE NO BORRAR'!G1835),""))</f>
        <v>22005.07</v>
      </c>
      <c r="H1817" s="6">
        <f>IF('FUENTE NO BORRAR'!H1835="","",IF('FUENTE NO BORRAR'!$A1835&lt;&gt;"Resultado total",('FUENTE NO BORRAR'!H1835),""))</f>
        <v>6753.77</v>
      </c>
      <c r="I1817" s="6">
        <f>IF('FUENTE NO BORRAR'!I1835="","",IF('FUENTE NO BORRAR'!$A1835&lt;&gt;"Resultado total",('FUENTE NO BORRAR'!I1835),""))</f>
        <v>0</v>
      </c>
    </row>
    <row r="1818" spans="1:9" x14ac:dyDescent="0.2">
      <c r="A1818" s="5" t="str">
        <f>IF('FUENTE NO BORRAR'!A1836="","",(IF('FUENTE NO BORRAR'!A1836&lt;&gt;"Resultado total",'FUENTE NO BORRAR'!A1836,"")))</f>
        <v/>
      </c>
      <c r="B1818" s="5" t="str">
        <f>IF('FUENTE NO BORRAR'!B1836="","",'FUENTE NO BORRAR'!B1836)</f>
        <v/>
      </c>
      <c r="C1818" s="5" t="str">
        <f>IF('FUENTE NO BORRAR'!C1836="","",'FUENTE NO BORRAR'!C1836)</f>
        <v/>
      </c>
      <c r="D1818" s="5" t="str">
        <f>IF('FUENTE NO BORRAR'!D1836="","",'FUENTE NO BORRAR'!D1836)</f>
        <v/>
      </c>
      <c r="E1818" s="5" t="str">
        <f>IF('FUENTE NO BORRAR'!E1836="","",'FUENTE NO BORRAR'!E1836)</f>
        <v/>
      </c>
      <c r="F1818" s="6">
        <f>IF('FUENTE NO BORRAR'!F1836="","",IF('FUENTE NO BORRAR'!$A1836&lt;&gt;"Resultado total",('FUENTE NO BORRAR'!F1836),""))</f>
        <v>1191.2</v>
      </c>
      <c r="G1818" s="6">
        <f>IF('FUENTE NO BORRAR'!G1836="","",IF('FUENTE NO BORRAR'!$A1836&lt;&gt;"Resultado total",('FUENTE NO BORRAR'!G1836),""))</f>
        <v>1191.2</v>
      </c>
      <c r="H1818" s="6">
        <f>IF('FUENTE NO BORRAR'!H1836="","",IF('FUENTE NO BORRAR'!$A1836&lt;&gt;"Resultado total",('FUENTE NO BORRAR'!H1836),""))</f>
        <v>1191.2</v>
      </c>
      <c r="I1818" s="6">
        <f>IF('FUENTE NO BORRAR'!I1836="","",IF('FUENTE NO BORRAR'!$A1836&lt;&gt;"Resultado total",('FUENTE NO BORRAR'!I1836),""))</f>
        <v>0</v>
      </c>
    </row>
    <row r="1819" spans="1:9" x14ac:dyDescent="0.2">
      <c r="A1819" s="5" t="str">
        <f>IF('FUENTE NO BORRAR'!A1837="","",(IF('FUENTE NO BORRAR'!A1837&lt;&gt;"Resultado total",'FUENTE NO BORRAR'!A1837,"")))</f>
        <v/>
      </c>
      <c r="B1819" s="5" t="str">
        <f>IF('FUENTE NO BORRAR'!B1837="","",'FUENTE NO BORRAR'!B1837)</f>
        <v/>
      </c>
      <c r="C1819" s="5" t="str">
        <f>IF('FUENTE NO BORRAR'!C1837="","",'FUENTE NO BORRAR'!C1837)</f>
        <v/>
      </c>
      <c r="D1819" s="5" t="str">
        <f>IF('FUENTE NO BORRAR'!D1837="","",'FUENTE NO BORRAR'!D1837)</f>
        <v/>
      </c>
      <c r="E1819" s="5" t="str">
        <f>IF('FUENTE NO BORRAR'!E1837="","",'FUENTE NO BORRAR'!E1837)</f>
        <v/>
      </c>
      <c r="F1819" s="6">
        <f>IF('FUENTE NO BORRAR'!F1837="","",IF('FUENTE NO BORRAR'!$A1837&lt;&gt;"Resultado total",('FUENTE NO BORRAR'!F1837),""))</f>
        <v>13258.22</v>
      </c>
      <c r="G1819" s="6">
        <f>IF('FUENTE NO BORRAR'!G1837="","",IF('FUENTE NO BORRAR'!$A1837&lt;&gt;"Resultado total",('FUENTE NO BORRAR'!G1837),""))</f>
        <v>9268.4</v>
      </c>
      <c r="H1819" s="6">
        <f>IF('FUENTE NO BORRAR'!H1837="","",IF('FUENTE NO BORRAR'!$A1837&lt;&gt;"Resultado total",('FUENTE NO BORRAR'!H1837),""))</f>
        <v>9268.4</v>
      </c>
      <c r="I1819" s="6">
        <f>IF('FUENTE NO BORRAR'!I1837="","",IF('FUENTE NO BORRAR'!$A1837&lt;&gt;"Resultado total",('FUENTE NO BORRAR'!I1837),""))</f>
        <v>3989.82</v>
      </c>
    </row>
    <row r="1820" spans="1:9" x14ac:dyDescent="0.2">
      <c r="A1820" s="5" t="str">
        <f>IF('FUENTE NO BORRAR'!A1838="","",(IF('FUENTE NO BORRAR'!A1838&lt;&gt;"Resultado total",'FUENTE NO BORRAR'!A1838,"")))</f>
        <v/>
      </c>
      <c r="B1820" s="5" t="str">
        <f>IF('FUENTE NO BORRAR'!B1838="","",'FUENTE NO BORRAR'!B1838)</f>
        <v/>
      </c>
      <c r="C1820" s="5" t="str">
        <f>IF('FUENTE NO BORRAR'!C1838="","",'FUENTE NO BORRAR'!C1838)</f>
        <v/>
      </c>
      <c r="D1820" s="5" t="str">
        <f>IF('FUENTE NO BORRAR'!D1838="","",'FUENTE NO BORRAR'!D1838)</f>
        <v/>
      </c>
      <c r="E1820" s="5" t="str">
        <f>IF('FUENTE NO BORRAR'!E1838="","",'FUENTE NO BORRAR'!E1838)</f>
        <v/>
      </c>
      <c r="F1820" s="6">
        <f>IF('FUENTE NO BORRAR'!F1838="","",IF('FUENTE NO BORRAR'!$A1838&lt;&gt;"Resultado total",('FUENTE NO BORRAR'!F1838),""))</f>
        <v>59982.61</v>
      </c>
      <c r="G1820" s="6">
        <f>IF('FUENTE NO BORRAR'!G1838="","",IF('FUENTE NO BORRAR'!$A1838&lt;&gt;"Resultado total",('FUENTE NO BORRAR'!G1838),""))</f>
        <v>59982.61</v>
      </c>
      <c r="H1820" s="6">
        <f>IF('FUENTE NO BORRAR'!H1838="","",IF('FUENTE NO BORRAR'!$A1838&lt;&gt;"Resultado total",('FUENTE NO BORRAR'!H1838),""))</f>
        <v>59982.61</v>
      </c>
      <c r="I1820" s="6">
        <f>IF('FUENTE NO BORRAR'!I1838="","",IF('FUENTE NO BORRAR'!$A1838&lt;&gt;"Resultado total",('FUENTE NO BORRAR'!I1838),""))</f>
        <v>0</v>
      </c>
    </row>
    <row r="1821" spans="1:9" x14ac:dyDescent="0.2">
      <c r="A1821" s="5" t="str">
        <f>IF('FUENTE NO BORRAR'!A1839="","",(IF('FUENTE NO BORRAR'!A1839&lt;&gt;"Resultado total",'FUENTE NO BORRAR'!A1839,"")))</f>
        <v/>
      </c>
      <c r="B1821" s="5" t="str">
        <f>IF('FUENTE NO BORRAR'!B1839="","",'FUENTE NO BORRAR'!B1839)</f>
        <v/>
      </c>
      <c r="C1821" s="5" t="str">
        <f>IF('FUENTE NO BORRAR'!C1839="","",'FUENTE NO BORRAR'!C1839)</f>
        <v/>
      </c>
      <c r="D1821" s="5" t="str">
        <f>IF('FUENTE NO BORRAR'!D1839="","",'FUENTE NO BORRAR'!D1839)</f>
        <v/>
      </c>
      <c r="E1821" s="5" t="str">
        <f>IF('FUENTE NO BORRAR'!E1839="","",'FUENTE NO BORRAR'!E1839)</f>
        <v/>
      </c>
      <c r="F1821" s="6">
        <f>IF('FUENTE NO BORRAR'!F1839="","",IF('FUENTE NO BORRAR'!$A1839&lt;&gt;"Resultado total",('FUENTE NO BORRAR'!F1839),""))</f>
        <v>5863.89</v>
      </c>
      <c r="G1821" s="6">
        <f>IF('FUENTE NO BORRAR'!G1839="","",IF('FUENTE NO BORRAR'!$A1839&lt;&gt;"Resultado total",('FUENTE NO BORRAR'!G1839),""))</f>
        <v>5863.89</v>
      </c>
      <c r="H1821" s="6">
        <f>IF('FUENTE NO BORRAR'!H1839="","",IF('FUENTE NO BORRAR'!$A1839&lt;&gt;"Resultado total",('FUENTE NO BORRAR'!H1839),""))</f>
        <v>2624.1</v>
      </c>
      <c r="I1821" s="6">
        <f>IF('FUENTE NO BORRAR'!I1839="","",IF('FUENTE NO BORRAR'!$A1839&lt;&gt;"Resultado total",('FUENTE NO BORRAR'!I1839),""))</f>
        <v>0</v>
      </c>
    </row>
    <row r="1822" spans="1:9" x14ac:dyDescent="0.2">
      <c r="A1822" s="5" t="str">
        <f>IF('FUENTE NO BORRAR'!A1840="","",(IF('FUENTE NO BORRAR'!A1840&lt;&gt;"Resultado total",'FUENTE NO BORRAR'!A1840,"")))</f>
        <v/>
      </c>
      <c r="B1822" s="5" t="str">
        <f>IF('FUENTE NO BORRAR'!B1840="","",'FUENTE NO BORRAR'!B1840)</f>
        <v/>
      </c>
      <c r="C1822" s="5" t="str">
        <f>IF('FUENTE NO BORRAR'!C1840="","",'FUENTE NO BORRAR'!C1840)</f>
        <v/>
      </c>
      <c r="D1822" s="5" t="str">
        <f>IF('FUENTE NO BORRAR'!D1840="","",'FUENTE NO BORRAR'!D1840)</f>
        <v/>
      </c>
      <c r="E1822" s="5" t="str">
        <f>IF('FUENTE NO BORRAR'!E1840="","",'FUENTE NO BORRAR'!E1840)</f>
        <v/>
      </c>
      <c r="F1822" s="6">
        <f>IF('FUENTE NO BORRAR'!F1840="","",IF('FUENTE NO BORRAR'!$A1840&lt;&gt;"Resultado total",('FUENTE NO BORRAR'!F1840),""))</f>
        <v>29640.959999999999</v>
      </c>
      <c r="G1822" s="6">
        <f>IF('FUENTE NO BORRAR'!G1840="","",IF('FUENTE NO BORRAR'!$A1840&lt;&gt;"Resultado total",('FUENTE NO BORRAR'!G1840),""))</f>
        <v>29640.959999999999</v>
      </c>
      <c r="H1822" s="6">
        <f>IF('FUENTE NO BORRAR'!H1840="","",IF('FUENTE NO BORRAR'!$A1840&lt;&gt;"Resultado total",('FUENTE NO BORRAR'!H1840),""))</f>
        <v>29640.959999999999</v>
      </c>
      <c r="I1822" s="6">
        <f>IF('FUENTE NO BORRAR'!I1840="","",IF('FUENTE NO BORRAR'!$A1840&lt;&gt;"Resultado total",('FUENTE NO BORRAR'!I1840),""))</f>
        <v>0</v>
      </c>
    </row>
    <row r="1823" spans="1:9" x14ac:dyDescent="0.2">
      <c r="A1823" s="5" t="str">
        <f>IF('FUENTE NO BORRAR'!A1841="","",(IF('FUENTE NO BORRAR'!A1841&lt;&gt;"Resultado total",'FUENTE NO BORRAR'!A1841,"")))</f>
        <v/>
      </c>
      <c r="B1823" s="5" t="str">
        <f>IF('FUENTE NO BORRAR'!B1841="","",'FUENTE NO BORRAR'!B1841)</f>
        <v/>
      </c>
      <c r="C1823" s="5" t="str">
        <f>IF('FUENTE NO BORRAR'!C1841="","",'FUENTE NO BORRAR'!C1841)</f>
        <v/>
      </c>
      <c r="D1823" s="5" t="str">
        <f>IF('FUENTE NO BORRAR'!D1841="","",'FUENTE NO BORRAR'!D1841)</f>
        <v/>
      </c>
      <c r="E1823" s="5" t="str">
        <f>IF('FUENTE NO BORRAR'!E1841="","",'FUENTE NO BORRAR'!E1841)</f>
        <v/>
      </c>
      <c r="F1823" s="6">
        <f>IF('FUENTE NO BORRAR'!F1841="","",IF('FUENTE NO BORRAR'!$A1841&lt;&gt;"Resultado total",('FUENTE NO BORRAR'!F1841),""))</f>
        <v>70832</v>
      </c>
      <c r="G1823" s="6">
        <f>IF('FUENTE NO BORRAR'!G1841="","",IF('FUENTE NO BORRAR'!$A1841&lt;&gt;"Resultado total",('FUENTE NO BORRAR'!G1841),""))</f>
        <v>70832</v>
      </c>
      <c r="H1823" s="6">
        <f>IF('FUENTE NO BORRAR'!H1841="","",IF('FUENTE NO BORRAR'!$A1841&lt;&gt;"Resultado total",('FUENTE NO BORRAR'!H1841),""))</f>
        <v>70832</v>
      </c>
      <c r="I1823" s="6">
        <f>IF('FUENTE NO BORRAR'!I1841="","",IF('FUENTE NO BORRAR'!$A1841&lt;&gt;"Resultado total",('FUENTE NO BORRAR'!I1841),""))</f>
        <v>0</v>
      </c>
    </row>
    <row r="1824" spans="1:9" x14ac:dyDescent="0.2">
      <c r="A1824" s="5" t="str">
        <f>IF('FUENTE NO BORRAR'!A1842="","",(IF('FUENTE NO BORRAR'!A1842&lt;&gt;"Resultado total",'FUENTE NO BORRAR'!A1842,"")))</f>
        <v/>
      </c>
      <c r="B1824" s="5" t="str">
        <f>IF('FUENTE NO BORRAR'!B1842="","",'FUENTE NO BORRAR'!B1842)</f>
        <v/>
      </c>
      <c r="C1824" s="5" t="str">
        <f>IF('FUENTE NO BORRAR'!C1842="","",'FUENTE NO BORRAR'!C1842)</f>
        <v/>
      </c>
      <c r="D1824" s="5" t="str">
        <f>IF('FUENTE NO BORRAR'!D1842="","",'FUENTE NO BORRAR'!D1842)</f>
        <v/>
      </c>
      <c r="E1824" s="5" t="str">
        <f>IF('FUENTE NO BORRAR'!E1842="","",'FUENTE NO BORRAR'!E1842)</f>
        <v/>
      </c>
      <c r="F1824" s="6">
        <f>IF('FUENTE NO BORRAR'!F1842="","",IF('FUENTE NO BORRAR'!$A1842&lt;&gt;"Resultado total",('FUENTE NO BORRAR'!F1842),""))</f>
        <v>24282.27</v>
      </c>
      <c r="G1824" s="6">
        <f>IF('FUENTE NO BORRAR'!G1842="","",IF('FUENTE NO BORRAR'!$A1842&lt;&gt;"Resultado total",('FUENTE NO BORRAR'!G1842),""))</f>
        <v>24282.27</v>
      </c>
      <c r="H1824" s="6">
        <f>IF('FUENTE NO BORRAR'!H1842="","",IF('FUENTE NO BORRAR'!$A1842&lt;&gt;"Resultado total",('FUENTE NO BORRAR'!H1842),""))</f>
        <v>24282.27</v>
      </c>
      <c r="I1824" s="6">
        <f>IF('FUENTE NO BORRAR'!I1842="","",IF('FUENTE NO BORRAR'!$A1842&lt;&gt;"Resultado total",('FUENTE NO BORRAR'!I1842),""))</f>
        <v>0</v>
      </c>
    </row>
    <row r="1825" spans="1:9" x14ac:dyDescent="0.2">
      <c r="A1825" s="5" t="str">
        <f>IF('FUENTE NO BORRAR'!A1843="","",(IF('FUENTE NO BORRAR'!A1843&lt;&gt;"Resultado total",'FUENTE NO BORRAR'!A1843,"")))</f>
        <v/>
      </c>
      <c r="B1825" s="5" t="str">
        <f>IF('FUENTE NO BORRAR'!B1843="","",'FUENTE NO BORRAR'!B1843)</f>
        <v/>
      </c>
      <c r="C1825" s="5" t="str">
        <f>IF('FUENTE NO BORRAR'!C1843="","",'FUENTE NO BORRAR'!C1843)</f>
        <v/>
      </c>
      <c r="D1825" s="5" t="str">
        <f>IF('FUENTE NO BORRAR'!D1843="","",'FUENTE NO BORRAR'!D1843)</f>
        <v/>
      </c>
      <c r="E1825" s="5" t="str">
        <f>IF('FUENTE NO BORRAR'!E1843="","",'FUENTE NO BORRAR'!E1843)</f>
        <v/>
      </c>
      <c r="F1825" s="6">
        <f>IF('FUENTE NO BORRAR'!F1843="","",IF('FUENTE NO BORRAR'!$A1843&lt;&gt;"Resultado total",('FUENTE NO BORRAR'!F1843),""))</f>
        <v>27648.48</v>
      </c>
      <c r="G1825" s="6">
        <f>IF('FUENTE NO BORRAR'!G1843="","",IF('FUENTE NO BORRAR'!$A1843&lt;&gt;"Resultado total",('FUENTE NO BORRAR'!G1843),""))</f>
        <v>27648.48</v>
      </c>
      <c r="H1825" s="6">
        <f>IF('FUENTE NO BORRAR'!H1843="","",IF('FUENTE NO BORRAR'!$A1843&lt;&gt;"Resultado total",('FUENTE NO BORRAR'!H1843),""))</f>
        <v>27648.48</v>
      </c>
      <c r="I1825" s="6">
        <f>IF('FUENTE NO BORRAR'!I1843="","",IF('FUENTE NO BORRAR'!$A1843&lt;&gt;"Resultado total",('FUENTE NO BORRAR'!I1843),""))</f>
        <v>0</v>
      </c>
    </row>
    <row r="1826" spans="1:9" x14ac:dyDescent="0.2">
      <c r="A1826" s="5" t="str">
        <f>IF('FUENTE NO BORRAR'!A1844="","",(IF('FUENTE NO BORRAR'!A1844&lt;&gt;"Resultado total",'FUENTE NO BORRAR'!A1844,"")))</f>
        <v/>
      </c>
      <c r="B1826" s="5" t="str">
        <f>IF('FUENTE NO BORRAR'!B1844="","",'FUENTE NO BORRAR'!B1844)</f>
        <v/>
      </c>
      <c r="C1826" s="5" t="str">
        <f>IF('FUENTE NO BORRAR'!C1844="","",'FUENTE NO BORRAR'!C1844)</f>
        <v/>
      </c>
      <c r="D1826" s="5" t="str">
        <f>IF('FUENTE NO BORRAR'!D1844="","",'FUENTE NO BORRAR'!D1844)</f>
        <v/>
      </c>
      <c r="E1826" s="5" t="str">
        <f>IF('FUENTE NO BORRAR'!E1844="","",'FUENTE NO BORRAR'!E1844)</f>
        <v/>
      </c>
      <c r="F1826" s="6">
        <f>IF('FUENTE NO BORRAR'!F1844="","",IF('FUENTE NO BORRAR'!$A1844&lt;&gt;"Resultado total",('FUENTE NO BORRAR'!F1844),""))</f>
        <v>49</v>
      </c>
      <c r="G1826" s="6">
        <f>IF('FUENTE NO BORRAR'!G1844="","",IF('FUENTE NO BORRAR'!$A1844&lt;&gt;"Resultado total",('FUENTE NO BORRAR'!G1844),""))</f>
        <v>49</v>
      </c>
      <c r="H1826" s="6">
        <f>IF('FUENTE NO BORRAR'!H1844="","",IF('FUENTE NO BORRAR'!$A1844&lt;&gt;"Resultado total",('FUENTE NO BORRAR'!H1844),""))</f>
        <v>49</v>
      </c>
      <c r="I1826" s="6">
        <f>IF('FUENTE NO BORRAR'!I1844="","",IF('FUENTE NO BORRAR'!$A1844&lt;&gt;"Resultado total",('FUENTE NO BORRAR'!I1844),""))</f>
        <v>0</v>
      </c>
    </row>
    <row r="1827" spans="1:9" x14ac:dyDescent="0.2">
      <c r="A1827" s="5" t="str">
        <f>IF('FUENTE NO BORRAR'!A1845="","",(IF('FUENTE NO BORRAR'!A1845&lt;&gt;"Resultado total",'FUENTE NO BORRAR'!A1845,"")))</f>
        <v/>
      </c>
      <c r="B1827" s="5" t="str">
        <f>IF('FUENTE NO BORRAR'!B1845="","",'FUENTE NO BORRAR'!B1845)</f>
        <v/>
      </c>
      <c r="C1827" s="5" t="str">
        <f>IF('FUENTE NO BORRAR'!C1845="","",'FUENTE NO BORRAR'!C1845)</f>
        <v/>
      </c>
      <c r="D1827" s="5" t="str">
        <f>IF('FUENTE NO BORRAR'!D1845="","",'FUENTE NO BORRAR'!D1845)</f>
        <v/>
      </c>
      <c r="E1827" s="5" t="str">
        <f>IF('FUENTE NO BORRAR'!E1845="","",'FUENTE NO BORRAR'!E1845)</f>
        <v/>
      </c>
      <c r="F1827" s="6">
        <f>IF('FUENTE NO BORRAR'!F1845="","",IF('FUENTE NO BORRAR'!$A1845&lt;&gt;"Resultado total",('FUENTE NO BORRAR'!F1845),""))</f>
        <v>85173.89</v>
      </c>
      <c r="G1827" s="6">
        <f>IF('FUENTE NO BORRAR'!G1845="","",IF('FUENTE NO BORRAR'!$A1845&lt;&gt;"Resultado total",('FUENTE NO BORRAR'!G1845),""))</f>
        <v>85173.89</v>
      </c>
      <c r="H1827" s="6">
        <f>IF('FUENTE NO BORRAR'!H1845="","",IF('FUENTE NO BORRAR'!$A1845&lt;&gt;"Resultado total",('FUENTE NO BORRAR'!H1845),""))</f>
        <v>70705.919999999998</v>
      </c>
      <c r="I1827" s="6">
        <f>IF('FUENTE NO BORRAR'!I1845="","",IF('FUENTE NO BORRAR'!$A1845&lt;&gt;"Resultado total",('FUENTE NO BORRAR'!I1845),""))</f>
        <v>0</v>
      </c>
    </row>
    <row r="1828" spans="1:9" x14ac:dyDescent="0.2">
      <c r="A1828" s="5" t="str">
        <f>IF('FUENTE NO BORRAR'!A1846="","",(IF('FUENTE NO BORRAR'!A1846&lt;&gt;"Resultado total",'FUENTE NO BORRAR'!A1846,"")))</f>
        <v/>
      </c>
      <c r="B1828" s="5" t="str">
        <f>IF('FUENTE NO BORRAR'!B1846="","",'FUENTE NO BORRAR'!B1846)</f>
        <v/>
      </c>
      <c r="C1828" s="5" t="str">
        <f>IF('FUENTE NO BORRAR'!C1846="","",'FUENTE NO BORRAR'!C1846)</f>
        <v/>
      </c>
      <c r="D1828" s="5" t="str">
        <f>IF('FUENTE NO BORRAR'!D1846="","",'FUENTE NO BORRAR'!D1846)</f>
        <v/>
      </c>
      <c r="E1828" s="5" t="str">
        <f>IF('FUENTE NO BORRAR'!E1846="","",'FUENTE NO BORRAR'!E1846)</f>
        <v/>
      </c>
      <c r="F1828" s="6">
        <f>IF('FUENTE NO BORRAR'!F1846="","",IF('FUENTE NO BORRAR'!$A1846&lt;&gt;"Resultado total",('FUENTE NO BORRAR'!F1846),""))</f>
        <v>106.33</v>
      </c>
      <c r="G1828" s="6">
        <f>IF('FUENTE NO BORRAR'!G1846="","",IF('FUENTE NO BORRAR'!$A1846&lt;&gt;"Resultado total",('FUENTE NO BORRAR'!G1846),""))</f>
        <v>106.33</v>
      </c>
      <c r="H1828" s="6">
        <f>IF('FUENTE NO BORRAR'!H1846="","",IF('FUENTE NO BORRAR'!$A1846&lt;&gt;"Resultado total",('FUENTE NO BORRAR'!H1846),""))</f>
        <v>106.33</v>
      </c>
      <c r="I1828" s="6">
        <f>IF('FUENTE NO BORRAR'!I1846="","",IF('FUENTE NO BORRAR'!$A1846&lt;&gt;"Resultado total",('FUENTE NO BORRAR'!I1846),""))</f>
        <v>0</v>
      </c>
    </row>
    <row r="1829" spans="1:9" x14ac:dyDescent="0.2">
      <c r="A1829" s="5" t="str">
        <f>IF('FUENTE NO BORRAR'!A1847="","",(IF('FUENTE NO BORRAR'!A1847&lt;&gt;"Resultado total",'FUENTE NO BORRAR'!A1847,"")))</f>
        <v/>
      </c>
      <c r="B1829" s="5" t="str">
        <f>IF('FUENTE NO BORRAR'!B1847="","",'FUENTE NO BORRAR'!B1847)</f>
        <v/>
      </c>
      <c r="C1829" s="5" t="str">
        <f>IF('FUENTE NO BORRAR'!C1847="","",'FUENTE NO BORRAR'!C1847)</f>
        <v/>
      </c>
      <c r="D1829" s="5" t="str">
        <f>IF('FUENTE NO BORRAR'!D1847="","",'FUENTE NO BORRAR'!D1847)</f>
        <v/>
      </c>
      <c r="E1829" s="5" t="str">
        <f>IF('FUENTE NO BORRAR'!E1847="","",'FUENTE NO BORRAR'!E1847)</f>
        <v/>
      </c>
      <c r="F1829" s="6">
        <f>IF('FUENTE NO BORRAR'!F1847="","",IF('FUENTE NO BORRAR'!$A1847&lt;&gt;"Resultado total",('FUENTE NO BORRAR'!F1847),""))</f>
        <v>13167.16</v>
      </c>
      <c r="G1829" s="6">
        <f>IF('FUENTE NO BORRAR'!G1847="","",IF('FUENTE NO BORRAR'!$A1847&lt;&gt;"Resultado total",('FUENTE NO BORRAR'!G1847),""))</f>
        <v>13167.16</v>
      </c>
      <c r="H1829" s="6">
        <f>IF('FUENTE NO BORRAR'!H1847="","",IF('FUENTE NO BORRAR'!$A1847&lt;&gt;"Resultado total",('FUENTE NO BORRAR'!H1847),""))</f>
        <v>13167.16</v>
      </c>
      <c r="I1829" s="6">
        <f>IF('FUENTE NO BORRAR'!I1847="","",IF('FUENTE NO BORRAR'!$A1847&lt;&gt;"Resultado total",('FUENTE NO BORRAR'!I1847),""))</f>
        <v>0</v>
      </c>
    </row>
    <row r="1830" spans="1:9" x14ac:dyDescent="0.2">
      <c r="A1830" s="5" t="str">
        <f>IF('FUENTE NO BORRAR'!A1848="","",(IF('FUENTE NO BORRAR'!A1848&lt;&gt;"Resultado total",'FUENTE NO BORRAR'!A1848,"")))</f>
        <v/>
      </c>
      <c r="B1830" s="5" t="str">
        <f>IF('FUENTE NO BORRAR'!B1848="","",'FUENTE NO BORRAR'!B1848)</f>
        <v/>
      </c>
      <c r="C1830" s="5" t="str">
        <f>IF('FUENTE NO BORRAR'!C1848="","",'FUENTE NO BORRAR'!C1848)</f>
        <v/>
      </c>
      <c r="D1830" s="5" t="str">
        <f>IF('FUENTE NO BORRAR'!D1848="","",'FUENTE NO BORRAR'!D1848)</f>
        <v/>
      </c>
      <c r="E1830" s="5" t="str">
        <f>IF('FUENTE NO BORRAR'!E1848="","",'FUENTE NO BORRAR'!E1848)</f>
        <v/>
      </c>
      <c r="F1830" s="6">
        <f>IF('FUENTE NO BORRAR'!F1848="","",IF('FUENTE NO BORRAR'!$A1848&lt;&gt;"Resultado total",('FUENTE NO BORRAR'!F1848),""))</f>
        <v>58000.1</v>
      </c>
      <c r="G1830" s="6">
        <f>IF('FUENTE NO BORRAR'!G1848="","",IF('FUENTE NO BORRAR'!$A1848&lt;&gt;"Resultado total",('FUENTE NO BORRAR'!G1848),""))</f>
        <v>58000.1</v>
      </c>
      <c r="H1830" s="6">
        <f>IF('FUENTE NO BORRAR'!H1848="","",IF('FUENTE NO BORRAR'!$A1848&lt;&gt;"Resultado total",('FUENTE NO BORRAR'!H1848),""))</f>
        <v>52000.1</v>
      </c>
      <c r="I1830" s="6">
        <f>IF('FUENTE NO BORRAR'!I1848="","",IF('FUENTE NO BORRAR'!$A1848&lt;&gt;"Resultado total",('FUENTE NO BORRAR'!I1848),""))</f>
        <v>0</v>
      </c>
    </row>
    <row r="1831" spans="1:9" x14ac:dyDescent="0.2">
      <c r="A1831" s="5" t="str">
        <f>IF('FUENTE NO BORRAR'!A1849="","",(IF('FUENTE NO BORRAR'!A1849&lt;&gt;"Resultado total",'FUENTE NO BORRAR'!A1849,"")))</f>
        <v/>
      </c>
      <c r="B1831" s="5" t="str">
        <f>IF('FUENTE NO BORRAR'!B1849="","",'FUENTE NO BORRAR'!B1849)</f>
        <v/>
      </c>
      <c r="C1831" s="5" t="str">
        <f>IF('FUENTE NO BORRAR'!C1849="","",'FUENTE NO BORRAR'!C1849)</f>
        <v/>
      </c>
      <c r="D1831" s="5" t="str">
        <f>IF('FUENTE NO BORRAR'!D1849="","",'FUENTE NO BORRAR'!D1849)</f>
        <v/>
      </c>
      <c r="E1831" s="5" t="str">
        <f>IF('FUENTE NO BORRAR'!E1849="","",'FUENTE NO BORRAR'!E1849)</f>
        <v/>
      </c>
      <c r="F1831" s="6">
        <f>IF('FUENTE NO BORRAR'!F1849="","",IF('FUENTE NO BORRAR'!$A1849&lt;&gt;"Resultado total",('FUENTE NO BORRAR'!F1849),""))</f>
        <v>0</v>
      </c>
      <c r="G1831" s="6">
        <f>IF('FUENTE NO BORRAR'!G1849="","",IF('FUENTE NO BORRAR'!$A1849&lt;&gt;"Resultado total",('FUENTE NO BORRAR'!G1849),""))</f>
        <v>0</v>
      </c>
      <c r="H1831" s="6">
        <f>IF('FUENTE NO BORRAR'!H1849="","",IF('FUENTE NO BORRAR'!$A1849&lt;&gt;"Resultado total",('FUENTE NO BORRAR'!H1849),""))</f>
        <v>0</v>
      </c>
      <c r="I1831" s="6">
        <f>IF('FUENTE NO BORRAR'!I1849="","",IF('FUENTE NO BORRAR'!$A1849&lt;&gt;"Resultado total",('FUENTE NO BORRAR'!I1849),""))</f>
        <v>0</v>
      </c>
    </row>
    <row r="1832" spans="1:9" x14ac:dyDescent="0.2">
      <c r="A1832" s="5" t="str">
        <f>IF('FUENTE NO BORRAR'!A1850="","",(IF('FUENTE NO BORRAR'!A1850&lt;&gt;"Resultado total",'FUENTE NO BORRAR'!A1850,"")))</f>
        <v/>
      </c>
      <c r="B1832" s="5" t="str">
        <f>IF('FUENTE NO BORRAR'!B1850="","",'FUENTE NO BORRAR'!B1850)</f>
        <v/>
      </c>
      <c r="C1832" s="5" t="str">
        <f>IF('FUENTE NO BORRAR'!C1850="","",'FUENTE NO BORRAR'!C1850)</f>
        <v/>
      </c>
      <c r="D1832" s="5" t="str">
        <f>IF('FUENTE NO BORRAR'!D1850="","",'FUENTE NO BORRAR'!D1850)</f>
        <v/>
      </c>
      <c r="E1832" s="5" t="str">
        <f>IF('FUENTE NO BORRAR'!E1850="","",'FUENTE NO BORRAR'!E1850)</f>
        <v/>
      </c>
      <c r="F1832" s="6">
        <f>IF('FUENTE NO BORRAR'!F1850="","",IF('FUENTE NO BORRAR'!$A1850&lt;&gt;"Resultado total",('FUENTE NO BORRAR'!F1850),""))</f>
        <v>599.95000000000005</v>
      </c>
      <c r="G1832" s="6">
        <f>IF('FUENTE NO BORRAR'!G1850="","",IF('FUENTE NO BORRAR'!$A1850&lt;&gt;"Resultado total",('FUENTE NO BORRAR'!G1850),""))</f>
        <v>599.95000000000005</v>
      </c>
      <c r="H1832" s="6">
        <f>IF('FUENTE NO BORRAR'!H1850="","",IF('FUENTE NO BORRAR'!$A1850&lt;&gt;"Resultado total",('FUENTE NO BORRAR'!H1850),""))</f>
        <v>599.95000000000005</v>
      </c>
      <c r="I1832" s="6">
        <f>IF('FUENTE NO BORRAR'!I1850="","",IF('FUENTE NO BORRAR'!$A1850&lt;&gt;"Resultado total",('FUENTE NO BORRAR'!I1850),""))</f>
        <v>0</v>
      </c>
    </row>
    <row r="1833" spans="1:9" x14ac:dyDescent="0.2">
      <c r="A1833" s="5" t="str">
        <f>IF('FUENTE NO BORRAR'!A1851="","",(IF('FUENTE NO BORRAR'!A1851&lt;&gt;"Resultado total",'FUENTE NO BORRAR'!A1851,"")))</f>
        <v/>
      </c>
      <c r="B1833" s="5" t="str">
        <f>IF('FUENTE NO BORRAR'!B1851="","",'FUENTE NO BORRAR'!B1851)</f>
        <v/>
      </c>
      <c r="C1833" s="5" t="str">
        <f>IF('FUENTE NO BORRAR'!C1851="","",'FUENTE NO BORRAR'!C1851)</f>
        <v/>
      </c>
      <c r="D1833" s="5" t="str">
        <f>IF('FUENTE NO BORRAR'!D1851="","",'FUENTE NO BORRAR'!D1851)</f>
        <v/>
      </c>
      <c r="E1833" s="5" t="str">
        <f>IF('FUENTE NO BORRAR'!E1851="","",'FUENTE NO BORRAR'!E1851)</f>
        <v/>
      </c>
      <c r="F1833" s="6">
        <f>IF('FUENTE NO BORRAR'!F1851="","",IF('FUENTE NO BORRAR'!$A1851&lt;&gt;"Resultado total",('FUENTE NO BORRAR'!F1851),""))</f>
        <v>1045.77</v>
      </c>
      <c r="G1833" s="6">
        <f>IF('FUENTE NO BORRAR'!G1851="","",IF('FUENTE NO BORRAR'!$A1851&lt;&gt;"Resultado total",('FUENTE NO BORRAR'!G1851),""))</f>
        <v>1045.77</v>
      </c>
      <c r="H1833" s="6">
        <f>IF('FUENTE NO BORRAR'!H1851="","",IF('FUENTE NO BORRAR'!$A1851&lt;&gt;"Resultado total",('FUENTE NO BORRAR'!H1851),""))</f>
        <v>1045.77</v>
      </c>
      <c r="I1833" s="6">
        <f>IF('FUENTE NO BORRAR'!I1851="","",IF('FUENTE NO BORRAR'!$A1851&lt;&gt;"Resultado total",('FUENTE NO BORRAR'!I1851),""))</f>
        <v>0</v>
      </c>
    </row>
    <row r="1834" spans="1:9" x14ac:dyDescent="0.2">
      <c r="A1834" s="5" t="str">
        <f>IF('FUENTE NO BORRAR'!A1852="","",(IF('FUENTE NO BORRAR'!A1852&lt;&gt;"Resultado total",'FUENTE NO BORRAR'!A1852,"")))</f>
        <v/>
      </c>
      <c r="B1834" s="5" t="str">
        <f>IF('FUENTE NO BORRAR'!B1852="","",'FUENTE NO BORRAR'!B1852)</f>
        <v/>
      </c>
      <c r="C1834" s="5" t="str">
        <f>IF('FUENTE NO BORRAR'!C1852="","",'FUENTE NO BORRAR'!C1852)</f>
        <v/>
      </c>
      <c r="D1834" s="5" t="str">
        <f>IF('FUENTE NO BORRAR'!D1852="","",'FUENTE NO BORRAR'!D1852)</f>
        <v/>
      </c>
      <c r="E1834" s="5" t="str">
        <f>IF('FUENTE NO BORRAR'!E1852="","",'FUENTE NO BORRAR'!E1852)</f>
        <v/>
      </c>
      <c r="F1834" s="6">
        <f>IF('FUENTE NO BORRAR'!F1852="","",IF('FUENTE NO BORRAR'!$A1852&lt;&gt;"Resultado total",('FUENTE NO BORRAR'!F1852),""))</f>
        <v>421.7</v>
      </c>
      <c r="G1834" s="6">
        <f>IF('FUENTE NO BORRAR'!G1852="","",IF('FUENTE NO BORRAR'!$A1852&lt;&gt;"Resultado total",('FUENTE NO BORRAR'!G1852),""))</f>
        <v>421.7</v>
      </c>
      <c r="H1834" s="6">
        <f>IF('FUENTE NO BORRAR'!H1852="","",IF('FUENTE NO BORRAR'!$A1852&lt;&gt;"Resultado total",('FUENTE NO BORRAR'!H1852),""))</f>
        <v>421.7</v>
      </c>
      <c r="I1834" s="6">
        <f>IF('FUENTE NO BORRAR'!I1852="","",IF('FUENTE NO BORRAR'!$A1852&lt;&gt;"Resultado total",('FUENTE NO BORRAR'!I1852),""))</f>
        <v>0</v>
      </c>
    </row>
    <row r="1835" spans="1:9" x14ac:dyDescent="0.2">
      <c r="A1835" s="5" t="str">
        <f>IF('FUENTE NO BORRAR'!A1853="","",(IF('FUENTE NO BORRAR'!A1853&lt;&gt;"Resultado total",'FUENTE NO BORRAR'!A1853,"")))</f>
        <v/>
      </c>
      <c r="B1835" s="5" t="str">
        <f>IF('FUENTE NO BORRAR'!B1853="","",'FUENTE NO BORRAR'!B1853)</f>
        <v/>
      </c>
      <c r="C1835" s="5" t="str">
        <f>IF('FUENTE NO BORRAR'!C1853="","",'FUENTE NO BORRAR'!C1853)</f>
        <v/>
      </c>
      <c r="D1835" s="5" t="str">
        <f>IF('FUENTE NO BORRAR'!D1853="","",'FUENTE NO BORRAR'!D1853)</f>
        <v/>
      </c>
      <c r="E1835" s="5" t="str">
        <f>IF('FUENTE NO BORRAR'!E1853="","",'FUENTE NO BORRAR'!E1853)</f>
        <v/>
      </c>
      <c r="F1835" s="6">
        <f>IF('FUENTE NO BORRAR'!F1853="","",IF('FUENTE NO BORRAR'!$A1853&lt;&gt;"Resultado total",('FUENTE NO BORRAR'!F1853),""))</f>
        <v>21432.799999999999</v>
      </c>
      <c r="G1835" s="6">
        <f>IF('FUENTE NO BORRAR'!G1853="","",IF('FUENTE NO BORRAR'!$A1853&lt;&gt;"Resultado total",('FUENTE NO BORRAR'!G1853),""))</f>
        <v>21432.799999999999</v>
      </c>
      <c r="H1835" s="6">
        <f>IF('FUENTE NO BORRAR'!H1853="","",IF('FUENTE NO BORRAR'!$A1853&lt;&gt;"Resultado total",('FUENTE NO BORRAR'!H1853),""))</f>
        <v>21432.799999999999</v>
      </c>
      <c r="I1835" s="6">
        <f>IF('FUENTE NO BORRAR'!I1853="","",IF('FUENTE NO BORRAR'!$A1853&lt;&gt;"Resultado total",('FUENTE NO BORRAR'!I1853),""))</f>
        <v>0</v>
      </c>
    </row>
    <row r="1836" spans="1:9" x14ac:dyDescent="0.2">
      <c r="A1836" s="5" t="str">
        <f>IF('FUENTE NO BORRAR'!A1854="","",(IF('FUENTE NO BORRAR'!A1854&lt;&gt;"Resultado total",'FUENTE NO BORRAR'!A1854,"")))</f>
        <v/>
      </c>
      <c r="B1836" s="5" t="str">
        <f>IF('FUENTE NO BORRAR'!B1854="","",'FUENTE NO BORRAR'!B1854)</f>
        <v/>
      </c>
      <c r="C1836" s="5" t="str">
        <f>IF('FUENTE NO BORRAR'!C1854="","",'FUENTE NO BORRAR'!C1854)</f>
        <v/>
      </c>
      <c r="D1836" s="5" t="str">
        <f>IF('FUENTE NO BORRAR'!D1854="","",'FUENTE NO BORRAR'!D1854)</f>
        <v/>
      </c>
      <c r="E1836" s="5" t="str">
        <f>IF('FUENTE NO BORRAR'!E1854="","",'FUENTE NO BORRAR'!E1854)</f>
        <v/>
      </c>
      <c r="F1836" s="6">
        <f>IF('FUENTE NO BORRAR'!F1854="","",IF('FUENTE NO BORRAR'!$A1854&lt;&gt;"Resultado total",('FUENTE NO BORRAR'!F1854),""))</f>
        <v>10175.16</v>
      </c>
      <c r="G1836" s="6">
        <f>IF('FUENTE NO BORRAR'!G1854="","",IF('FUENTE NO BORRAR'!$A1854&lt;&gt;"Resultado total",('FUENTE NO BORRAR'!G1854),""))</f>
        <v>10175.16</v>
      </c>
      <c r="H1836" s="6">
        <f>IF('FUENTE NO BORRAR'!H1854="","",IF('FUENTE NO BORRAR'!$A1854&lt;&gt;"Resultado total",('FUENTE NO BORRAR'!H1854),""))</f>
        <v>10175.16</v>
      </c>
      <c r="I1836" s="6">
        <f>IF('FUENTE NO BORRAR'!I1854="","",IF('FUENTE NO BORRAR'!$A1854&lt;&gt;"Resultado total",('FUENTE NO BORRAR'!I1854),""))</f>
        <v>0</v>
      </c>
    </row>
    <row r="1837" spans="1:9" x14ac:dyDescent="0.2">
      <c r="A1837" s="5" t="str">
        <f>IF('FUENTE NO BORRAR'!A1855="","",(IF('FUENTE NO BORRAR'!A1855&lt;&gt;"Resultado total",'FUENTE NO BORRAR'!A1855,"")))</f>
        <v/>
      </c>
      <c r="B1837" s="5" t="str">
        <f>IF('FUENTE NO BORRAR'!B1855="","",'FUENTE NO BORRAR'!B1855)</f>
        <v/>
      </c>
      <c r="C1837" s="5" t="str">
        <f>IF('FUENTE NO BORRAR'!C1855="","",'FUENTE NO BORRAR'!C1855)</f>
        <v/>
      </c>
      <c r="D1837" s="5" t="str">
        <f>IF('FUENTE NO BORRAR'!D1855="","",'FUENTE NO BORRAR'!D1855)</f>
        <v/>
      </c>
      <c r="E1837" s="5" t="str">
        <f>IF('FUENTE NO BORRAR'!E1855="","",'FUENTE NO BORRAR'!E1855)</f>
        <v/>
      </c>
      <c r="F1837" s="6">
        <f>IF('FUENTE NO BORRAR'!F1855="","",IF('FUENTE NO BORRAR'!$A1855&lt;&gt;"Resultado total",('FUENTE NO BORRAR'!F1855),""))</f>
        <v>510</v>
      </c>
      <c r="G1837" s="6">
        <f>IF('FUENTE NO BORRAR'!G1855="","",IF('FUENTE NO BORRAR'!$A1855&lt;&gt;"Resultado total",('FUENTE NO BORRAR'!G1855),""))</f>
        <v>510</v>
      </c>
      <c r="H1837" s="6">
        <f>IF('FUENTE NO BORRAR'!H1855="","",IF('FUENTE NO BORRAR'!$A1855&lt;&gt;"Resultado total",('FUENTE NO BORRAR'!H1855),""))</f>
        <v>510</v>
      </c>
      <c r="I1837" s="6">
        <f>IF('FUENTE NO BORRAR'!I1855="","",IF('FUENTE NO BORRAR'!$A1855&lt;&gt;"Resultado total",('FUENTE NO BORRAR'!I1855),""))</f>
        <v>0</v>
      </c>
    </row>
    <row r="1838" spans="1:9" x14ac:dyDescent="0.2">
      <c r="A1838" s="5" t="str">
        <f>IF('FUENTE NO BORRAR'!A1856="","",(IF('FUENTE NO BORRAR'!A1856&lt;&gt;"Resultado total",'FUENTE NO BORRAR'!A1856,"")))</f>
        <v/>
      </c>
      <c r="B1838" s="5" t="str">
        <f>IF('FUENTE NO BORRAR'!B1856="","",'FUENTE NO BORRAR'!B1856)</f>
        <v/>
      </c>
      <c r="C1838" s="5" t="str">
        <f>IF('FUENTE NO BORRAR'!C1856="","",'FUENTE NO BORRAR'!C1856)</f>
        <v/>
      </c>
      <c r="D1838" s="5" t="str">
        <f>IF('FUENTE NO BORRAR'!D1856="","",'FUENTE NO BORRAR'!D1856)</f>
        <v/>
      </c>
      <c r="E1838" s="5" t="str">
        <f>IF('FUENTE NO BORRAR'!E1856="","",'FUENTE NO BORRAR'!E1856)</f>
        <v/>
      </c>
      <c r="F1838" s="6">
        <f>IF('FUENTE NO BORRAR'!F1856="","",IF('FUENTE NO BORRAR'!$A1856&lt;&gt;"Resultado total",('FUENTE NO BORRAR'!F1856),""))</f>
        <v>6360</v>
      </c>
      <c r="G1838" s="6">
        <f>IF('FUENTE NO BORRAR'!G1856="","",IF('FUENTE NO BORRAR'!$A1856&lt;&gt;"Resultado total",('FUENTE NO BORRAR'!G1856),""))</f>
        <v>6360</v>
      </c>
      <c r="H1838" s="6">
        <f>IF('FUENTE NO BORRAR'!H1856="","",IF('FUENTE NO BORRAR'!$A1856&lt;&gt;"Resultado total",('FUENTE NO BORRAR'!H1856),""))</f>
        <v>6360</v>
      </c>
      <c r="I1838" s="6">
        <f>IF('FUENTE NO BORRAR'!I1856="","",IF('FUENTE NO BORRAR'!$A1856&lt;&gt;"Resultado total",('FUENTE NO BORRAR'!I1856),""))</f>
        <v>0</v>
      </c>
    </row>
    <row r="1839" spans="1:9" x14ac:dyDescent="0.2">
      <c r="A1839" s="5" t="str">
        <f>IF('FUENTE NO BORRAR'!A1857="","",(IF('FUENTE NO BORRAR'!A1857&lt;&gt;"Resultado total",'FUENTE NO BORRAR'!A1857,"")))</f>
        <v/>
      </c>
      <c r="B1839" s="5" t="str">
        <f>IF('FUENTE NO BORRAR'!B1857="","",'FUENTE NO BORRAR'!B1857)</f>
        <v/>
      </c>
      <c r="C1839" s="5" t="str">
        <f>IF('FUENTE NO BORRAR'!C1857="","",'FUENTE NO BORRAR'!C1857)</f>
        <v/>
      </c>
      <c r="D1839" s="5" t="str">
        <f>IF('FUENTE NO BORRAR'!D1857="","",'FUENTE NO BORRAR'!D1857)</f>
        <v/>
      </c>
      <c r="E1839" s="5" t="str">
        <f>IF('FUENTE NO BORRAR'!E1857="","",'FUENTE NO BORRAR'!E1857)</f>
        <v/>
      </c>
      <c r="F1839" s="6">
        <f>IF('FUENTE NO BORRAR'!F1857="","",IF('FUENTE NO BORRAR'!$A1857&lt;&gt;"Resultado total",('FUENTE NO BORRAR'!F1857),""))</f>
        <v>696</v>
      </c>
      <c r="G1839" s="6">
        <f>IF('FUENTE NO BORRAR'!G1857="","",IF('FUENTE NO BORRAR'!$A1857&lt;&gt;"Resultado total",('FUENTE NO BORRAR'!G1857),""))</f>
        <v>696</v>
      </c>
      <c r="H1839" s="6">
        <f>IF('FUENTE NO BORRAR'!H1857="","",IF('FUENTE NO BORRAR'!$A1857&lt;&gt;"Resultado total",('FUENTE NO BORRAR'!H1857),""))</f>
        <v>696</v>
      </c>
      <c r="I1839" s="6">
        <f>IF('FUENTE NO BORRAR'!I1857="","",IF('FUENTE NO BORRAR'!$A1857&lt;&gt;"Resultado total",('FUENTE NO BORRAR'!I1857),""))</f>
        <v>0</v>
      </c>
    </row>
    <row r="1840" spans="1:9" x14ac:dyDescent="0.2">
      <c r="A1840" s="5" t="str">
        <f>IF('FUENTE NO BORRAR'!A1858="","",(IF('FUENTE NO BORRAR'!A1858&lt;&gt;"Resultado total",'FUENTE NO BORRAR'!A1858,"")))</f>
        <v/>
      </c>
      <c r="B1840" s="5" t="str">
        <f>IF('FUENTE NO BORRAR'!B1858="","",'FUENTE NO BORRAR'!B1858)</f>
        <v/>
      </c>
      <c r="C1840" s="5" t="str">
        <f>IF('FUENTE NO BORRAR'!C1858="","",'FUENTE NO BORRAR'!C1858)</f>
        <v/>
      </c>
      <c r="D1840" s="5" t="str">
        <f>IF('FUENTE NO BORRAR'!D1858="","",'FUENTE NO BORRAR'!D1858)</f>
        <v/>
      </c>
      <c r="E1840" s="5" t="str">
        <f>IF('FUENTE NO BORRAR'!E1858="","",'FUENTE NO BORRAR'!E1858)</f>
        <v/>
      </c>
      <c r="F1840" s="6">
        <f>IF('FUENTE NO BORRAR'!F1858="","",IF('FUENTE NO BORRAR'!$A1858&lt;&gt;"Resultado total",('FUENTE NO BORRAR'!F1858),""))</f>
        <v>11710.86</v>
      </c>
      <c r="G1840" s="6">
        <f>IF('FUENTE NO BORRAR'!G1858="","",IF('FUENTE NO BORRAR'!$A1858&lt;&gt;"Resultado total",('FUENTE NO BORRAR'!G1858),""))</f>
        <v>11710.86</v>
      </c>
      <c r="H1840" s="6">
        <f>IF('FUENTE NO BORRAR'!H1858="","",IF('FUENTE NO BORRAR'!$A1858&lt;&gt;"Resultado total",('FUENTE NO BORRAR'!H1858),""))</f>
        <v>9936.86</v>
      </c>
      <c r="I1840" s="6">
        <f>IF('FUENTE NO BORRAR'!I1858="","",IF('FUENTE NO BORRAR'!$A1858&lt;&gt;"Resultado total",('FUENTE NO BORRAR'!I1858),""))</f>
        <v>0</v>
      </c>
    </row>
    <row r="1841" spans="1:9" x14ac:dyDescent="0.2">
      <c r="A1841" s="5" t="str">
        <f>IF('FUENTE NO BORRAR'!A1859="","",(IF('FUENTE NO BORRAR'!A1859&lt;&gt;"Resultado total",'FUENTE NO BORRAR'!A1859,"")))</f>
        <v/>
      </c>
      <c r="B1841" s="5" t="str">
        <f>IF('FUENTE NO BORRAR'!B1859="","",'FUENTE NO BORRAR'!B1859)</f>
        <v/>
      </c>
      <c r="C1841" s="5" t="str">
        <f>IF('FUENTE NO BORRAR'!C1859="","",'FUENTE NO BORRAR'!C1859)</f>
        <v/>
      </c>
      <c r="D1841" s="5" t="str">
        <f>IF('FUENTE NO BORRAR'!D1859="","",'FUENTE NO BORRAR'!D1859)</f>
        <v/>
      </c>
      <c r="E1841" s="5" t="str">
        <f>IF('FUENTE NO BORRAR'!E1859="","",'FUENTE NO BORRAR'!E1859)</f>
        <v/>
      </c>
      <c r="F1841" s="6">
        <f>IF('FUENTE NO BORRAR'!F1859="","",IF('FUENTE NO BORRAR'!$A1859&lt;&gt;"Resultado total",('FUENTE NO BORRAR'!F1859),""))</f>
        <v>3815</v>
      </c>
      <c r="G1841" s="6">
        <f>IF('FUENTE NO BORRAR'!G1859="","",IF('FUENTE NO BORRAR'!$A1859&lt;&gt;"Resultado total",('FUENTE NO BORRAR'!G1859),""))</f>
        <v>3815</v>
      </c>
      <c r="H1841" s="6">
        <f>IF('FUENTE NO BORRAR'!H1859="","",IF('FUENTE NO BORRAR'!$A1859&lt;&gt;"Resultado total",('FUENTE NO BORRAR'!H1859),""))</f>
        <v>3815</v>
      </c>
      <c r="I1841" s="6">
        <f>IF('FUENTE NO BORRAR'!I1859="","",IF('FUENTE NO BORRAR'!$A1859&lt;&gt;"Resultado total",('FUENTE NO BORRAR'!I1859),""))</f>
        <v>0</v>
      </c>
    </row>
    <row r="1842" spans="1:9" x14ac:dyDescent="0.2">
      <c r="A1842" s="5" t="str">
        <f>IF('FUENTE NO BORRAR'!A1860="","",(IF('FUENTE NO BORRAR'!A1860&lt;&gt;"Resultado total",'FUENTE NO BORRAR'!A1860,"")))</f>
        <v/>
      </c>
      <c r="B1842" s="5" t="str">
        <f>IF('FUENTE NO BORRAR'!B1860="","",'FUENTE NO BORRAR'!B1860)</f>
        <v/>
      </c>
      <c r="C1842" s="5" t="str">
        <f>IF('FUENTE NO BORRAR'!C1860="","",'FUENTE NO BORRAR'!C1860)</f>
        <v/>
      </c>
      <c r="D1842" s="5" t="str">
        <f>IF('FUENTE NO BORRAR'!D1860="","",'FUENTE NO BORRAR'!D1860)</f>
        <v/>
      </c>
      <c r="E1842" s="5" t="str">
        <f>IF('FUENTE NO BORRAR'!E1860="","",'FUENTE NO BORRAR'!E1860)</f>
        <v/>
      </c>
      <c r="F1842" s="6">
        <f>IF('FUENTE NO BORRAR'!F1860="","",IF('FUENTE NO BORRAR'!$A1860&lt;&gt;"Resultado total",('FUENTE NO BORRAR'!F1860),""))</f>
        <v>34288.03</v>
      </c>
      <c r="G1842" s="6">
        <f>IF('FUENTE NO BORRAR'!G1860="","",IF('FUENTE NO BORRAR'!$A1860&lt;&gt;"Resultado total",('FUENTE NO BORRAR'!G1860),""))</f>
        <v>34288.03</v>
      </c>
      <c r="H1842" s="6">
        <f>IF('FUENTE NO BORRAR'!H1860="","",IF('FUENTE NO BORRAR'!$A1860&lt;&gt;"Resultado total",('FUENTE NO BORRAR'!H1860),""))</f>
        <v>34288.03</v>
      </c>
      <c r="I1842" s="6">
        <f>IF('FUENTE NO BORRAR'!I1860="","",IF('FUENTE NO BORRAR'!$A1860&lt;&gt;"Resultado total",('FUENTE NO BORRAR'!I1860),""))</f>
        <v>0</v>
      </c>
    </row>
    <row r="1843" spans="1:9" x14ac:dyDescent="0.2">
      <c r="A1843" s="5" t="str">
        <f>IF('FUENTE NO BORRAR'!A1861="","",(IF('FUENTE NO BORRAR'!A1861&lt;&gt;"Resultado total",'FUENTE NO BORRAR'!A1861,"")))</f>
        <v/>
      </c>
      <c r="B1843" s="5" t="str">
        <f>IF('FUENTE NO BORRAR'!B1861="","",'FUENTE NO BORRAR'!B1861)</f>
        <v/>
      </c>
      <c r="C1843" s="5" t="str">
        <f>IF('FUENTE NO BORRAR'!C1861="","",'FUENTE NO BORRAR'!C1861)</f>
        <v/>
      </c>
      <c r="D1843" s="5" t="str">
        <f>IF('FUENTE NO BORRAR'!D1861="","",'FUENTE NO BORRAR'!D1861)</f>
        <v/>
      </c>
      <c r="E1843" s="5" t="str">
        <f>IF('FUENTE NO BORRAR'!E1861="","",'FUENTE NO BORRAR'!E1861)</f>
        <v/>
      </c>
      <c r="F1843" s="6">
        <f>IF('FUENTE NO BORRAR'!F1861="","",IF('FUENTE NO BORRAR'!$A1861&lt;&gt;"Resultado total",('FUENTE NO BORRAR'!F1861),""))</f>
        <v>0</v>
      </c>
      <c r="G1843" s="6">
        <f>IF('FUENTE NO BORRAR'!G1861="","",IF('FUENTE NO BORRAR'!$A1861&lt;&gt;"Resultado total",('FUENTE NO BORRAR'!G1861),""))</f>
        <v>0</v>
      </c>
      <c r="H1843" s="6">
        <f>IF('FUENTE NO BORRAR'!H1861="","",IF('FUENTE NO BORRAR'!$A1861&lt;&gt;"Resultado total",('FUENTE NO BORRAR'!H1861),""))</f>
        <v>0</v>
      </c>
      <c r="I1843" s="6">
        <f>IF('FUENTE NO BORRAR'!I1861="","",IF('FUENTE NO BORRAR'!$A1861&lt;&gt;"Resultado total",('FUENTE NO BORRAR'!I1861),""))</f>
        <v>0</v>
      </c>
    </row>
    <row r="1844" spans="1:9" x14ac:dyDescent="0.2">
      <c r="A1844" s="5" t="str">
        <f>IF('FUENTE NO BORRAR'!A1862="","",(IF('FUENTE NO BORRAR'!A1862&lt;&gt;"Resultado total",'FUENTE NO BORRAR'!A1862,"")))</f>
        <v/>
      </c>
      <c r="B1844" s="5" t="str">
        <f>IF('FUENTE NO BORRAR'!B1862="","",'FUENTE NO BORRAR'!B1862)</f>
        <v/>
      </c>
      <c r="C1844" s="5" t="str">
        <f>IF('FUENTE NO BORRAR'!C1862="","",'FUENTE NO BORRAR'!C1862)</f>
        <v/>
      </c>
      <c r="D1844" s="5" t="str">
        <f>IF('FUENTE NO BORRAR'!D1862="","",'FUENTE NO BORRAR'!D1862)</f>
        <v/>
      </c>
      <c r="E1844" s="5" t="str">
        <f>IF('FUENTE NO BORRAR'!E1862="","",'FUENTE NO BORRAR'!E1862)</f>
        <v/>
      </c>
      <c r="F1844" s="6">
        <f>IF('FUENTE NO BORRAR'!F1862="","",IF('FUENTE NO BORRAR'!$A1862&lt;&gt;"Resultado total",('FUENTE NO BORRAR'!F1862),""))</f>
        <v>218903.19</v>
      </c>
      <c r="G1844" s="6">
        <f>IF('FUENTE NO BORRAR'!G1862="","",IF('FUENTE NO BORRAR'!$A1862&lt;&gt;"Resultado total",('FUENTE NO BORRAR'!G1862),""))</f>
        <v>218903.19</v>
      </c>
      <c r="H1844" s="6">
        <f>IF('FUENTE NO BORRAR'!H1862="","",IF('FUENTE NO BORRAR'!$A1862&lt;&gt;"Resultado total",('FUENTE NO BORRAR'!H1862),""))</f>
        <v>218903.19</v>
      </c>
      <c r="I1844" s="6">
        <f>IF('FUENTE NO BORRAR'!I1862="","",IF('FUENTE NO BORRAR'!$A1862&lt;&gt;"Resultado total",('FUENTE NO BORRAR'!I1862),""))</f>
        <v>0</v>
      </c>
    </row>
    <row r="1845" spans="1:9" x14ac:dyDescent="0.2">
      <c r="A1845" s="5" t="str">
        <f>IF('FUENTE NO BORRAR'!A1863="","",(IF('FUENTE NO BORRAR'!A1863&lt;&gt;"Resultado total",'FUENTE NO BORRAR'!A1863,"")))</f>
        <v/>
      </c>
      <c r="B1845" s="5" t="str">
        <f>IF('FUENTE NO BORRAR'!B1863="","",'FUENTE NO BORRAR'!B1863)</f>
        <v/>
      </c>
      <c r="C1845" s="5" t="str">
        <f>IF('FUENTE NO BORRAR'!C1863="","",'FUENTE NO BORRAR'!C1863)</f>
        <v/>
      </c>
      <c r="D1845" s="5" t="str">
        <f>IF('FUENTE NO BORRAR'!D1863="","",'FUENTE NO BORRAR'!D1863)</f>
        <v/>
      </c>
      <c r="E1845" s="5" t="str">
        <f>IF('FUENTE NO BORRAR'!E1863="","",'FUENTE NO BORRAR'!E1863)</f>
        <v/>
      </c>
      <c r="F1845" s="6">
        <f>IF('FUENTE NO BORRAR'!F1863="","",IF('FUENTE NO BORRAR'!$A1863&lt;&gt;"Resultado total",('FUENTE NO BORRAR'!F1863),""))</f>
        <v>63691.6</v>
      </c>
      <c r="G1845" s="6">
        <f>IF('FUENTE NO BORRAR'!G1863="","",IF('FUENTE NO BORRAR'!$A1863&lt;&gt;"Resultado total",('FUENTE NO BORRAR'!G1863),""))</f>
        <v>63691.6</v>
      </c>
      <c r="H1845" s="6">
        <f>IF('FUENTE NO BORRAR'!H1863="","",IF('FUENTE NO BORRAR'!$A1863&lt;&gt;"Resultado total",('FUENTE NO BORRAR'!H1863),""))</f>
        <v>2200</v>
      </c>
      <c r="I1845" s="6">
        <f>IF('FUENTE NO BORRAR'!I1863="","",IF('FUENTE NO BORRAR'!$A1863&lt;&gt;"Resultado total",('FUENTE NO BORRAR'!I1863),""))</f>
        <v>0</v>
      </c>
    </row>
    <row r="1846" spans="1:9" x14ac:dyDescent="0.2">
      <c r="A1846" s="5" t="str">
        <f>IF('FUENTE NO BORRAR'!A1864="","",(IF('FUENTE NO BORRAR'!A1864&lt;&gt;"Resultado total",'FUENTE NO BORRAR'!A1864,"")))</f>
        <v/>
      </c>
      <c r="B1846" s="5" t="str">
        <f>IF('FUENTE NO BORRAR'!B1864="","",'FUENTE NO BORRAR'!B1864)</f>
        <v/>
      </c>
      <c r="C1846" s="5" t="str">
        <f>IF('FUENTE NO BORRAR'!C1864="","",'FUENTE NO BORRAR'!C1864)</f>
        <v/>
      </c>
      <c r="D1846" s="5" t="str">
        <f>IF('FUENTE NO BORRAR'!D1864="","",'FUENTE NO BORRAR'!D1864)</f>
        <v/>
      </c>
      <c r="E1846" s="5" t="str">
        <f>IF('FUENTE NO BORRAR'!E1864="","",'FUENTE NO BORRAR'!E1864)</f>
        <v/>
      </c>
      <c r="F1846" s="6">
        <f>IF('FUENTE NO BORRAR'!F1864="","",IF('FUENTE NO BORRAR'!$A1864&lt;&gt;"Resultado total",('FUENTE NO BORRAR'!F1864),""))</f>
        <v>91762.31</v>
      </c>
      <c r="G1846" s="6">
        <f>IF('FUENTE NO BORRAR'!G1864="","",IF('FUENTE NO BORRAR'!$A1864&lt;&gt;"Resultado total",('FUENTE NO BORRAR'!G1864),""))</f>
        <v>91762.31</v>
      </c>
      <c r="H1846" s="6">
        <f>IF('FUENTE NO BORRAR'!H1864="","",IF('FUENTE NO BORRAR'!$A1864&lt;&gt;"Resultado total",('FUENTE NO BORRAR'!H1864),""))</f>
        <v>84872.49</v>
      </c>
      <c r="I1846" s="6">
        <f>IF('FUENTE NO BORRAR'!I1864="","",IF('FUENTE NO BORRAR'!$A1864&lt;&gt;"Resultado total",('FUENTE NO BORRAR'!I1864),""))</f>
        <v>0</v>
      </c>
    </row>
    <row r="1847" spans="1:9" x14ac:dyDescent="0.2">
      <c r="A1847" s="5" t="str">
        <f>IF('FUENTE NO BORRAR'!A1865="","",(IF('FUENTE NO BORRAR'!A1865&lt;&gt;"Resultado total",'FUENTE NO BORRAR'!A1865,"")))</f>
        <v/>
      </c>
      <c r="B1847" s="5" t="str">
        <f>IF('FUENTE NO BORRAR'!B1865="","",'FUENTE NO BORRAR'!B1865)</f>
        <v/>
      </c>
      <c r="C1847" s="5" t="str">
        <f>IF('FUENTE NO BORRAR'!C1865="","",'FUENTE NO BORRAR'!C1865)</f>
        <v/>
      </c>
      <c r="D1847" s="5" t="str">
        <f>IF('FUENTE NO BORRAR'!D1865="","",'FUENTE NO BORRAR'!D1865)</f>
        <v/>
      </c>
      <c r="E1847" s="5" t="str">
        <f>IF('FUENTE NO BORRAR'!E1865="","",'FUENTE NO BORRAR'!E1865)</f>
        <v/>
      </c>
      <c r="F1847" s="6">
        <f>IF('FUENTE NO BORRAR'!F1865="","",IF('FUENTE NO BORRAR'!$A1865&lt;&gt;"Resultado total",('FUENTE NO BORRAR'!F1865),""))</f>
        <v>66443.64</v>
      </c>
      <c r="G1847" s="6">
        <f>IF('FUENTE NO BORRAR'!G1865="","",IF('FUENTE NO BORRAR'!$A1865&lt;&gt;"Resultado total",('FUENTE NO BORRAR'!G1865),""))</f>
        <v>66443.64</v>
      </c>
      <c r="H1847" s="6">
        <f>IF('FUENTE NO BORRAR'!H1865="","",IF('FUENTE NO BORRAR'!$A1865&lt;&gt;"Resultado total",('FUENTE NO BORRAR'!H1865),""))</f>
        <v>61803.64</v>
      </c>
      <c r="I1847" s="6">
        <f>IF('FUENTE NO BORRAR'!I1865="","",IF('FUENTE NO BORRAR'!$A1865&lt;&gt;"Resultado total",('FUENTE NO BORRAR'!I1865),""))</f>
        <v>0</v>
      </c>
    </row>
    <row r="1848" spans="1:9" x14ac:dyDescent="0.2">
      <c r="A1848" s="5" t="str">
        <f>IF('FUENTE NO BORRAR'!A1866="","",(IF('FUENTE NO BORRAR'!A1866&lt;&gt;"Resultado total",'FUENTE NO BORRAR'!A1866,"")))</f>
        <v/>
      </c>
      <c r="B1848" s="5" t="str">
        <f>IF('FUENTE NO BORRAR'!B1866="","",'FUENTE NO BORRAR'!B1866)</f>
        <v/>
      </c>
      <c r="C1848" s="5" t="str">
        <f>IF('FUENTE NO BORRAR'!C1866="","",'FUENTE NO BORRAR'!C1866)</f>
        <v/>
      </c>
      <c r="D1848" s="5" t="str">
        <f>IF('FUENTE NO BORRAR'!D1866="","",'FUENTE NO BORRAR'!D1866)</f>
        <v/>
      </c>
      <c r="E1848" s="5" t="str">
        <f>IF('FUENTE NO BORRAR'!E1866="","",'FUENTE NO BORRAR'!E1866)</f>
        <v/>
      </c>
      <c r="F1848" s="6">
        <f>IF('FUENTE NO BORRAR'!F1866="","",IF('FUENTE NO BORRAR'!$A1866&lt;&gt;"Resultado total",('FUENTE NO BORRAR'!F1866),""))</f>
        <v>180</v>
      </c>
      <c r="G1848" s="6">
        <f>IF('FUENTE NO BORRAR'!G1866="","",IF('FUENTE NO BORRAR'!$A1866&lt;&gt;"Resultado total",('FUENTE NO BORRAR'!G1866),""))</f>
        <v>180</v>
      </c>
      <c r="H1848" s="6">
        <f>IF('FUENTE NO BORRAR'!H1866="","",IF('FUENTE NO BORRAR'!$A1866&lt;&gt;"Resultado total",('FUENTE NO BORRAR'!H1866),""))</f>
        <v>180</v>
      </c>
      <c r="I1848" s="6">
        <f>IF('FUENTE NO BORRAR'!I1866="","",IF('FUENTE NO BORRAR'!$A1866&lt;&gt;"Resultado total",('FUENTE NO BORRAR'!I1866),""))</f>
        <v>0</v>
      </c>
    </row>
    <row r="1849" spans="1:9" x14ac:dyDescent="0.2">
      <c r="A1849" s="5" t="str">
        <f>IF('FUENTE NO BORRAR'!A1867="","",(IF('FUENTE NO BORRAR'!A1867&lt;&gt;"Resultado total",'FUENTE NO BORRAR'!A1867,"")))</f>
        <v/>
      </c>
      <c r="B1849" s="5" t="str">
        <f>IF('FUENTE NO BORRAR'!B1867="","",'FUENTE NO BORRAR'!B1867)</f>
        <v/>
      </c>
      <c r="C1849" s="5" t="str">
        <f>IF('FUENTE NO BORRAR'!C1867="","",'FUENTE NO BORRAR'!C1867)</f>
        <v/>
      </c>
      <c r="D1849" s="5" t="str">
        <f>IF('FUENTE NO BORRAR'!D1867="","",'FUENTE NO BORRAR'!D1867)</f>
        <v/>
      </c>
      <c r="E1849" s="5" t="str">
        <f>IF('FUENTE NO BORRAR'!E1867="","",'FUENTE NO BORRAR'!E1867)</f>
        <v/>
      </c>
      <c r="F1849" s="6">
        <f>IF('FUENTE NO BORRAR'!F1867="","",IF('FUENTE NO BORRAR'!$A1867&lt;&gt;"Resultado total",('FUENTE NO BORRAR'!F1867),""))</f>
        <v>7759.24</v>
      </c>
      <c r="G1849" s="6">
        <f>IF('FUENTE NO BORRAR'!G1867="","",IF('FUENTE NO BORRAR'!$A1867&lt;&gt;"Resultado total",('FUENTE NO BORRAR'!G1867),""))</f>
        <v>7759.24</v>
      </c>
      <c r="H1849" s="6">
        <f>IF('FUENTE NO BORRAR'!H1867="","",IF('FUENTE NO BORRAR'!$A1867&lt;&gt;"Resultado total",('FUENTE NO BORRAR'!H1867),""))</f>
        <v>7759.24</v>
      </c>
      <c r="I1849" s="6">
        <f>IF('FUENTE NO BORRAR'!I1867="","",IF('FUENTE NO BORRAR'!$A1867&lt;&gt;"Resultado total",('FUENTE NO BORRAR'!I1867),""))</f>
        <v>0</v>
      </c>
    </row>
    <row r="1850" spans="1:9" x14ac:dyDescent="0.2">
      <c r="A1850" s="5" t="str">
        <f>IF('FUENTE NO BORRAR'!A1868="","",(IF('FUENTE NO BORRAR'!A1868&lt;&gt;"Resultado total",'FUENTE NO BORRAR'!A1868,"")))</f>
        <v/>
      </c>
      <c r="B1850" s="5" t="str">
        <f>IF('FUENTE NO BORRAR'!B1868="","",'FUENTE NO BORRAR'!B1868)</f>
        <v/>
      </c>
      <c r="C1850" s="5" t="str">
        <f>IF('FUENTE NO BORRAR'!C1868="","",'FUENTE NO BORRAR'!C1868)</f>
        <v/>
      </c>
      <c r="D1850" s="5" t="str">
        <f>IF('FUENTE NO BORRAR'!D1868="","",'FUENTE NO BORRAR'!D1868)</f>
        <v/>
      </c>
      <c r="E1850" s="5" t="str">
        <f>IF('FUENTE NO BORRAR'!E1868="","",'FUENTE NO BORRAR'!E1868)</f>
        <v/>
      </c>
      <c r="F1850" s="6">
        <f>IF('FUENTE NO BORRAR'!F1868="","",IF('FUENTE NO BORRAR'!$A1868&lt;&gt;"Resultado total",('FUENTE NO BORRAR'!F1868),""))</f>
        <v>812</v>
      </c>
      <c r="G1850" s="6">
        <f>IF('FUENTE NO BORRAR'!G1868="","",IF('FUENTE NO BORRAR'!$A1868&lt;&gt;"Resultado total",('FUENTE NO BORRAR'!G1868),""))</f>
        <v>812</v>
      </c>
      <c r="H1850" s="6">
        <f>IF('FUENTE NO BORRAR'!H1868="","",IF('FUENTE NO BORRAR'!$A1868&lt;&gt;"Resultado total",('FUENTE NO BORRAR'!H1868),""))</f>
        <v>812</v>
      </c>
      <c r="I1850" s="6">
        <f>IF('FUENTE NO BORRAR'!I1868="","",IF('FUENTE NO BORRAR'!$A1868&lt;&gt;"Resultado total",('FUENTE NO BORRAR'!I1868),""))</f>
        <v>0</v>
      </c>
    </row>
    <row r="1851" spans="1:9" x14ac:dyDescent="0.2">
      <c r="A1851" s="5" t="str">
        <f>IF('FUENTE NO BORRAR'!A1869="","",(IF('FUENTE NO BORRAR'!A1869&lt;&gt;"Resultado total",'FUENTE NO BORRAR'!A1869,"")))</f>
        <v/>
      </c>
      <c r="B1851" s="5" t="str">
        <f>IF('FUENTE NO BORRAR'!B1869="","",'FUENTE NO BORRAR'!B1869)</f>
        <v/>
      </c>
      <c r="C1851" s="5" t="str">
        <f>IF('FUENTE NO BORRAR'!C1869="","",'FUENTE NO BORRAR'!C1869)</f>
        <v/>
      </c>
      <c r="D1851" s="5" t="str">
        <f>IF('FUENTE NO BORRAR'!D1869="","",'FUENTE NO BORRAR'!D1869)</f>
        <v/>
      </c>
      <c r="E1851" s="5" t="str">
        <f>IF('FUENTE NO BORRAR'!E1869="","",'FUENTE NO BORRAR'!E1869)</f>
        <v/>
      </c>
      <c r="F1851" s="6">
        <f>IF('FUENTE NO BORRAR'!F1869="","",IF('FUENTE NO BORRAR'!$A1869&lt;&gt;"Resultado total",('FUENTE NO BORRAR'!F1869),""))</f>
        <v>31350.73</v>
      </c>
      <c r="G1851" s="6">
        <f>IF('FUENTE NO BORRAR'!G1869="","",IF('FUENTE NO BORRAR'!$A1869&lt;&gt;"Resultado total",('FUENTE NO BORRAR'!G1869),""))</f>
        <v>31350.73</v>
      </c>
      <c r="H1851" s="6">
        <f>IF('FUENTE NO BORRAR'!H1869="","",IF('FUENTE NO BORRAR'!$A1869&lt;&gt;"Resultado total",('FUENTE NO BORRAR'!H1869),""))</f>
        <v>31350.73</v>
      </c>
      <c r="I1851" s="6">
        <f>IF('FUENTE NO BORRAR'!I1869="","",IF('FUENTE NO BORRAR'!$A1869&lt;&gt;"Resultado total",('FUENTE NO BORRAR'!I1869),""))</f>
        <v>0</v>
      </c>
    </row>
    <row r="1852" spans="1:9" x14ac:dyDescent="0.2">
      <c r="A1852" s="5" t="str">
        <f>IF('FUENTE NO BORRAR'!A1870="","",(IF('FUENTE NO BORRAR'!A1870&lt;&gt;"Resultado total",'FUENTE NO BORRAR'!A1870,"")))</f>
        <v/>
      </c>
      <c r="B1852" s="5" t="str">
        <f>IF('FUENTE NO BORRAR'!B1870="","",'FUENTE NO BORRAR'!B1870)</f>
        <v/>
      </c>
      <c r="C1852" s="5" t="str">
        <f>IF('FUENTE NO BORRAR'!C1870="","",'FUENTE NO BORRAR'!C1870)</f>
        <v/>
      </c>
      <c r="D1852" s="5" t="str">
        <f>IF('FUENTE NO BORRAR'!D1870="","",'FUENTE NO BORRAR'!D1870)</f>
        <v/>
      </c>
      <c r="E1852" s="5" t="str">
        <f>IF('FUENTE NO BORRAR'!E1870="","",'FUENTE NO BORRAR'!E1870)</f>
        <v/>
      </c>
      <c r="F1852" s="6">
        <f>IF('FUENTE NO BORRAR'!F1870="","",IF('FUENTE NO BORRAR'!$A1870&lt;&gt;"Resultado total",('FUENTE NO BORRAR'!F1870),""))</f>
        <v>21818</v>
      </c>
      <c r="G1852" s="6">
        <f>IF('FUENTE NO BORRAR'!G1870="","",IF('FUENTE NO BORRAR'!$A1870&lt;&gt;"Resultado total",('FUENTE NO BORRAR'!G1870),""))</f>
        <v>21818</v>
      </c>
      <c r="H1852" s="6">
        <f>IF('FUENTE NO BORRAR'!H1870="","",IF('FUENTE NO BORRAR'!$A1870&lt;&gt;"Resultado total",('FUENTE NO BORRAR'!H1870),""))</f>
        <v>21818</v>
      </c>
      <c r="I1852" s="6">
        <f>IF('FUENTE NO BORRAR'!I1870="","",IF('FUENTE NO BORRAR'!$A1870&lt;&gt;"Resultado total",('FUENTE NO BORRAR'!I1870),""))</f>
        <v>0</v>
      </c>
    </row>
    <row r="1853" spans="1:9" x14ac:dyDescent="0.2">
      <c r="A1853" s="5" t="str">
        <f>IF('FUENTE NO BORRAR'!A1871="","",(IF('FUENTE NO BORRAR'!A1871&lt;&gt;"Resultado total",'FUENTE NO BORRAR'!A1871,"")))</f>
        <v/>
      </c>
      <c r="B1853" s="5" t="str">
        <f>IF('FUENTE NO BORRAR'!B1871="","",'FUENTE NO BORRAR'!B1871)</f>
        <v/>
      </c>
      <c r="C1853" s="5" t="str">
        <f>IF('FUENTE NO BORRAR'!C1871="","",'FUENTE NO BORRAR'!C1871)</f>
        <v/>
      </c>
      <c r="D1853" s="5" t="str">
        <f>IF('FUENTE NO BORRAR'!D1871="","",'FUENTE NO BORRAR'!D1871)</f>
        <v/>
      </c>
      <c r="E1853" s="5" t="str">
        <f>IF('FUENTE NO BORRAR'!E1871="","",'FUENTE NO BORRAR'!E1871)</f>
        <v/>
      </c>
      <c r="F1853" s="6">
        <f>IF('FUENTE NO BORRAR'!F1871="","",IF('FUENTE NO BORRAR'!$A1871&lt;&gt;"Resultado total",('FUENTE NO BORRAR'!F1871),""))</f>
        <v>0</v>
      </c>
      <c r="G1853" s="6">
        <f>IF('FUENTE NO BORRAR'!G1871="","",IF('FUENTE NO BORRAR'!$A1871&lt;&gt;"Resultado total",('FUENTE NO BORRAR'!G1871),""))</f>
        <v>0</v>
      </c>
      <c r="H1853" s="6">
        <f>IF('FUENTE NO BORRAR'!H1871="","",IF('FUENTE NO BORRAR'!$A1871&lt;&gt;"Resultado total",('FUENTE NO BORRAR'!H1871),""))</f>
        <v>0</v>
      </c>
      <c r="I1853" s="6">
        <f>IF('FUENTE NO BORRAR'!I1871="","",IF('FUENTE NO BORRAR'!$A1871&lt;&gt;"Resultado total",('FUENTE NO BORRAR'!I1871),""))</f>
        <v>0</v>
      </c>
    </row>
    <row r="1854" spans="1:9" x14ac:dyDescent="0.2">
      <c r="A1854" s="5" t="str">
        <f>IF('FUENTE NO BORRAR'!A1872="","",(IF('FUENTE NO BORRAR'!A1872&lt;&gt;"Resultado total",'FUENTE NO BORRAR'!A1872,"")))</f>
        <v/>
      </c>
      <c r="B1854" s="5" t="str">
        <f>IF('FUENTE NO BORRAR'!B1872="","",'FUENTE NO BORRAR'!B1872)</f>
        <v/>
      </c>
      <c r="C1854" s="5" t="str">
        <f>IF('FUENTE NO BORRAR'!C1872="","",'FUENTE NO BORRAR'!C1872)</f>
        <v/>
      </c>
      <c r="D1854" s="5" t="str">
        <f>IF('FUENTE NO BORRAR'!D1872="","",'FUENTE NO BORRAR'!D1872)</f>
        <v/>
      </c>
      <c r="E1854" s="5" t="str">
        <f>IF('FUENTE NO BORRAR'!E1872="","",'FUENTE NO BORRAR'!E1872)</f>
        <v/>
      </c>
      <c r="F1854" s="6">
        <f>IF('FUENTE NO BORRAR'!F1872="","",IF('FUENTE NO BORRAR'!$A1872&lt;&gt;"Resultado total",('FUENTE NO BORRAR'!F1872),""))</f>
        <v>30000</v>
      </c>
      <c r="G1854" s="6">
        <f>IF('FUENTE NO BORRAR'!G1872="","",IF('FUENTE NO BORRAR'!$A1872&lt;&gt;"Resultado total",('FUENTE NO BORRAR'!G1872),""))</f>
        <v>30000</v>
      </c>
      <c r="H1854" s="6">
        <f>IF('FUENTE NO BORRAR'!H1872="","",IF('FUENTE NO BORRAR'!$A1872&lt;&gt;"Resultado total",('FUENTE NO BORRAR'!H1872),""))</f>
        <v>30000</v>
      </c>
      <c r="I1854" s="6">
        <f>IF('FUENTE NO BORRAR'!I1872="","",IF('FUENTE NO BORRAR'!$A1872&lt;&gt;"Resultado total",('FUENTE NO BORRAR'!I1872),""))</f>
        <v>0</v>
      </c>
    </row>
    <row r="1855" spans="1:9" x14ac:dyDescent="0.2">
      <c r="A1855" s="5" t="str">
        <f>IF('FUENTE NO BORRAR'!A1873="","",(IF('FUENTE NO BORRAR'!A1873&lt;&gt;"Resultado total",'FUENTE NO BORRAR'!A1873,"")))</f>
        <v/>
      </c>
      <c r="B1855" s="5" t="str">
        <f>IF('FUENTE NO BORRAR'!B1873="","",'FUENTE NO BORRAR'!B1873)</f>
        <v/>
      </c>
      <c r="C1855" s="5" t="str">
        <f>IF('FUENTE NO BORRAR'!C1873="","",'FUENTE NO BORRAR'!C1873)</f>
        <v/>
      </c>
      <c r="D1855" s="5" t="str">
        <f>IF('FUENTE NO BORRAR'!D1873="","",'FUENTE NO BORRAR'!D1873)</f>
        <v/>
      </c>
      <c r="E1855" s="5" t="str">
        <f>IF('FUENTE NO BORRAR'!E1873="","",'FUENTE NO BORRAR'!E1873)</f>
        <v/>
      </c>
      <c r="F1855" s="6">
        <f>IF('FUENTE NO BORRAR'!F1873="","",IF('FUENTE NO BORRAR'!$A1873&lt;&gt;"Resultado total",('FUENTE NO BORRAR'!F1873),""))</f>
        <v>410</v>
      </c>
      <c r="G1855" s="6">
        <f>IF('FUENTE NO BORRAR'!G1873="","",IF('FUENTE NO BORRAR'!$A1873&lt;&gt;"Resultado total",('FUENTE NO BORRAR'!G1873),""))</f>
        <v>410</v>
      </c>
      <c r="H1855" s="6">
        <f>IF('FUENTE NO BORRAR'!H1873="","",IF('FUENTE NO BORRAR'!$A1873&lt;&gt;"Resultado total",('FUENTE NO BORRAR'!H1873),""))</f>
        <v>410</v>
      </c>
      <c r="I1855" s="6">
        <f>IF('FUENTE NO BORRAR'!I1873="","",IF('FUENTE NO BORRAR'!$A1873&lt;&gt;"Resultado total",('FUENTE NO BORRAR'!I1873),""))</f>
        <v>0</v>
      </c>
    </row>
    <row r="1856" spans="1:9" x14ac:dyDescent="0.2">
      <c r="A1856" s="5" t="str">
        <f>IF('FUENTE NO BORRAR'!A1874="","",(IF('FUENTE NO BORRAR'!A1874&lt;&gt;"Resultado total",'FUENTE NO BORRAR'!A1874,"")))</f>
        <v/>
      </c>
      <c r="B1856" s="5" t="str">
        <f>IF('FUENTE NO BORRAR'!B1874="","",'FUENTE NO BORRAR'!B1874)</f>
        <v/>
      </c>
      <c r="C1856" s="5" t="str">
        <f>IF('FUENTE NO BORRAR'!C1874="","",'FUENTE NO BORRAR'!C1874)</f>
        <v>26082121E203</v>
      </c>
      <c r="D1856" s="5" t="str">
        <f>IF('FUENTE NO BORRAR'!D1874="","",'FUENTE NO BORRAR'!D1874)</f>
        <v>SALUD EDUC. S. D. HUM.</v>
      </c>
      <c r="E1856" s="5" t="str">
        <f>IF('FUENTE NO BORRAR'!E1874="","",'FUENTE NO BORRAR'!E1874)</f>
        <v/>
      </c>
      <c r="F1856" s="6" t="str">
        <f>IF('FUENTE NO BORRAR'!F1874="","",IF('FUENTE NO BORRAR'!$A1874&lt;&gt;"Resultado total",('FUENTE NO BORRAR'!F1874),""))</f>
        <v/>
      </c>
      <c r="G1856" s="6">
        <f>IF('FUENTE NO BORRAR'!G1874="","",IF('FUENTE NO BORRAR'!$A1874&lt;&gt;"Resultado total",('FUENTE NO BORRAR'!G1874),""))</f>
        <v>0</v>
      </c>
      <c r="H1856" s="6">
        <f>IF('FUENTE NO BORRAR'!H1874="","",IF('FUENTE NO BORRAR'!$A1874&lt;&gt;"Resultado total",('FUENTE NO BORRAR'!H1874),""))</f>
        <v>0</v>
      </c>
      <c r="I1856" s="6">
        <f>IF('FUENTE NO BORRAR'!I1874="","",IF('FUENTE NO BORRAR'!$A1874&lt;&gt;"Resultado total",('FUENTE NO BORRAR'!I1874),""))</f>
        <v>0</v>
      </c>
    </row>
    <row r="1857" spans="1:9" x14ac:dyDescent="0.2">
      <c r="A1857" s="5" t="str">
        <f>IF('FUENTE NO BORRAR'!A1875="","",(IF('FUENTE NO BORRAR'!A1875&lt;&gt;"Resultado total",'FUENTE NO BORRAR'!A1875,"")))</f>
        <v/>
      </c>
      <c r="B1857" s="5" t="str">
        <f>IF('FUENTE NO BORRAR'!B1875="","",'FUENTE NO BORRAR'!B1875)</f>
        <v/>
      </c>
      <c r="C1857" s="5" t="str">
        <f>IF('FUENTE NO BORRAR'!C1875="","",'FUENTE NO BORRAR'!C1875)</f>
        <v>27012054E203</v>
      </c>
      <c r="D1857" s="5" t="str">
        <f>IF('FUENTE NO BORRAR'!D1875="","",'FUENTE NO BORRAR'!D1875)</f>
        <v>27012054E203</v>
      </c>
      <c r="E1857" s="5" t="str">
        <f>IF('FUENTE NO BORRAR'!E1875="","",'FUENTE NO BORRAR'!E1875)</f>
        <v/>
      </c>
      <c r="F1857" s="6">
        <f>IF('FUENTE NO BORRAR'!F1875="","",IF('FUENTE NO BORRAR'!$A1875&lt;&gt;"Resultado total",('FUENTE NO BORRAR'!F1875),""))</f>
        <v>285554</v>
      </c>
      <c r="G1857" s="6">
        <f>IF('FUENTE NO BORRAR'!G1875="","",IF('FUENTE NO BORRAR'!$A1875&lt;&gt;"Resultado total",('FUENTE NO BORRAR'!G1875),""))</f>
        <v>285554</v>
      </c>
      <c r="H1857" s="6">
        <f>IF('FUENTE NO BORRAR'!H1875="","",IF('FUENTE NO BORRAR'!$A1875&lt;&gt;"Resultado total",('FUENTE NO BORRAR'!H1875),""))</f>
        <v>285554</v>
      </c>
      <c r="I1857" s="6">
        <f>IF('FUENTE NO BORRAR'!I1875="","",IF('FUENTE NO BORRAR'!$A1875&lt;&gt;"Resultado total",('FUENTE NO BORRAR'!I1875),""))</f>
        <v>0</v>
      </c>
    </row>
    <row r="1858" spans="1:9" x14ac:dyDescent="0.2">
      <c r="A1858" s="5" t="str">
        <f>IF('FUENTE NO BORRAR'!A1876="","",(IF('FUENTE NO BORRAR'!A1876&lt;&gt;"Resultado total",'FUENTE NO BORRAR'!A1876,"")))</f>
        <v/>
      </c>
      <c r="B1858" s="5" t="str">
        <f>IF('FUENTE NO BORRAR'!B1876="","",'FUENTE NO BORRAR'!B1876)</f>
        <v/>
      </c>
      <c r="C1858" s="5" t="str">
        <f>IF('FUENTE NO BORRAR'!C1876="","",'FUENTE NO BORRAR'!C1876)</f>
        <v/>
      </c>
      <c r="D1858" s="5" t="str">
        <f>IF('FUENTE NO BORRAR'!D1876="","",'FUENTE NO BORRAR'!D1876)</f>
        <v/>
      </c>
      <c r="E1858" s="5" t="str">
        <f>IF('FUENTE NO BORRAR'!E1876="","",'FUENTE NO BORRAR'!E1876)</f>
        <v/>
      </c>
      <c r="F1858" s="6">
        <f>IF('FUENTE NO BORRAR'!F1876="","",IF('FUENTE NO BORRAR'!$A1876&lt;&gt;"Resultado total",('FUENTE NO BORRAR'!F1876),""))</f>
        <v>10657.68</v>
      </c>
      <c r="G1858" s="6">
        <f>IF('FUENTE NO BORRAR'!G1876="","",IF('FUENTE NO BORRAR'!$A1876&lt;&gt;"Resultado total",('FUENTE NO BORRAR'!G1876),""))</f>
        <v>10657.68</v>
      </c>
      <c r="H1858" s="6">
        <f>IF('FUENTE NO BORRAR'!H1876="","",IF('FUENTE NO BORRAR'!$A1876&lt;&gt;"Resultado total",('FUENTE NO BORRAR'!H1876),""))</f>
        <v>10657.68</v>
      </c>
      <c r="I1858" s="6">
        <f>IF('FUENTE NO BORRAR'!I1876="","",IF('FUENTE NO BORRAR'!$A1876&lt;&gt;"Resultado total",('FUENTE NO BORRAR'!I1876),""))</f>
        <v>0</v>
      </c>
    </row>
    <row r="1859" spans="1:9" x14ac:dyDescent="0.2">
      <c r="A1859" s="5" t="str">
        <f>IF('FUENTE NO BORRAR'!A1877="","",(IF('FUENTE NO BORRAR'!A1877&lt;&gt;"Resultado total",'FUENTE NO BORRAR'!A1877,"")))</f>
        <v/>
      </c>
      <c r="B1859" s="5" t="str">
        <f>IF('FUENTE NO BORRAR'!B1877="","",'FUENTE NO BORRAR'!B1877)</f>
        <v/>
      </c>
      <c r="C1859" s="5" t="str">
        <f>IF('FUENTE NO BORRAR'!C1877="","",'FUENTE NO BORRAR'!C1877)</f>
        <v/>
      </c>
      <c r="D1859" s="5" t="str">
        <f>IF('FUENTE NO BORRAR'!D1877="","",'FUENTE NO BORRAR'!D1877)</f>
        <v/>
      </c>
      <c r="E1859" s="5" t="str">
        <f>IF('FUENTE NO BORRAR'!E1877="","",'FUENTE NO BORRAR'!E1877)</f>
        <v/>
      </c>
      <c r="F1859" s="6">
        <f>IF('FUENTE NO BORRAR'!F1877="","",IF('FUENTE NO BORRAR'!$A1877&lt;&gt;"Resultado total",('FUENTE NO BORRAR'!F1877),""))</f>
        <v>10365.299999999999</v>
      </c>
      <c r="G1859" s="6">
        <f>IF('FUENTE NO BORRAR'!G1877="","",IF('FUENTE NO BORRAR'!$A1877&lt;&gt;"Resultado total",('FUENTE NO BORRAR'!G1877),""))</f>
        <v>10365.299999999999</v>
      </c>
      <c r="H1859" s="6">
        <f>IF('FUENTE NO BORRAR'!H1877="","",IF('FUENTE NO BORRAR'!$A1877&lt;&gt;"Resultado total",('FUENTE NO BORRAR'!H1877),""))</f>
        <v>10365.299999999999</v>
      </c>
      <c r="I1859" s="6">
        <f>IF('FUENTE NO BORRAR'!I1877="","",IF('FUENTE NO BORRAR'!$A1877&lt;&gt;"Resultado total",('FUENTE NO BORRAR'!I1877),""))</f>
        <v>0</v>
      </c>
    </row>
    <row r="1860" spans="1:9" x14ac:dyDescent="0.2">
      <c r="A1860" s="5" t="str">
        <f>IF('FUENTE NO BORRAR'!A1878="","",(IF('FUENTE NO BORRAR'!A1878&lt;&gt;"Resultado total",'FUENTE NO BORRAR'!A1878,"")))</f>
        <v/>
      </c>
      <c r="B1860" s="5" t="str">
        <f>IF('FUENTE NO BORRAR'!B1878="","",'FUENTE NO BORRAR'!B1878)</f>
        <v/>
      </c>
      <c r="C1860" s="5" t="str">
        <f>IF('FUENTE NO BORRAR'!C1878="","",'FUENTE NO BORRAR'!C1878)</f>
        <v/>
      </c>
      <c r="D1860" s="5" t="str">
        <f>IF('FUENTE NO BORRAR'!D1878="","",'FUENTE NO BORRAR'!D1878)</f>
        <v/>
      </c>
      <c r="E1860" s="5" t="str">
        <f>IF('FUENTE NO BORRAR'!E1878="","",'FUENTE NO BORRAR'!E1878)</f>
        <v/>
      </c>
      <c r="F1860" s="6">
        <f>IF('FUENTE NO BORRAR'!F1878="","",IF('FUENTE NO BORRAR'!$A1878&lt;&gt;"Resultado total",('FUENTE NO BORRAR'!F1878),""))</f>
        <v>63611.37</v>
      </c>
      <c r="G1860" s="6">
        <f>IF('FUENTE NO BORRAR'!G1878="","",IF('FUENTE NO BORRAR'!$A1878&lt;&gt;"Resultado total",('FUENTE NO BORRAR'!G1878),""))</f>
        <v>63611.37</v>
      </c>
      <c r="H1860" s="6">
        <f>IF('FUENTE NO BORRAR'!H1878="","",IF('FUENTE NO BORRAR'!$A1878&lt;&gt;"Resultado total",('FUENTE NO BORRAR'!H1878),""))</f>
        <v>63611.37</v>
      </c>
      <c r="I1860" s="6">
        <f>IF('FUENTE NO BORRAR'!I1878="","",IF('FUENTE NO BORRAR'!$A1878&lt;&gt;"Resultado total",('FUENTE NO BORRAR'!I1878),""))</f>
        <v>0</v>
      </c>
    </row>
    <row r="1861" spans="1:9" x14ac:dyDescent="0.2">
      <c r="A1861" s="5" t="str">
        <f>IF('FUENTE NO BORRAR'!A1879="","",(IF('FUENTE NO BORRAR'!A1879&lt;&gt;"Resultado total",'FUENTE NO BORRAR'!A1879,"")))</f>
        <v/>
      </c>
      <c r="B1861" s="5" t="str">
        <f>IF('FUENTE NO BORRAR'!B1879="","",'FUENTE NO BORRAR'!B1879)</f>
        <v/>
      </c>
      <c r="C1861" s="5" t="str">
        <f>IF('FUENTE NO BORRAR'!C1879="","",'FUENTE NO BORRAR'!C1879)</f>
        <v/>
      </c>
      <c r="D1861" s="5" t="str">
        <f>IF('FUENTE NO BORRAR'!D1879="","",'FUENTE NO BORRAR'!D1879)</f>
        <v/>
      </c>
      <c r="E1861" s="5" t="str">
        <f>IF('FUENTE NO BORRAR'!E1879="","",'FUENTE NO BORRAR'!E1879)</f>
        <v/>
      </c>
      <c r="F1861" s="6">
        <f>IF('FUENTE NO BORRAR'!F1879="","",IF('FUENTE NO BORRAR'!$A1879&lt;&gt;"Resultado total",('FUENTE NO BORRAR'!F1879),""))</f>
        <v>229972</v>
      </c>
      <c r="G1861" s="6">
        <f>IF('FUENTE NO BORRAR'!G1879="","",IF('FUENTE NO BORRAR'!$A1879&lt;&gt;"Resultado total",('FUENTE NO BORRAR'!G1879),""))</f>
        <v>229972</v>
      </c>
      <c r="H1861" s="6">
        <f>IF('FUENTE NO BORRAR'!H1879="","",IF('FUENTE NO BORRAR'!$A1879&lt;&gt;"Resultado total",('FUENTE NO BORRAR'!H1879),""))</f>
        <v>233475.4</v>
      </c>
      <c r="I1861" s="6">
        <f>IF('FUENTE NO BORRAR'!I1879="","",IF('FUENTE NO BORRAR'!$A1879&lt;&gt;"Resultado total",('FUENTE NO BORRAR'!I1879),""))</f>
        <v>0</v>
      </c>
    </row>
    <row r="1862" spans="1:9" x14ac:dyDescent="0.2">
      <c r="A1862" s="5" t="str">
        <f>IF('FUENTE NO BORRAR'!A1880="","",(IF('FUENTE NO BORRAR'!A1880&lt;&gt;"Resultado total",'FUENTE NO BORRAR'!A1880,"")))</f>
        <v/>
      </c>
      <c r="B1862" s="5" t="str">
        <f>IF('FUENTE NO BORRAR'!B1880="","",'FUENTE NO BORRAR'!B1880)</f>
        <v/>
      </c>
      <c r="C1862" s="5" t="str">
        <f>IF('FUENTE NO BORRAR'!C1880="","",'FUENTE NO BORRAR'!C1880)</f>
        <v/>
      </c>
      <c r="D1862" s="5" t="str">
        <f>IF('FUENTE NO BORRAR'!D1880="","",'FUENTE NO BORRAR'!D1880)</f>
        <v/>
      </c>
      <c r="E1862" s="5" t="str">
        <f>IF('FUENTE NO BORRAR'!E1880="","",'FUENTE NO BORRAR'!E1880)</f>
        <v/>
      </c>
      <c r="F1862" s="6">
        <f>IF('FUENTE NO BORRAR'!F1880="","",IF('FUENTE NO BORRAR'!$A1880&lt;&gt;"Resultado total",('FUENTE NO BORRAR'!F1880),""))</f>
        <v>486143.48</v>
      </c>
      <c r="G1862" s="6">
        <f>IF('FUENTE NO BORRAR'!G1880="","",IF('FUENTE NO BORRAR'!$A1880&lt;&gt;"Resultado total",('FUENTE NO BORRAR'!G1880),""))</f>
        <v>486143.48</v>
      </c>
      <c r="H1862" s="6">
        <f>IF('FUENTE NO BORRAR'!H1880="","",IF('FUENTE NO BORRAR'!$A1880&lt;&gt;"Resultado total",('FUENTE NO BORRAR'!H1880),""))</f>
        <v>486143.48</v>
      </c>
      <c r="I1862" s="6">
        <f>IF('FUENTE NO BORRAR'!I1880="","",IF('FUENTE NO BORRAR'!$A1880&lt;&gt;"Resultado total",('FUENTE NO BORRAR'!I1880),""))</f>
        <v>0</v>
      </c>
    </row>
    <row r="1863" spans="1:9" x14ac:dyDescent="0.2">
      <c r="A1863" s="5" t="str">
        <f>IF('FUENTE NO BORRAR'!A1881="","",(IF('FUENTE NO BORRAR'!A1881&lt;&gt;"Resultado total",'FUENTE NO BORRAR'!A1881,"")))</f>
        <v/>
      </c>
      <c r="B1863" s="5" t="str">
        <f>IF('FUENTE NO BORRAR'!B1881="","",'FUENTE NO BORRAR'!B1881)</f>
        <v/>
      </c>
      <c r="C1863" s="5" t="str">
        <f>IF('FUENTE NO BORRAR'!C1881="","",'FUENTE NO BORRAR'!C1881)</f>
        <v/>
      </c>
      <c r="D1863" s="5" t="str">
        <f>IF('FUENTE NO BORRAR'!D1881="","",'FUENTE NO BORRAR'!D1881)</f>
        <v/>
      </c>
      <c r="E1863" s="5" t="str">
        <f>IF('FUENTE NO BORRAR'!E1881="","",'FUENTE NO BORRAR'!E1881)</f>
        <v/>
      </c>
      <c r="F1863" s="6">
        <f>IF('FUENTE NO BORRAR'!F1881="","",IF('FUENTE NO BORRAR'!$A1881&lt;&gt;"Resultado total",('FUENTE NO BORRAR'!F1881),""))</f>
        <v>54845.59</v>
      </c>
      <c r="G1863" s="6">
        <f>IF('FUENTE NO BORRAR'!G1881="","",IF('FUENTE NO BORRAR'!$A1881&lt;&gt;"Resultado total",('FUENTE NO BORRAR'!G1881),""))</f>
        <v>54845.59</v>
      </c>
      <c r="H1863" s="6">
        <f>IF('FUENTE NO BORRAR'!H1881="","",IF('FUENTE NO BORRAR'!$A1881&lt;&gt;"Resultado total",('FUENTE NO BORRAR'!H1881),""))</f>
        <v>54845.59</v>
      </c>
      <c r="I1863" s="6">
        <f>IF('FUENTE NO BORRAR'!I1881="","",IF('FUENTE NO BORRAR'!$A1881&lt;&gt;"Resultado total",('FUENTE NO BORRAR'!I1881),""))</f>
        <v>0</v>
      </c>
    </row>
    <row r="1864" spans="1:9" x14ac:dyDescent="0.2">
      <c r="A1864" s="5" t="str">
        <f>IF('FUENTE NO BORRAR'!A1882="","",(IF('FUENTE NO BORRAR'!A1882&lt;&gt;"Resultado total",'FUENTE NO BORRAR'!A1882,"")))</f>
        <v/>
      </c>
      <c r="B1864" s="5" t="str">
        <f>IF('FUENTE NO BORRAR'!B1882="","",'FUENTE NO BORRAR'!B1882)</f>
        <v/>
      </c>
      <c r="C1864" s="5" t="str">
        <f>IF('FUENTE NO BORRAR'!C1882="","",'FUENTE NO BORRAR'!C1882)</f>
        <v/>
      </c>
      <c r="D1864" s="5" t="str">
        <f>IF('FUENTE NO BORRAR'!D1882="","",'FUENTE NO BORRAR'!D1882)</f>
        <v/>
      </c>
      <c r="E1864" s="5" t="str">
        <f>IF('FUENTE NO BORRAR'!E1882="","",'FUENTE NO BORRAR'!E1882)</f>
        <v/>
      </c>
      <c r="F1864" s="6">
        <f>IF('FUENTE NO BORRAR'!F1882="","",IF('FUENTE NO BORRAR'!$A1882&lt;&gt;"Resultado total",('FUENTE NO BORRAR'!F1882),""))</f>
        <v>17948.580000000002</v>
      </c>
      <c r="G1864" s="6">
        <f>IF('FUENTE NO BORRAR'!G1882="","",IF('FUENTE NO BORRAR'!$A1882&lt;&gt;"Resultado total",('FUENTE NO BORRAR'!G1882),""))</f>
        <v>17948.580000000002</v>
      </c>
      <c r="H1864" s="6">
        <f>IF('FUENTE NO BORRAR'!H1882="","",IF('FUENTE NO BORRAR'!$A1882&lt;&gt;"Resultado total",('FUENTE NO BORRAR'!H1882),""))</f>
        <v>17948.580000000002</v>
      </c>
      <c r="I1864" s="6">
        <f>IF('FUENTE NO BORRAR'!I1882="","",IF('FUENTE NO BORRAR'!$A1882&lt;&gt;"Resultado total",('FUENTE NO BORRAR'!I1882),""))</f>
        <v>0</v>
      </c>
    </row>
    <row r="1865" spans="1:9" x14ac:dyDescent="0.2">
      <c r="A1865" s="5" t="str">
        <f>IF('FUENTE NO BORRAR'!A1883="","",(IF('FUENTE NO BORRAR'!A1883&lt;&gt;"Resultado total",'FUENTE NO BORRAR'!A1883,"")))</f>
        <v/>
      </c>
      <c r="B1865" s="5" t="str">
        <f>IF('FUENTE NO BORRAR'!B1883="","",'FUENTE NO BORRAR'!B1883)</f>
        <v/>
      </c>
      <c r="C1865" s="5" t="str">
        <f>IF('FUENTE NO BORRAR'!C1883="","",'FUENTE NO BORRAR'!C1883)</f>
        <v/>
      </c>
      <c r="D1865" s="5" t="str">
        <f>IF('FUENTE NO BORRAR'!D1883="","",'FUENTE NO BORRAR'!D1883)</f>
        <v/>
      </c>
      <c r="E1865" s="5" t="str">
        <f>IF('FUENTE NO BORRAR'!E1883="","",'FUENTE NO BORRAR'!E1883)</f>
        <v/>
      </c>
      <c r="F1865" s="6">
        <f>IF('FUENTE NO BORRAR'!F1883="","",IF('FUENTE NO BORRAR'!$A1883&lt;&gt;"Resultado total",('FUENTE NO BORRAR'!F1883),""))</f>
        <v>8396.9599999999991</v>
      </c>
      <c r="G1865" s="6">
        <f>IF('FUENTE NO BORRAR'!G1883="","",IF('FUENTE NO BORRAR'!$A1883&lt;&gt;"Resultado total",('FUENTE NO BORRAR'!G1883),""))</f>
        <v>8396.9599999999991</v>
      </c>
      <c r="H1865" s="6">
        <f>IF('FUENTE NO BORRAR'!H1883="","",IF('FUENTE NO BORRAR'!$A1883&lt;&gt;"Resultado total",('FUENTE NO BORRAR'!H1883),""))</f>
        <v>8396.9599999999991</v>
      </c>
      <c r="I1865" s="6">
        <f>IF('FUENTE NO BORRAR'!I1883="","",IF('FUENTE NO BORRAR'!$A1883&lt;&gt;"Resultado total",('FUENTE NO BORRAR'!I1883),""))</f>
        <v>0</v>
      </c>
    </row>
    <row r="1866" spans="1:9" x14ac:dyDescent="0.2">
      <c r="A1866" s="5" t="str">
        <f>IF('FUENTE NO BORRAR'!A1884="","",(IF('FUENTE NO BORRAR'!A1884&lt;&gt;"Resultado total",'FUENTE NO BORRAR'!A1884,"")))</f>
        <v/>
      </c>
      <c r="B1866" s="5" t="str">
        <f>IF('FUENTE NO BORRAR'!B1884="","",'FUENTE NO BORRAR'!B1884)</f>
        <v/>
      </c>
      <c r="C1866" s="5" t="str">
        <f>IF('FUENTE NO BORRAR'!C1884="","",'FUENTE NO BORRAR'!C1884)</f>
        <v/>
      </c>
      <c r="D1866" s="5" t="str">
        <f>IF('FUENTE NO BORRAR'!D1884="","",'FUENTE NO BORRAR'!D1884)</f>
        <v/>
      </c>
      <c r="E1866" s="5" t="str">
        <f>IF('FUENTE NO BORRAR'!E1884="","",'FUENTE NO BORRAR'!E1884)</f>
        <v/>
      </c>
      <c r="F1866" s="6">
        <f>IF('FUENTE NO BORRAR'!F1884="","",IF('FUENTE NO BORRAR'!$A1884&lt;&gt;"Resultado total",('FUENTE NO BORRAR'!F1884),""))</f>
        <v>34268.639999999999</v>
      </c>
      <c r="G1866" s="6">
        <f>IF('FUENTE NO BORRAR'!G1884="","",IF('FUENTE NO BORRAR'!$A1884&lt;&gt;"Resultado total",('FUENTE NO BORRAR'!G1884),""))</f>
        <v>34268.639999999999</v>
      </c>
      <c r="H1866" s="6">
        <f>IF('FUENTE NO BORRAR'!H1884="","",IF('FUENTE NO BORRAR'!$A1884&lt;&gt;"Resultado total",('FUENTE NO BORRAR'!H1884),""))</f>
        <v>34268.639999999999</v>
      </c>
      <c r="I1866" s="6">
        <f>IF('FUENTE NO BORRAR'!I1884="","",IF('FUENTE NO BORRAR'!$A1884&lt;&gt;"Resultado total",('FUENTE NO BORRAR'!I1884),""))</f>
        <v>0</v>
      </c>
    </row>
    <row r="1867" spans="1:9" x14ac:dyDescent="0.2">
      <c r="A1867" s="5" t="str">
        <f>IF('FUENTE NO BORRAR'!A1885="","",(IF('FUENTE NO BORRAR'!A1885&lt;&gt;"Resultado total",'FUENTE NO BORRAR'!A1885,"")))</f>
        <v/>
      </c>
      <c r="B1867" s="5" t="str">
        <f>IF('FUENTE NO BORRAR'!B1885="","",'FUENTE NO BORRAR'!B1885)</f>
        <v/>
      </c>
      <c r="C1867" s="5" t="str">
        <f>IF('FUENTE NO BORRAR'!C1885="","",'FUENTE NO BORRAR'!C1885)</f>
        <v/>
      </c>
      <c r="D1867" s="5" t="str">
        <f>IF('FUENTE NO BORRAR'!D1885="","",'FUENTE NO BORRAR'!D1885)</f>
        <v/>
      </c>
      <c r="E1867" s="5" t="str">
        <f>IF('FUENTE NO BORRAR'!E1885="","",'FUENTE NO BORRAR'!E1885)</f>
        <v/>
      </c>
      <c r="F1867" s="6">
        <f>IF('FUENTE NO BORRAR'!F1885="","",IF('FUENTE NO BORRAR'!$A1885&lt;&gt;"Resultado total",('FUENTE NO BORRAR'!F1885),""))</f>
        <v>71615.679999999993</v>
      </c>
      <c r="G1867" s="6">
        <f>IF('FUENTE NO BORRAR'!G1885="","",IF('FUENTE NO BORRAR'!$A1885&lt;&gt;"Resultado total",('FUENTE NO BORRAR'!G1885),""))</f>
        <v>71615.679999999993</v>
      </c>
      <c r="H1867" s="6">
        <f>IF('FUENTE NO BORRAR'!H1885="","",IF('FUENTE NO BORRAR'!$A1885&lt;&gt;"Resultado total",('FUENTE NO BORRAR'!H1885),""))</f>
        <v>71615.679999999993</v>
      </c>
      <c r="I1867" s="6">
        <f>IF('FUENTE NO BORRAR'!I1885="","",IF('FUENTE NO BORRAR'!$A1885&lt;&gt;"Resultado total",('FUENTE NO BORRAR'!I1885),""))</f>
        <v>0</v>
      </c>
    </row>
    <row r="1868" spans="1:9" x14ac:dyDescent="0.2">
      <c r="A1868" s="5" t="str">
        <f>IF('FUENTE NO BORRAR'!A1886="","",(IF('FUENTE NO BORRAR'!A1886&lt;&gt;"Resultado total",'FUENTE NO BORRAR'!A1886,"")))</f>
        <v/>
      </c>
      <c r="B1868" s="5" t="str">
        <f>IF('FUENTE NO BORRAR'!B1886="","",'FUENTE NO BORRAR'!B1886)</f>
        <v/>
      </c>
      <c r="C1868" s="5" t="str">
        <f>IF('FUENTE NO BORRAR'!C1886="","",'FUENTE NO BORRAR'!C1886)</f>
        <v/>
      </c>
      <c r="D1868" s="5" t="str">
        <f>IF('FUENTE NO BORRAR'!D1886="","",'FUENTE NO BORRAR'!D1886)</f>
        <v/>
      </c>
      <c r="E1868" s="5" t="str">
        <f>IF('FUENTE NO BORRAR'!E1886="","",'FUENTE NO BORRAR'!E1886)</f>
        <v/>
      </c>
      <c r="F1868" s="6">
        <f>IF('FUENTE NO BORRAR'!F1886="","",IF('FUENTE NO BORRAR'!$A1886&lt;&gt;"Resultado total",('FUENTE NO BORRAR'!F1886),""))</f>
        <v>5717.34</v>
      </c>
      <c r="G1868" s="6">
        <f>IF('FUENTE NO BORRAR'!G1886="","",IF('FUENTE NO BORRAR'!$A1886&lt;&gt;"Resultado total",('FUENTE NO BORRAR'!G1886),""))</f>
        <v>5717.34</v>
      </c>
      <c r="H1868" s="6">
        <f>IF('FUENTE NO BORRAR'!H1886="","",IF('FUENTE NO BORRAR'!$A1886&lt;&gt;"Resultado total",('FUENTE NO BORRAR'!H1886),""))</f>
        <v>3227.24</v>
      </c>
      <c r="I1868" s="6">
        <f>IF('FUENTE NO BORRAR'!I1886="","",IF('FUENTE NO BORRAR'!$A1886&lt;&gt;"Resultado total",('FUENTE NO BORRAR'!I1886),""))</f>
        <v>0</v>
      </c>
    </row>
    <row r="1869" spans="1:9" x14ac:dyDescent="0.2">
      <c r="A1869" s="5" t="str">
        <f>IF('FUENTE NO BORRAR'!A1887="","",(IF('FUENTE NO BORRAR'!A1887&lt;&gt;"Resultado total",'FUENTE NO BORRAR'!A1887,"")))</f>
        <v/>
      </c>
      <c r="B1869" s="5" t="str">
        <f>IF('FUENTE NO BORRAR'!B1887="","",'FUENTE NO BORRAR'!B1887)</f>
        <v/>
      </c>
      <c r="C1869" s="5" t="str">
        <f>IF('FUENTE NO BORRAR'!C1887="","",'FUENTE NO BORRAR'!C1887)</f>
        <v/>
      </c>
      <c r="D1869" s="5" t="str">
        <f>IF('FUENTE NO BORRAR'!D1887="","",'FUENTE NO BORRAR'!D1887)</f>
        <v/>
      </c>
      <c r="E1869" s="5" t="str">
        <f>IF('FUENTE NO BORRAR'!E1887="","",'FUENTE NO BORRAR'!E1887)</f>
        <v/>
      </c>
      <c r="F1869" s="6">
        <f>IF('FUENTE NO BORRAR'!F1887="","",IF('FUENTE NO BORRAR'!$A1887&lt;&gt;"Resultado total",('FUENTE NO BORRAR'!F1887),""))</f>
        <v>3509.44</v>
      </c>
      <c r="G1869" s="6">
        <f>IF('FUENTE NO BORRAR'!G1887="","",IF('FUENTE NO BORRAR'!$A1887&lt;&gt;"Resultado total",('FUENTE NO BORRAR'!G1887),""))</f>
        <v>3509.44</v>
      </c>
      <c r="H1869" s="6">
        <f>IF('FUENTE NO BORRAR'!H1887="","",IF('FUENTE NO BORRAR'!$A1887&lt;&gt;"Resultado total",('FUENTE NO BORRAR'!H1887),""))</f>
        <v>3509.44</v>
      </c>
      <c r="I1869" s="6">
        <f>IF('FUENTE NO BORRAR'!I1887="","",IF('FUENTE NO BORRAR'!$A1887&lt;&gt;"Resultado total",('FUENTE NO BORRAR'!I1887),""))</f>
        <v>0</v>
      </c>
    </row>
    <row r="1870" spans="1:9" x14ac:dyDescent="0.2">
      <c r="A1870" s="5" t="str">
        <f>IF('FUENTE NO BORRAR'!A1888="","",(IF('FUENTE NO BORRAR'!A1888&lt;&gt;"Resultado total",'FUENTE NO BORRAR'!A1888,"")))</f>
        <v/>
      </c>
      <c r="B1870" s="5" t="str">
        <f>IF('FUENTE NO BORRAR'!B1888="","",'FUENTE NO BORRAR'!B1888)</f>
        <v/>
      </c>
      <c r="C1870" s="5" t="str">
        <f>IF('FUENTE NO BORRAR'!C1888="","",'FUENTE NO BORRAR'!C1888)</f>
        <v/>
      </c>
      <c r="D1870" s="5" t="str">
        <f>IF('FUENTE NO BORRAR'!D1888="","",'FUENTE NO BORRAR'!D1888)</f>
        <v/>
      </c>
      <c r="E1870" s="5" t="str">
        <f>IF('FUENTE NO BORRAR'!E1888="","",'FUENTE NO BORRAR'!E1888)</f>
        <v/>
      </c>
      <c r="F1870" s="6">
        <f>IF('FUENTE NO BORRAR'!F1888="","",IF('FUENTE NO BORRAR'!$A1888&lt;&gt;"Resultado total",('FUENTE NO BORRAR'!F1888),""))</f>
        <v>17673.61</v>
      </c>
      <c r="G1870" s="6">
        <f>IF('FUENTE NO BORRAR'!G1888="","",IF('FUENTE NO BORRAR'!$A1888&lt;&gt;"Resultado total",('FUENTE NO BORRAR'!G1888),""))</f>
        <v>17673.61</v>
      </c>
      <c r="H1870" s="6">
        <f>IF('FUENTE NO BORRAR'!H1888="","",IF('FUENTE NO BORRAR'!$A1888&lt;&gt;"Resultado total",('FUENTE NO BORRAR'!H1888),""))</f>
        <v>15825.62</v>
      </c>
      <c r="I1870" s="6">
        <f>IF('FUENTE NO BORRAR'!I1888="","",IF('FUENTE NO BORRAR'!$A1888&lt;&gt;"Resultado total",('FUENTE NO BORRAR'!I1888),""))</f>
        <v>0</v>
      </c>
    </row>
    <row r="1871" spans="1:9" x14ac:dyDescent="0.2">
      <c r="A1871" s="5" t="str">
        <f>IF('FUENTE NO BORRAR'!A1889="","",(IF('FUENTE NO BORRAR'!A1889&lt;&gt;"Resultado total",'FUENTE NO BORRAR'!A1889,"")))</f>
        <v/>
      </c>
      <c r="B1871" s="5" t="str">
        <f>IF('FUENTE NO BORRAR'!B1889="","",'FUENTE NO BORRAR'!B1889)</f>
        <v/>
      </c>
      <c r="C1871" s="5" t="str">
        <f>IF('FUENTE NO BORRAR'!C1889="","",'FUENTE NO BORRAR'!C1889)</f>
        <v/>
      </c>
      <c r="D1871" s="5" t="str">
        <f>IF('FUENTE NO BORRAR'!D1889="","",'FUENTE NO BORRAR'!D1889)</f>
        <v/>
      </c>
      <c r="E1871" s="5" t="str">
        <f>IF('FUENTE NO BORRAR'!E1889="","",'FUENTE NO BORRAR'!E1889)</f>
        <v/>
      </c>
      <c r="F1871" s="6">
        <f>IF('FUENTE NO BORRAR'!F1889="","",IF('FUENTE NO BORRAR'!$A1889&lt;&gt;"Resultado total",('FUENTE NO BORRAR'!F1889),""))</f>
        <v>1218</v>
      </c>
      <c r="G1871" s="6">
        <f>IF('FUENTE NO BORRAR'!G1889="","",IF('FUENTE NO BORRAR'!$A1889&lt;&gt;"Resultado total",('FUENTE NO BORRAR'!G1889),""))</f>
        <v>1218</v>
      </c>
      <c r="H1871" s="6">
        <f>IF('FUENTE NO BORRAR'!H1889="","",IF('FUENTE NO BORRAR'!$A1889&lt;&gt;"Resultado total",('FUENTE NO BORRAR'!H1889),""))</f>
        <v>0</v>
      </c>
      <c r="I1871" s="6">
        <f>IF('FUENTE NO BORRAR'!I1889="","",IF('FUENTE NO BORRAR'!$A1889&lt;&gt;"Resultado total",('FUENTE NO BORRAR'!I1889),""))</f>
        <v>0</v>
      </c>
    </row>
    <row r="1872" spans="1:9" x14ac:dyDescent="0.2">
      <c r="A1872" s="5" t="str">
        <f>IF('FUENTE NO BORRAR'!A1890="","",(IF('FUENTE NO BORRAR'!A1890&lt;&gt;"Resultado total",'FUENTE NO BORRAR'!A1890,"")))</f>
        <v/>
      </c>
      <c r="B1872" s="5" t="str">
        <f>IF('FUENTE NO BORRAR'!B1890="","",'FUENTE NO BORRAR'!B1890)</f>
        <v/>
      </c>
      <c r="C1872" s="5" t="str">
        <f>IF('FUENTE NO BORRAR'!C1890="","",'FUENTE NO BORRAR'!C1890)</f>
        <v/>
      </c>
      <c r="D1872" s="5" t="str">
        <f>IF('FUENTE NO BORRAR'!D1890="","",'FUENTE NO BORRAR'!D1890)</f>
        <v/>
      </c>
      <c r="E1872" s="5" t="str">
        <f>IF('FUENTE NO BORRAR'!E1890="","",'FUENTE NO BORRAR'!E1890)</f>
        <v/>
      </c>
      <c r="F1872" s="6">
        <f>IF('FUENTE NO BORRAR'!F1890="","",IF('FUENTE NO BORRAR'!$A1890&lt;&gt;"Resultado total",('FUENTE NO BORRAR'!F1890),""))</f>
        <v>620.07000000000005</v>
      </c>
      <c r="G1872" s="6">
        <f>IF('FUENTE NO BORRAR'!G1890="","",IF('FUENTE NO BORRAR'!$A1890&lt;&gt;"Resultado total",('FUENTE NO BORRAR'!G1890),""))</f>
        <v>620.07000000000005</v>
      </c>
      <c r="H1872" s="6">
        <f>IF('FUENTE NO BORRAR'!H1890="","",IF('FUENTE NO BORRAR'!$A1890&lt;&gt;"Resultado total",('FUENTE NO BORRAR'!H1890),""))</f>
        <v>620.07000000000005</v>
      </c>
      <c r="I1872" s="6">
        <f>IF('FUENTE NO BORRAR'!I1890="","",IF('FUENTE NO BORRAR'!$A1890&lt;&gt;"Resultado total",('FUENTE NO BORRAR'!I1890),""))</f>
        <v>0</v>
      </c>
    </row>
    <row r="1873" spans="1:9" x14ac:dyDescent="0.2">
      <c r="A1873" s="5" t="str">
        <f>IF('FUENTE NO BORRAR'!A1891="","",(IF('FUENTE NO BORRAR'!A1891&lt;&gt;"Resultado total",'FUENTE NO BORRAR'!A1891,"")))</f>
        <v/>
      </c>
      <c r="B1873" s="5" t="str">
        <f>IF('FUENTE NO BORRAR'!B1891="","",'FUENTE NO BORRAR'!B1891)</f>
        <v/>
      </c>
      <c r="C1873" s="5" t="str">
        <f>IF('FUENTE NO BORRAR'!C1891="","",'FUENTE NO BORRAR'!C1891)</f>
        <v/>
      </c>
      <c r="D1873" s="5" t="str">
        <f>IF('FUENTE NO BORRAR'!D1891="","",'FUENTE NO BORRAR'!D1891)</f>
        <v/>
      </c>
      <c r="E1873" s="5" t="str">
        <f>IF('FUENTE NO BORRAR'!E1891="","",'FUENTE NO BORRAR'!E1891)</f>
        <v/>
      </c>
      <c r="F1873" s="6">
        <f>IF('FUENTE NO BORRAR'!F1891="","",IF('FUENTE NO BORRAR'!$A1891&lt;&gt;"Resultado total",('FUENTE NO BORRAR'!F1891),""))</f>
        <v>3292.1</v>
      </c>
      <c r="G1873" s="6">
        <f>IF('FUENTE NO BORRAR'!G1891="","",IF('FUENTE NO BORRAR'!$A1891&lt;&gt;"Resultado total",('FUENTE NO BORRAR'!G1891),""))</f>
        <v>3292.1</v>
      </c>
      <c r="H1873" s="6">
        <f>IF('FUENTE NO BORRAR'!H1891="","",IF('FUENTE NO BORRAR'!$A1891&lt;&gt;"Resultado total",('FUENTE NO BORRAR'!H1891),""))</f>
        <v>0</v>
      </c>
      <c r="I1873" s="6">
        <f>IF('FUENTE NO BORRAR'!I1891="","",IF('FUENTE NO BORRAR'!$A1891&lt;&gt;"Resultado total",('FUENTE NO BORRAR'!I1891),""))</f>
        <v>0</v>
      </c>
    </row>
    <row r="1874" spans="1:9" x14ac:dyDescent="0.2">
      <c r="A1874" s="5" t="str">
        <f>IF('FUENTE NO BORRAR'!A1892="","",(IF('FUENTE NO BORRAR'!A1892&lt;&gt;"Resultado total",'FUENTE NO BORRAR'!A1892,"")))</f>
        <v/>
      </c>
      <c r="B1874" s="5" t="str">
        <f>IF('FUENTE NO BORRAR'!B1892="","",'FUENTE NO BORRAR'!B1892)</f>
        <v/>
      </c>
      <c r="C1874" s="5" t="str">
        <f>IF('FUENTE NO BORRAR'!C1892="","",'FUENTE NO BORRAR'!C1892)</f>
        <v/>
      </c>
      <c r="D1874" s="5" t="str">
        <f>IF('FUENTE NO BORRAR'!D1892="","",'FUENTE NO BORRAR'!D1892)</f>
        <v/>
      </c>
      <c r="E1874" s="5" t="str">
        <f>IF('FUENTE NO BORRAR'!E1892="","",'FUENTE NO BORRAR'!E1892)</f>
        <v/>
      </c>
      <c r="F1874" s="6">
        <f>IF('FUENTE NO BORRAR'!F1892="","",IF('FUENTE NO BORRAR'!$A1892&lt;&gt;"Resultado total",('FUENTE NO BORRAR'!F1892),""))</f>
        <v>497</v>
      </c>
      <c r="G1874" s="6">
        <f>IF('FUENTE NO BORRAR'!G1892="","",IF('FUENTE NO BORRAR'!$A1892&lt;&gt;"Resultado total",('FUENTE NO BORRAR'!G1892),""))</f>
        <v>497</v>
      </c>
      <c r="H1874" s="6">
        <f>IF('FUENTE NO BORRAR'!H1892="","",IF('FUENTE NO BORRAR'!$A1892&lt;&gt;"Resultado total",('FUENTE NO BORRAR'!H1892),""))</f>
        <v>0</v>
      </c>
      <c r="I1874" s="6">
        <f>IF('FUENTE NO BORRAR'!I1892="","",IF('FUENTE NO BORRAR'!$A1892&lt;&gt;"Resultado total",('FUENTE NO BORRAR'!I1892),""))</f>
        <v>0</v>
      </c>
    </row>
    <row r="1875" spans="1:9" x14ac:dyDescent="0.2">
      <c r="A1875" s="5" t="str">
        <f>IF('FUENTE NO BORRAR'!A1893="","",(IF('FUENTE NO BORRAR'!A1893&lt;&gt;"Resultado total",'FUENTE NO BORRAR'!A1893,"")))</f>
        <v/>
      </c>
      <c r="B1875" s="5" t="str">
        <f>IF('FUENTE NO BORRAR'!B1893="","",'FUENTE NO BORRAR'!B1893)</f>
        <v/>
      </c>
      <c r="C1875" s="5" t="str">
        <f>IF('FUENTE NO BORRAR'!C1893="","",'FUENTE NO BORRAR'!C1893)</f>
        <v/>
      </c>
      <c r="D1875" s="5" t="str">
        <f>IF('FUENTE NO BORRAR'!D1893="","",'FUENTE NO BORRAR'!D1893)</f>
        <v/>
      </c>
      <c r="E1875" s="5" t="str">
        <f>IF('FUENTE NO BORRAR'!E1893="","",'FUENTE NO BORRAR'!E1893)</f>
        <v/>
      </c>
      <c r="F1875" s="6">
        <f>IF('FUENTE NO BORRAR'!F1893="","",IF('FUENTE NO BORRAR'!$A1893&lt;&gt;"Resultado total",('FUENTE NO BORRAR'!F1893),""))</f>
        <v>4460.5</v>
      </c>
      <c r="G1875" s="6">
        <f>IF('FUENTE NO BORRAR'!G1893="","",IF('FUENTE NO BORRAR'!$A1893&lt;&gt;"Resultado total",('FUENTE NO BORRAR'!G1893),""))</f>
        <v>4460.5</v>
      </c>
      <c r="H1875" s="6">
        <f>IF('FUENTE NO BORRAR'!H1893="","",IF('FUENTE NO BORRAR'!$A1893&lt;&gt;"Resultado total",('FUENTE NO BORRAR'!H1893),""))</f>
        <v>0</v>
      </c>
      <c r="I1875" s="6">
        <f>IF('FUENTE NO BORRAR'!I1893="","",IF('FUENTE NO BORRAR'!$A1893&lt;&gt;"Resultado total",('FUENTE NO BORRAR'!I1893),""))</f>
        <v>0</v>
      </c>
    </row>
    <row r="1876" spans="1:9" x14ac:dyDescent="0.2">
      <c r="A1876" s="5" t="str">
        <f>IF('FUENTE NO BORRAR'!A1894="","",(IF('FUENTE NO BORRAR'!A1894&lt;&gt;"Resultado total",'FUENTE NO BORRAR'!A1894,"")))</f>
        <v/>
      </c>
      <c r="B1876" s="5" t="str">
        <f>IF('FUENTE NO BORRAR'!B1894="","",'FUENTE NO BORRAR'!B1894)</f>
        <v/>
      </c>
      <c r="C1876" s="5" t="str">
        <f>IF('FUENTE NO BORRAR'!C1894="","",'FUENTE NO BORRAR'!C1894)</f>
        <v/>
      </c>
      <c r="D1876" s="5" t="str">
        <f>IF('FUENTE NO BORRAR'!D1894="","",'FUENTE NO BORRAR'!D1894)</f>
        <v/>
      </c>
      <c r="E1876" s="5" t="str">
        <f>IF('FUENTE NO BORRAR'!E1894="","",'FUENTE NO BORRAR'!E1894)</f>
        <v/>
      </c>
      <c r="F1876" s="6">
        <f>IF('FUENTE NO BORRAR'!F1894="","",IF('FUENTE NO BORRAR'!$A1894&lt;&gt;"Resultado total",('FUENTE NO BORRAR'!F1894),""))</f>
        <v>1406.21</v>
      </c>
      <c r="G1876" s="6">
        <f>IF('FUENTE NO BORRAR'!G1894="","",IF('FUENTE NO BORRAR'!$A1894&lt;&gt;"Resultado total",('FUENTE NO BORRAR'!G1894),""))</f>
        <v>1406.21</v>
      </c>
      <c r="H1876" s="6">
        <f>IF('FUENTE NO BORRAR'!H1894="","",IF('FUENTE NO BORRAR'!$A1894&lt;&gt;"Resultado total",('FUENTE NO BORRAR'!H1894),""))</f>
        <v>0</v>
      </c>
      <c r="I1876" s="6">
        <f>IF('FUENTE NO BORRAR'!I1894="","",IF('FUENTE NO BORRAR'!$A1894&lt;&gt;"Resultado total",('FUENTE NO BORRAR'!I1894),""))</f>
        <v>0</v>
      </c>
    </row>
    <row r="1877" spans="1:9" x14ac:dyDescent="0.2">
      <c r="A1877" s="5" t="str">
        <f>IF('FUENTE NO BORRAR'!A1895="","",(IF('FUENTE NO BORRAR'!A1895&lt;&gt;"Resultado total",'FUENTE NO BORRAR'!A1895,"")))</f>
        <v/>
      </c>
      <c r="B1877" s="5" t="str">
        <f>IF('FUENTE NO BORRAR'!B1895="","",'FUENTE NO BORRAR'!B1895)</f>
        <v/>
      </c>
      <c r="C1877" s="5" t="str">
        <f>IF('FUENTE NO BORRAR'!C1895="","",'FUENTE NO BORRAR'!C1895)</f>
        <v/>
      </c>
      <c r="D1877" s="5" t="str">
        <f>IF('FUENTE NO BORRAR'!D1895="","",'FUENTE NO BORRAR'!D1895)</f>
        <v/>
      </c>
      <c r="E1877" s="5" t="str">
        <f>IF('FUENTE NO BORRAR'!E1895="","",'FUENTE NO BORRAR'!E1895)</f>
        <v/>
      </c>
      <c r="F1877" s="6">
        <f>IF('FUENTE NO BORRAR'!F1895="","",IF('FUENTE NO BORRAR'!$A1895&lt;&gt;"Resultado total",('FUENTE NO BORRAR'!F1895),""))</f>
        <v>21102</v>
      </c>
      <c r="G1877" s="6">
        <f>IF('FUENTE NO BORRAR'!G1895="","",IF('FUENTE NO BORRAR'!$A1895&lt;&gt;"Resultado total",('FUENTE NO BORRAR'!G1895),""))</f>
        <v>21102</v>
      </c>
      <c r="H1877" s="6">
        <f>IF('FUENTE NO BORRAR'!H1895="","",IF('FUENTE NO BORRAR'!$A1895&lt;&gt;"Resultado total",('FUENTE NO BORRAR'!H1895),""))</f>
        <v>15080</v>
      </c>
      <c r="I1877" s="6">
        <f>IF('FUENTE NO BORRAR'!I1895="","",IF('FUENTE NO BORRAR'!$A1895&lt;&gt;"Resultado total",('FUENTE NO BORRAR'!I1895),""))</f>
        <v>0</v>
      </c>
    </row>
    <row r="1878" spans="1:9" x14ac:dyDescent="0.2">
      <c r="A1878" s="5" t="str">
        <f>IF('FUENTE NO BORRAR'!A1896="","",(IF('FUENTE NO BORRAR'!A1896&lt;&gt;"Resultado total",'FUENTE NO BORRAR'!A1896,"")))</f>
        <v/>
      </c>
      <c r="B1878" s="5" t="str">
        <f>IF('FUENTE NO BORRAR'!B1896="","",'FUENTE NO BORRAR'!B1896)</f>
        <v/>
      </c>
      <c r="C1878" s="5" t="str">
        <f>IF('FUENTE NO BORRAR'!C1896="","",'FUENTE NO BORRAR'!C1896)</f>
        <v/>
      </c>
      <c r="D1878" s="5" t="str">
        <f>IF('FUENTE NO BORRAR'!D1896="","",'FUENTE NO BORRAR'!D1896)</f>
        <v/>
      </c>
      <c r="E1878" s="5" t="str">
        <f>IF('FUENTE NO BORRAR'!E1896="","",'FUENTE NO BORRAR'!E1896)</f>
        <v/>
      </c>
      <c r="F1878" s="6">
        <f>IF('FUENTE NO BORRAR'!F1896="","",IF('FUENTE NO BORRAR'!$A1896&lt;&gt;"Resultado total",('FUENTE NO BORRAR'!F1896),""))</f>
        <v>580</v>
      </c>
      <c r="G1878" s="6">
        <f>IF('FUENTE NO BORRAR'!G1896="","",IF('FUENTE NO BORRAR'!$A1896&lt;&gt;"Resultado total",('FUENTE NO BORRAR'!G1896),""))</f>
        <v>580</v>
      </c>
      <c r="H1878" s="6">
        <f>IF('FUENTE NO BORRAR'!H1896="","",IF('FUENTE NO BORRAR'!$A1896&lt;&gt;"Resultado total",('FUENTE NO BORRAR'!H1896),""))</f>
        <v>0</v>
      </c>
      <c r="I1878" s="6">
        <f>IF('FUENTE NO BORRAR'!I1896="","",IF('FUENTE NO BORRAR'!$A1896&lt;&gt;"Resultado total",('FUENTE NO BORRAR'!I1896),""))</f>
        <v>0</v>
      </c>
    </row>
    <row r="1879" spans="1:9" x14ac:dyDescent="0.2">
      <c r="A1879" s="5" t="str">
        <f>IF('FUENTE NO BORRAR'!A1897="","",(IF('FUENTE NO BORRAR'!A1897&lt;&gt;"Resultado total",'FUENTE NO BORRAR'!A1897,"")))</f>
        <v/>
      </c>
      <c r="B1879" s="5" t="str">
        <f>IF('FUENTE NO BORRAR'!B1897="","",'FUENTE NO BORRAR'!B1897)</f>
        <v/>
      </c>
      <c r="C1879" s="5" t="str">
        <f>IF('FUENTE NO BORRAR'!C1897="","",'FUENTE NO BORRAR'!C1897)</f>
        <v/>
      </c>
      <c r="D1879" s="5" t="str">
        <f>IF('FUENTE NO BORRAR'!D1897="","",'FUENTE NO BORRAR'!D1897)</f>
        <v/>
      </c>
      <c r="E1879" s="5" t="str">
        <f>IF('FUENTE NO BORRAR'!E1897="","",'FUENTE NO BORRAR'!E1897)</f>
        <v/>
      </c>
      <c r="F1879" s="6">
        <f>IF('FUENTE NO BORRAR'!F1897="","",IF('FUENTE NO BORRAR'!$A1897&lt;&gt;"Resultado total",('FUENTE NO BORRAR'!F1897),""))</f>
        <v>387.44</v>
      </c>
      <c r="G1879" s="6">
        <f>IF('FUENTE NO BORRAR'!G1897="","",IF('FUENTE NO BORRAR'!$A1897&lt;&gt;"Resultado total",('FUENTE NO BORRAR'!G1897),""))</f>
        <v>387.44</v>
      </c>
      <c r="H1879" s="6">
        <f>IF('FUENTE NO BORRAR'!H1897="","",IF('FUENTE NO BORRAR'!$A1897&lt;&gt;"Resultado total",('FUENTE NO BORRAR'!H1897),""))</f>
        <v>0</v>
      </c>
      <c r="I1879" s="6">
        <f>IF('FUENTE NO BORRAR'!I1897="","",IF('FUENTE NO BORRAR'!$A1897&lt;&gt;"Resultado total",('FUENTE NO BORRAR'!I1897),""))</f>
        <v>0</v>
      </c>
    </row>
    <row r="1880" spans="1:9" x14ac:dyDescent="0.2">
      <c r="A1880" s="5" t="str">
        <f>IF('FUENTE NO BORRAR'!A1898="","",(IF('FUENTE NO BORRAR'!A1898&lt;&gt;"Resultado total",'FUENTE NO BORRAR'!A1898,"")))</f>
        <v/>
      </c>
      <c r="B1880" s="5" t="str">
        <f>IF('FUENTE NO BORRAR'!B1898="","",'FUENTE NO BORRAR'!B1898)</f>
        <v/>
      </c>
      <c r="C1880" s="5" t="str">
        <f>IF('FUENTE NO BORRAR'!C1898="","",'FUENTE NO BORRAR'!C1898)</f>
        <v/>
      </c>
      <c r="D1880" s="5" t="str">
        <f>IF('FUENTE NO BORRAR'!D1898="","",'FUENTE NO BORRAR'!D1898)</f>
        <v/>
      </c>
      <c r="E1880" s="5" t="str">
        <f>IF('FUENTE NO BORRAR'!E1898="","",'FUENTE NO BORRAR'!E1898)</f>
        <v/>
      </c>
      <c r="F1880" s="6">
        <f>IF('FUENTE NO BORRAR'!F1898="","",IF('FUENTE NO BORRAR'!$A1898&lt;&gt;"Resultado total",('FUENTE NO BORRAR'!F1898),""))</f>
        <v>1167.83</v>
      </c>
      <c r="G1880" s="6">
        <f>IF('FUENTE NO BORRAR'!G1898="","",IF('FUENTE NO BORRAR'!$A1898&lt;&gt;"Resultado total",('FUENTE NO BORRAR'!G1898),""))</f>
        <v>1167.83</v>
      </c>
      <c r="H1880" s="6">
        <f>IF('FUENTE NO BORRAR'!H1898="","",IF('FUENTE NO BORRAR'!$A1898&lt;&gt;"Resultado total",('FUENTE NO BORRAR'!H1898),""))</f>
        <v>576.83000000000004</v>
      </c>
      <c r="I1880" s="6">
        <f>IF('FUENTE NO BORRAR'!I1898="","",IF('FUENTE NO BORRAR'!$A1898&lt;&gt;"Resultado total",('FUENTE NO BORRAR'!I1898),""))</f>
        <v>0</v>
      </c>
    </row>
    <row r="1881" spans="1:9" x14ac:dyDescent="0.2">
      <c r="A1881" s="5" t="str">
        <f>IF('FUENTE NO BORRAR'!A1899="","",(IF('FUENTE NO BORRAR'!A1899&lt;&gt;"Resultado total",'FUENTE NO BORRAR'!A1899,"")))</f>
        <v/>
      </c>
      <c r="B1881" s="5" t="str">
        <f>IF('FUENTE NO BORRAR'!B1899="","",'FUENTE NO BORRAR'!B1899)</f>
        <v/>
      </c>
      <c r="C1881" s="5" t="str">
        <f>IF('FUENTE NO BORRAR'!C1899="","",'FUENTE NO BORRAR'!C1899)</f>
        <v/>
      </c>
      <c r="D1881" s="5" t="str">
        <f>IF('FUENTE NO BORRAR'!D1899="","",'FUENTE NO BORRAR'!D1899)</f>
        <v/>
      </c>
      <c r="E1881" s="5" t="str">
        <f>IF('FUENTE NO BORRAR'!E1899="","",'FUENTE NO BORRAR'!E1899)</f>
        <v/>
      </c>
      <c r="F1881" s="6">
        <f>IF('FUENTE NO BORRAR'!F1899="","",IF('FUENTE NO BORRAR'!$A1899&lt;&gt;"Resultado total",('FUENTE NO BORRAR'!F1899),""))</f>
        <v>8524.74</v>
      </c>
      <c r="G1881" s="6">
        <f>IF('FUENTE NO BORRAR'!G1899="","",IF('FUENTE NO BORRAR'!$A1899&lt;&gt;"Resultado total",('FUENTE NO BORRAR'!G1899),""))</f>
        <v>8524.74</v>
      </c>
      <c r="H1881" s="6">
        <f>IF('FUENTE NO BORRAR'!H1899="","",IF('FUENTE NO BORRAR'!$A1899&lt;&gt;"Resultado total",('FUENTE NO BORRAR'!H1899),""))</f>
        <v>8524.74</v>
      </c>
      <c r="I1881" s="6">
        <f>IF('FUENTE NO BORRAR'!I1899="","",IF('FUENTE NO BORRAR'!$A1899&lt;&gt;"Resultado total",('FUENTE NO BORRAR'!I1899),""))</f>
        <v>0</v>
      </c>
    </row>
    <row r="1882" spans="1:9" x14ac:dyDescent="0.2">
      <c r="A1882" s="5" t="str">
        <f>IF('FUENTE NO BORRAR'!A1900="","",(IF('FUENTE NO BORRAR'!A1900&lt;&gt;"Resultado total",'FUENTE NO BORRAR'!A1900,"")))</f>
        <v/>
      </c>
      <c r="B1882" s="5" t="str">
        <f>IF('FUENTE NO BORRAR'!B1900="","",'FUENTE NO BORRAR'!B1900)</f>
        <v/>
      </c>
      <c r="C1882" s="5" t="str">
        <f>IF('FUENTE NO BORRAR'!C1900="","",'FUENTE NO BORRAR'!C1900)</f>
        <v/>
      </c>
      <c r="D1882" s="5" t="str">
        <f>IF('FUENTE NO BORRAR'!D1900="","",'FUENTE NO BORRAR'!D1900)</f>
        <v/>
      </c>
      <c r="E1882" s="5" t="str">
        <f>IF('FUENTE NO BORRAR'!E1900="","",'FUENTE NO BORRAR'!E1900)</f>
        <v/>
      </c>
      <c r="F1882" s="6">
        <f>IF('FUENTE NO BORRAR'!F1900="","",IF('FUENTE NO BORRAR'!$A1900&lt;&gt;"Resultado total",('FUENTE NO BORRAR'!F1900),""))</f>
        <v>23200</v>
      </c>
      <c r="G1882" s="6">
        <f>IF('FUENTE NO BORRAR'!G1900="","",IF('FUENTE NO BORRAR'!$A1900&lt;&gt;"Resultado total",('FUENTE NO BORRAR'!G1900),""))</f>
        <v>23200</v>
      </c>
      <c r="H1882" s="6">
        <f>IF('FUENTE NO BORRAR'!H1900="","",IF('FUENTE NO BORRAR'!$A1900&lt;&gt;"Resultado total",('FUENTE NO BORRAR'!H1900),""))</f>
        <v>23200</v>
      </c>
      <c r="I1882" s="6">
        <f>IF('FUENTE NO BORRAR'!I1900="","",IF('FUENTE NO BORRAR'!$A1900&lt;&gt;"Resultado total",('FUENTE NO BORRAR'!I1900),""))</f>
        <v>0</v>
      </c>
    </row>
    <row r="1883" spans="1:9" x14ac:dyDescent="0.2">
      <c r="A1883" s="5" t="str">
        <f>IF('FUENTE NO BORRAR'!A1901="","",(IF('FUENTE NO BORRAR'!A1901&lt;&gt;"Resultado total",'FUENTE NO BORRAR'!A1901,"")))</f>
        <v/>
      </c>
      <c r="B1883" s="5" t="str">
        <f>IF('FUENTE NO BORRAR'!B1901="","",'FUENTE NO BORRAR'!B1901)</f>
        <v/>
      </c>
      <c r="C1883" s="5" t="str">
        <f>IF('FUENTE NO BORRAR'!C1901="","",'FUENTE NO BORRAR'!C1901)</f>
        <v/>
      </c>
      <c r="D1883" s="5" t="str">
        <f>IF('FUENTE NO BORRAR'!D1901="","",'FUENTE NO BORRAR'!D1901)</f>
        <v/>
      </c>
      <c r="E1883" s="5" t="str">
        <f>IF('FUENTE NO BORRAR'!E1901="","",'FUENTE NO BORRAR'!E1901)</f>
        <v/>
      </c>
      <c r="F1883" s="6">
        <f>IF('FUENTE NO BORRAR'!F1901="","",IF('FUENTE NO BORRAR'!$A1901&lt;&gt;"Resultado total",('FUENTE NO BORRAR'!F1901),""))</f>
        <v>20900</v>
      </c>
      <c r="G1883" s="6">
        <f>IF('FUENTE NO BORRAR'!G1901="","",IF('FUENTE NO BORRAR'!$A1901&lt;&gt;"Resultado total",('FUENTE NO BORRAR'!G1901),""))</f>
        <v>20900</v>
      </c>
      <c r="H1883" s="6">
        <f>IF('FUENTE NO BORRAR'!H1901="","",IF('FUENTE NO BORRAR'!$A1901&lt;&gt;"Resultado total",('FUENTE NO BORRAR'!H1901),""))</f>
        <v>696</v>
      </c>
      <c r="I1883" s="6">
        <f>IF('FUENTE NO BORRAR'!I1901="","",IF('FUENTE NO BORRAR'!$A1901&lt;&gt;"Resultado total",('FUENTE NO BORRAR'!I1901),""))</f>
        <v>0</v>
      </c>
    </row>
    <row r="1884" spans="1:9" x14ac:dyDescent="0.2">
      <c r="A1884" s="5" t="str">
        <f>IF('FUENTE NO BORRAR'!A1902="","",(IF('FUENTE NO BORRAR'!A1902&lt;&gt;"Resultado total",'FUENTE NO BORRAR'!A1902,"")))</f>
        <v/>
      </c>
      <c r="B1884" s="5" t="str">
        <f>IF('FUENTE NO BORRAR'!B1902="","",'FUENTE NO BORRAR'!B1902)</f>
        <v/>
      </c>
      <c r="C1884" s="5" t="str">
        <f>IF('FUENTE NO BORRAR'!C1902="","",'FUENTE NO BORRAR'!C1902)</f>
        <v/>
      </c>
      <c r="D1884" s="5" t="str">
        <f>IF('FUENTE NO BORRAR'!D1902="","",'FUENTE NO BORRAR'!D1902)</f>
        <v/>
      </c>
      <c r="E1884" s="5" t="str">
        <f>IF('FUENTE NO BORRAR'!E1902="","",'FUENTE NO BORRAR'!E1902)</f>
        <v/>
      </c>
      <c r="F1884" s="6">
        <f>IF('FUENTE NO BORRAR'!F1902="","",IF('FUENTE NO BORRAR'!$A1902&lt;&gt;"Resultado total",('FUENTE NO BORRAR'!F1902),""))</f>
        <v>22547.47</v>
      </c>
      <c r="G1884" s="6">
        <f>IF('FUENTE NO BORRAR'!G1902="","",IF('FUENTE NO BORRAR'!$A1902&lt;&gt;"Resultado total",('FUENTE NO BORRAR'!G1902),""))</f>
        <v>22547.47</v>
      </c>
      <c r="H1884" s="6">
        <f>IF('FUENTE NO BORRAR'!H1902="","",IF('FUENTE NO BORRAR'!$A1902&lt;&gt;"Resultado total",('FUENTE NO BORRAR'!H1902),""))</f>
        <v>8386.2199999999993</v>
      </c>
      <c r="I1884" s="6">
        <f>IF('FUENTE NO BORRAR'!I1902="","",IF('FUENTE NO BORRAR'!$A1902&lt;&gt;"Resultado total",('FUENTE NO BORRAR'!I1902),""))</f>
        <v>0</v>
      </c>
    </row>
    <row r="1885" spans="1:9" x14ac:dyDescent="0.2">
      <c r="A1885" s="5" t="str">
        <f>IF('FUENTE NO BORRAR'!A1903="","",(IF('FUENTE NO BORRAR'!A1903&lt;&gt;"Resultado total",'FUENTE NO BORRAR'!A1903,"")))</f>
        <v/>
      </c>
      <c r="B1885" s="5" t="str">
        <f>IF('FUENTE NO BORRAR'!B1903="","",'FUENTE NO BORRAR'!B1903)</f>
        <v/>
      </c>
      <c r="C1885" s="5" t="str">
        <f>IF('FUENTE NO BORRAR'!C1903="","",'FUENTE NO BORRAR'!C1903)</f>
        <v/>
      </c>
      <c r="D1885" s="5" t="str">
        <f>IF('FUENTE NO BORRAR'!D1903="","",'FUENTE NO BORRAR'!D1903)</f>
        <v/>
      </c>
      <c r="E1885" s="5" t="str">
        <f>IF('FUENTE NO BORRAR'!E1903="","",'FUENTE NO BORRAR'!E1903)</f>
        <v/>
      </c>
      <c r="F1885" s="6">
        <f>IF('FUENTE NO BORRAR'!F1903="","",IF('FUENTE NO BORRAR'!$A1903&lt;&gt;"Resultado total",('FUENTE NO BORRAR'!F1903),""))</f>
        <v>5800</v>
      </c>
      <c r="G1885" s="6">
        <f>IF('FUENTE NO BORRAR'!G1903="","",IF('FUENTE NO BORRAR'!$A1903&lt;&gt;"Resultado total",('FUENTE NO BORRAR'!G1903),""))</f>
        <v>5800</v>
      </c>
      <c r="H1885" s="6">
        <f>IF('FUENTE NO BORRAR'!H1903="","",IF('FUENTE NO BORRAR'!$A1903&lt;&gt;"Resultado total",('FUENTE NO BORRAR'!H1903),""))</f>
        <v>0</v>
      </c>
      <c r="I1885" s="6">
        <f>IF('FUENTE NO BORRAR'!I1903="","",IF('FUENTE NO BORRAR'!$A1903&lt;&gt;"Resultado total",('FUENTE NO BORRAR'!I1903),""))</f>
        <v>0</v>
      </c>
    </row>
    <row r="1886" spans="1:9" x14ac:dyDescent="0.2">
      <c r="A1886" s="5" t="str">
        <f>IF('FUENTE NO BORRAR'!A1904="","",(IF('FUENTE NO BORRAR'!A1904&lt;&gt;"Resultado total",'FUENTE NO BORRAR'!A1904,"")))</f>
        <v/>
      </c>
      <c r="B1886" s="5" t="str">
        <f>IF('FUENTE NO BORRAR'!B1904="","",'FUENTE NO BORRAR'!B1904)</f>
        <v/>
      </c>
      <c r="C1886" s="5" t="str">
        <f>IF('FUENTE NO BORRAR'!C1904="","",'FUENTE NO BORRAR'!C1904)</f>
        <v/>
      </c>
      <c r="D1886" s="5" t="str">
        <f>IF('FUENTE NO BORRAR'!D1904="","",'FUENTE NO BORRAR'!D1904)</f>
        <v/>
      </c>
      <c r="E1886" s="5" t="str">
        <f>IF('FUENTE NO BORRAR'!E1904="","",'FUENTE NO BORRAR'!E1904)</f>
        <v/>
      </c>
      <c r="F1886" s="6">
        <f>IF('FUENTE NO BORRAR'!F1904="","",IF('FUENTE NO BORRAR'!$A1904&lt;&gt;"Resultado total",('FUENTE NO BORRAR'!F1904),""))</f>
        <v>12307.6</v>
      </c>
      <c r="G1886" s="6">
        <f>IF('FUENTE NO BORRAR'!G1904="","",IF('FUENTE NO BORRAR'!$A1904&lt;&gt;"Resultado total",('FUENTE NO BORRAR'!G1904),""))</f>
        <v>12307.6</v>
      </c>
      <c r="H1886" s="6">
        <f>IF('FUENTE NO BORRAR'!H1904="","",IF('FUENTE NO BORRAR'!$A1904&lt;&gt;"Resultado total",('FUENTE NO BORRAR'!H1904),""))</f>
        <v>0</v>
      </c>
      <c r="I1886" s="6">
        <f>IF('FUENTE NO BORRAR'!I1904="","",IF('FUENTE NO BORRAR'!$A1904&lt;&gt;"Resultado total",('FUENTE NO BORRAR'!I1904),""))</f>
        <v>0</v>
      </c>
    </row>
    <row r="1887" spans="1:9" x14ac:dyDescent="0.2">
      <c r="A1887" s="5" t="str">
        <f>IF('FUENTE NO BORRAR'!A1905="","",(IF('FUENTE NO BORRAR'!A1905&lt;&gt;"Resultado total",'FUENTE NO BORRAR'!A1905,"")))</f>
        <v/>
      </c>
      <c r="B1887" s="5" t="str">
        <f>IF('FUENTE NO BORRAR'!B1905="","",'FUENTE NO BORRAR'!B1905)</f>
        <v/>
      </c>
      <c r="C1887" s="5" t="str">
        <f>IF('FUENTE NO BORRAR'!C1905="","",'FUENTE NO BORRAR'!C1905)</f>
        <v/>
      </c>
      <c r="D1887" s="5" t="str">
        <f>IF('FUENTE NO BORRAR'!D1905="","",'FUENTE NO BORRAR'!D1905)</f>
        <v/>
      </c>
      <c r="E1887" s="5" t="str">
        <f>IF('FUENTE NO BORRAR'!E1905="","",'FUENTE NO BORRAR'!E1905)</f>
        <v/>
      </c>
      <c r="F1887" s="6">
        <f>IF('FUENTE NO BORRAR'!F1905="","",IF('FUENTE NO BORRAR'!$A1905&lt;&gt;"Resultado total",('FUENTE NO BORRAR'!F1905),""))</f>
        <v>1091</v>
      </c>
      <c r="G1887" s="6">
        <f>IF('FUENTE NO BORRAR'!G1905="","",IF('FUENTE NO BORRAR'!$A1905&lt;&gt;"Resultado total",('FUENTE NO BORRAR'!G1905),""))</f>
        <v>1091</v>
      </c>
      <c r="H1887" s="6">
        <f>IF('FUENTE NO BORRAR'!H1905="","",IF('FUENTE NO BORRAR'!$A1905&lt;&gt;"Resultado total",('FUENTE NO BORRAR'!H1905),""))</f>
        <v>1091</v>
      </c>
      <c r="I1887" s="6">
        <f>IF('FUENTE NO BORRAR'!I1905="","",IF('FUENTE NO BORRAR'!$A1905&lt;&gt;"Resultado total",('FUENTE NO BORRAR'!I1905),""))</f>
        <v>0</v>
      </c>
    </row>
    <row r="1888" spans="1:9" x14ac:dyDescent="0.2">
      <c r="A1888" s="5" t="str">
        <f>IF('FUENTE NO BORRAR'!A1906="","",(IF('FUENTE NO BORRAR'!A1906&lt;&gt;"Resultado total",'FUENTE NO BORRAR'!A1906,"")))</f>
        <v/>
      </c>
      <c r="B1888" s="5" t="str">
        <f>IF('FUENTE NO BORRAR'!B1906="","",'FUENTE NO BORRAR'!B1906)</f>
        <v/>
      </c>
      <c r="C1888" s="5" t="str">
        <f>IF('FUENTE NO BORRAR'!C1906="","",'FUENTE NO BORRAR'!C1906)</f>
        <v/>
      </c>
      <c r="D1888" s="5" t="str">
        <f>IF('FUENTE NO BORRAR'!D1906="","",'FUENTE NO BORRAR'!D1906)</f>
        <v/>
      </c>
      <c r="E1888" s="5" t="str">
        <f>IF('FUENTE NO BORRAR'!E1906="","",'FUENTE NO BORRAR'!E1906)</f>
        <v/>
      </c>
      <c r="F1888" s="6">
        <f>IF('FUENTE NO BORRAR'!F1906="","",IF('FUENTE NO BORRAR'!$A1906&lt;&gt;"Resultado total",('FUENTE NO BORRAR'!F1906),""))</f>
        <v>1500</v>
      </c>
      <c r="G1888" s="6">
        <f>IF('FUENTE NO BORRAR'!G1906="","",IF('FUENTE NO BORRAR'!$A1906&lt;&gt;"Resultado total",('FUENTE NO BORRAR'!G1906),""))</f>
        <v>1500</v>
      </c>
      <c r="H1888" s="6">
        <f>IF('FUENTE NO BORRAR'!H1906="","",IF('FUENTE NO BORRAR'!$A1906&lt;&gt;"Resultado total",('FUENTE NO BORRAR'!H1906),""))</f>
        <v>0</v>
      </c>
      <c r="I1888" s="6">
        <f>IF('FUENTE NO BORRAR'!I1906="","",IF('FUENTE NO BORRAR'!$A1906&lt;&gt;"Resultado total",('FUENTE NO BORRAR'!I1906),""))</f>
        <v>0</v>
      </c>
    </row>
    <row r="1889" spans="1:9" x14ac:dyDescent="0.2">
      <c r="A1889" s="5" t="str">
        <f>IF('FUENTE NO BORRAR'!A1907="","",(IF('FUENTE NO BORRAR'!A1907&lt;&gt;"Resultado total",'FUENTE NO BORRAR'!A1907,"")))</f>
        <v/>
      </c>
      <c r="B1889" s="5" t="str">
        <f>IF('FUENTE NO BORRAR'!B1907="","",'FUENTE NO BORRAR'!B1907)</f>
        <v/>
      </c>
      <c r="C1889" s="5" t="str">
        <f>IF('FUENTE NO BORRAR'!C1907="","",'FUENTE NO BORRAR'!C1907)</f>
        <v/>
      </c>
      <c r="D1889" s="5" t="str">
        <f>IF('FUENTE NO BORRAR'!D1907="","",'FUENTE NO BORRAR'!D1907)</f>
        <v/>
      </c>
      <c r="E1889" s="5" t="str">
        <f>IF('FUENTE NO BORRAR'!E1907="","",'FUENTE NO BORRAR'!E1907)</f>
        <v/>
      </c>
      <c r="F1889" s="6">
        <f>IF('FUENTE NO BORRAR'!F1907="","",IF('FUENTE NO BORRAR'!$A1907&lt;&gt;"Resultado total",('FUENTE NO BORRAR'!F1907),""))</f>
        <v>12000</v>
      </c>
      <c r="G1889" s="6">
        <f>IF('FUENTE NO BORRAR'!G1907="","",IF('FUENTE NO BORRAR'!$A1907&lt;&gt;"Resultado total",('FUENTE NO BORRAR'!G1907),""))</f>
        <v>12000</v>
      </c>
      <c r="H1889" s="6">
        <f>IF('FUENTE NO BORRAR'!H1907="","",IF('FUENTE NO BORRAR'!$A1907&lt;&gt;"Resultado total",('FUENTE NO BORRAR'!H1907),""))</f>
        <v>0</v>
      </c>
      <c r="I1889" s="6">
        <f>IF('FUENTE NO BORRAR'!I1907="","",IF('FUENTE NO BORRAR'!$A1907&lt;&gt;"Resultado total",('FUENTE NO BORRAR'!I1907),""))</f>
        <v>0</v>
      </c>
    </row>
    <row r="1890" spans="1:9" x14ac:dyDescent="0.2">
      <c r="A1890" s="5" t="str">
        <f>IF('FUENTE NO BORRAR'!A1908="","",(IF('FUENTE NO BORRAR'!A1908&lt;&gt;"Resultado total",'FUENTE NO BORRAR'!A1908,"")))</f>
        <v/>
      </c>
      <c r="B1890" s="5" t="str">
        <f>IF('FUENTE NO BORRAR'!B1908="","",'FUENTE NO BORRAR'!B1908)</f>
        <v/>
      </c>
      <c r="C1890" s="5" t="str">
        <f>IF('FUENTE NO BORRAR'!C1908="","",'FUENTE NO BORRAR'!C1908)</f>
        <v/>
      </c>
      <c r="D1890" s="5" t="str">
        <f>IF('FUENTE NO BORRAR'!D1908="","",'FUENTE NO BORRAR'!D1908)</f>
        <v/>
      </c>
      <c r="E1890" s="5" t="str">
        <f>IF('FUENTE NO BORRAR'!E1908="","",'FUENTE NO BORRAR'!E1908)</f>
        <v/>
      </c>
      <c r="F1890" s="6">
        <f>IF('FUENTE NO BORRAR'!F1908="","",IF('FUENTE NO BORRAR'!$A1908&lt;&gt;"Resultado total",('FUENTE NO BORRAR'!F1908),""))</f>
        <v>44013</v>
      </c>
      <c r="G1890" s="6">
        <f>IF('FUENTE NO BORRAR'!G1908="","",IF('FUENTE NO BORRAR'!$A1908&lt;&gt;"Resultado total",('FUENTE NO BORRAR'!G1908),""))</f>
        <v>44013</v>
      </c>
      <c r="H1890" s="6">
        <f>IF('FUENTE NO BORRAR'!H1908="","",IF('FUENTE NO BORRAR'!$A1908&lt;&gt;"Resultado total",('FUENTE NO BORRAR'!H1908),""))</f>
        <v>0</v>
      </c>
      <c r="I1890" s="6">
        <f>IF('FUENTE NO BORRAR'!I1908="","",IF('FUENTE NO BORRAR'!$A1908&lt;&gt;"Resultado total",('FUENTE NO BORRAR'!I1908),""))</f>
        <v>0</v>
      </c>
    </row>
    <row r="1891" spans="1:9" x14ac:dyDescent="0.2">
      <c r="A1891" s="5" t="str">
        <f>IF('FUENTE NO BORRAR'!A1909="","",(IF('FUENTE NO BORRAR'!A1909&lt;&gt;"Resultado total",'FUENTE NO BORRAR'!A1909,"")))</f>
        <v/>
      </c>
      <c r="B1891" s="5" t="str">
        <f>IF('FUENTE NO BORRAR'!B1909="","",'FUENTE NO BORRAR'!B1909)</f>
        <v/>
      </c>
      <c r="C1891" s="5" t="str">
        <f>IF('FUENTE NO BORRAR'!C1909="","",'FUENTE NO BORRAR'!C1909)</f>
        <v/>
      </c>
      <c r="D1891" s="5" t="str">
        <f>IF('FUENTE NO BORRAR'!D1909="","",'FUENTE NO BORRAR'!D1909)</f>
        <v/>
      </c>
      <c r="E1891" s="5" t="str">
        <f>IF('FUENTE NO BORRAR'!E1909="","",'FUENTE NO BORRAR'!E1909)</f>
        <v/>
      </c>
      <c r="F1891" s="6">
        <f>IF('FUENTE NO BORRAR'!F1909="","",IF('FUENTE NO BORRAR'!$A1909&lt;&gt;"Resultado total",('FUENTE NO BORRAR'!F1909),""))</f>
        <v>4000</v>
      </c>
      <c r="G1891" s="6">
        <f>IF('FUENTE NO BORRAR'!G1909="","",IF('FUENTE NO BORRAR'!$A1909&lt;&gt;"Resultado total",('FUENTE NO BORRAR'!G1909),""))</f>
        <v>4000</v>
      </c>
      <c r="H1891" s="6">
        <f>IF('FUENTE NO BORRAR'!H1909="","",IF('FUENTE NO BORRAR'!$A1909&lt;&gt;"Resultado total",('FUENTE NO BORRAR'!H1909),""))</f>
        <v>0</v>
      </c>
      <c r="I1891" s="6">
        <f>IF('FUENTE NO BORRAR'!I1909="","",IF('FUENTE NO BORRAR'!$A1909&lt;&gt;"Resultado total",('FUENTE NO BORRAR'!I1909),""))</f>
        <v>0</v>
      </c>
    </row>
    <row r="1892" spans="1:9" x14ac:dyDescent="0.2">
      <c r="A1892" s="5" t="str">
        <f>IF('FUENTE NO BORRAR'!A1910="","",(IF('FUENTE NO BORRAR'!A1910&lt;&gt;"Resultado total",'FUENTE NO BORRAR'!A1910,"")))</f>
        <v/>
      </c>
      <c r="B1892" s="5" t="str">
        <f>IF('FUENTE NO BORRAR'!B1910="","",'FUENTE NO BORRAR'!B1910)</f>
        <v/>
      </c>
      <c r="C1892" s="5" t="str">
        <f>IF('FUENTE NO BORRAR'!C1910="","",'FUENTE NO BORRAR'!C1910)</f>
        <v/>
      </c>
      <c r="D1892" s="5" t="str">
        <f>IF('FUENTE NO BORRAR'!D1910="","",'FUENTE NO BORRAR'!D1910)</f>
        <v/>
      </c>
      <c r="E1892" s="5" t="str">
        <f>IF('FUENTE NO BORRAR'!E1910="","",'FUENTE NO BORRAR'!E1910)</f>
        <v/>
      </c>
      <c r="F1892" s="6">
        <f>IF('FUENTE NO BORRAR'!F1910="","",IF('FUENTE NO BORRAR'!$A1910&lt;&gt;"Resultado total",('FUENTE NO BORRAR'!F1910),""))</f>
        <v>26159</v>
      </c>
      <c r="G1892" s="6">
        <f>IF('FUENTE NO BORRAR'!G1910="","",IF('FUENTE NO BORRAR'!$A1910&lt;&gt;"Resultado total",('FUENTE NO BORRAR'!G1910),""))</f>
        <v>26159</v>
      </c>
      <c r="H1892" s="6">
        <f>IF('FUENTE NO BORRAR'!H1910="","",IF('FUENTE NO BORRAR'!$A1910&lt;&gt;"Resultado total",('FUENTE NO BORRAR'!H1910),""))</f>
        <v>0</v>
      </c>
      <c r="I1892" s="6">
        <f>IF('FUENTE NO BORRAR'!I1910="","",IF('FUENTE NO BORRAR'!$A1910&lt;&gt;"Resultado total",('FUENTE NO BORRAR'!I1910),""))</f>
        <v>0</v>
      </c>
    </row>
    <row r="1893" spans="1:9" x14ac:dyDescent="0.2">
      <c r="A1893" s="5" t="str">
        <f>IF('FUENTE NO BORRAR'!A1911="","",(IF('FUENTE NO BORRAR'!A1911&lt;&gt;"Resultado total",'FUENTE NO BORRAR'!A1911,"")))</f>
        <v/>
      </c>
      <c r="B1893" s="5" t="str">
        <f>IF('FUENTE NO BORRAR'!B1911="","",'FUENTE NO BORRAR'!B1911)</f>
        <v/>
      </c>
      <c r="C1893" s="5" t="str">
        <f>IF('FUENTE NO BORRAR'!C1911="","",'FUENTE NO BORRAR'!C1911)</f>
        <v>31013021E301</v>
      </c>
      <c r="D1893" s="5" t="str">
        <f>IF('FUENTE NO BORRAR'!D1911="","",'FUENTE NO BORRAR'!D1911)</f>
        <v>31013021E301</v>
      </c>
      <c r="E1893" s="5" t="str">
        <f>IF('FUENTE NO BORRAR'!E1911="","",'FUENTE NO BORRAR'!E1911)</f>
        <v/>
      </c>
      <c r="F1893" s="6">
        <f>IF('FUENTE NO BORRAR'!F1911="","",IF('FUENTE NO BORRAR'!$A1911&lt;&gt;"Resultado total",('FUENTE NO BORRAR'!F1911),""))</f>
        <v>103462.66</v>
      </c>
      <c r="G1893" s="6">
        <f>IF('FUENTE NO BORRAR'!G1911="","",IF('FUENTE NO BORRAR'!$A1911&lt;&gt;"Resultado total",('FUENTE NO BORRAR'!G1911),""))</f>
        <v>103462.66</v>
      </c>
      <c r="H1893" s="6">
        <f>IF('FUENTE NO BORRAR'!H1911="","",IF('FUENTE NO BORRAR'!$A1911&lt;&gt;"Resultado total",('FUENTE NO BORRAR'!H1911),""))</f>
        <v>103462.66</v>
      </c>
      <c r="I1893" s="6">
        <f>IF('FUENTE NO BORRAR'!I1911="","",IF('FUENTE NO BORRAR'!$A1911&lt;&gt;"Resultado total",('FUENTE NO BORRAR'!I1911),""))</f>
        <v>0</v>
      </c>
    </row>
    <row r="1894" spans="1:9" x14ac:dyDescent="0.2">
      <c r="A1894" s="5" t="str">
        <f>IF('FUENTE NO BORRAR'!A1912="","",(IF('FUENTE NO BORRAR'!A1912&lt;&gt;"Resultado total",'FUENTE NO BORRAR'!A1912,"")))</f>
        <v/>
      </c>
      <c r="B1894" s="5" t="str">
        <f>IF('FUENTE NO BORRAR'!B1912="","",'FUENTE NO BORRAR'!B1912)</f>
        <v/>
      </c>
      <c r="C1894" s="5" t="str">
        <f>IF('FUENTE NO BORRAR'!C1912="","",'FUENTE NO BORRAR'!C1912)</f>
        <v/>
      </c>
      <c r="D1894" s="5" t="str">
        <f>IF('FUENTE NO BORRAR'!D1912="","",'FUENTE NO BORRAR'!D1912)</f>
        <v/>
      </c>
      <c r="E1894" s="5" t="str">
        <f>IF('FUENTE NO BORRAR'!E1912="","",'FUENTE NO BORRAR'!E1912)</f>
        <v/>
      </c>
      <c r="F1894" s="6">
        <f>IF('FUENTE NO BORRAR'!F1912="","",IF('FUENTE NO BORRAR'!$A1912&lt;&gt;"Resultado total",('FUENTE NO BORRAR'!F1912),""))</f>
        <v>3623.7</v>
      </c>
      <c r="G1894" s="6">
        <f>IF('FUENTE NO BORRAR'!G1912="","",IF('FUENTE NO BORRAR'!$A1912&lt;&gt;"Resultado total",('FUENTE NO BORRAR'!G1912),""))</f>
        <v>3623.7</v>
      </c>
      <c r="H1894" s="6">
        <f>IF('FUENTE NO BORRAR'!H1912="","",IF('FUENTE NO BORRAR'!$A1912&lt;&gt;"Resultado total",('FUENTE NO BORRAR'!H1912),""))</f>
        <v>3623.7</v>
      </c>
      <c r="I1894" s="6">
        <f>IF('FUENTE NO BORRAR'!I1912="","",IF('FUENTE NO BORRAR'!$A1912&lt;&gt;"Resultado total",('FUENTE NO BORRAR'!I1912),""))</f>
        <v>0</v>
      </c>
    </row>
    <row r="1895" spans="1:9" x14ac:dyDescent="0.2">
      <c r="A1895" s="5" t="str">
        <f>IF('FUENTE NO BORRAR'!A1913="","",(IF('FUENTE NO BORRAR'!A1913&lt;&gt;"Resultado total",'FUENTE NO BORRAR'!A1913,"")))</f>
        <v/>
      </c>
      <c r="B1895" s="5" t="str">
        <f>IF('FUENTE NO BORRAR'!B1913="","",'FUENTE NO BORRAR'!B1913)</f>
        <v/>
      </c>
      <c r="C1895" s="5" t="str">
        <f>IF('FUENTE NO BORRAR'!C1913="","",'FUENTE NO BORRAR'!C1913)</f>
        <v/>
      </c>
      <c r="D1895" s="5" t="str">
        <f>IF('FUENTE NO BORRAR'!D1913="","",'FUENTE NO BORRAR'!D1913)</f>
        <v/>
      </c>
      <c r="E1895" s="5" t="str">
        <f>IF('FUENTE NO BORRAR'!E1913="","",'FUENTE NO BORRAR'!E1913)</f>
        <v/>
      </c>
      <c r="F1895" s="6">
        <f>IF('FUENTE NO BORRAR'!F1913="","",IF('FUENTE NO BORRAR'!$A1913&lt;&gt;"Resultado total",('FUENTE NO BORRAR'!F1913),""))</f>
        <v>43494.16</v>
      </c>
      <c r="G1895" s="6">
        <f>IF('FUENTE NO BORRAR'!G1913="","",IF('FUENTE NO BORRAR'!$A1913&lt;&gt;"Resultado total",('FUENTE NO BORRAR'!G1913),""))</f>
        <v>43494.16</v>
      </c>
      <c r="H1895" s="6">
        <f>IF('FUENTE NO BORRAR'!H1913="","",IF('FUENTE NO BORRAR'!$A1913&lt;&gt;"Resultado total",('FUENTE NO BORRAR'!H1913),""))</f>
        <v>43494.16</v>
      </c>
      <c r="I1895" s="6">
        <f>IF('FUENTE NO BORRAR'!I1913="","",IF('FUENTE NO BORRAR'!$A1913&lt;&gt;"Resultado total",('FUENTE NO BORRAR'!I1913),""))</f>
        <v>0</v>
      </c>
    </row>
    <row r="1896" spans="1:9" x14ac:dyDescent="0.2">
      <c r="A1896" s="5" t="str">
        <f>IF('FUENTE NO BORRAR'!A1914="","",(IF('FUENTE NO BORRAR'!A1914&lt;&gt;"Resultado total",'FUENTE NO BORRAR'!A1914,"")))</f>
        <v/>
      </c>
      <c r="B1896" s="5" t="str">
        <f>IF('FUENTE NO BORRAR'!B1914="","",'FUENTE NO BORRAR'!B1914)</f>
        <v/>
      </c>
      <c r="C1896" s="5" t="str">
        <f>IF('FUENTE NO BORRAR'!C1914="","",'FUENTE NO BORRAR'!C1914)</f>
        <v/>
      </c>
      <c r="D1896" s="5" t="str">
        <f>IF('FUENTE NO BORRAR'!D1914="","",'FUENTE NO BORRAR'!D1914)</f>
        <v/>
      </c>
      <c r="E1896" s="5" t="str">
        <f>IF('FUENTE NO BORRAR'!E1914="","",'FUENTE NO BORRAR'!E1914)</f>
        <v/>
      </c>
      <c r="F1896" s="6">
        <f>IF('FUENTE NO BORRAR'!F1914="","",IF('FUENTE NO BORRAR'!$A1914&lt;&gt;"Resultado total",('FUENTE NO BORRAR'!F1914),""))</f>
        <v>197284.57</v>
      </c>
      <c r="G1896" s="6">
        <f>IF('FUENTE NO BORRAR'!G1914="","",IF('FUENTE NO BORRAR'!$A1914&lt;&gt;"Resultado total",('FUENTE NO BORRAR'!G1914),""))</f>
        <v>197284.57</v>
      </c>
      <c r="H1896" s="6">
        <f>IF('FUENTE NO BORRAR'!H1914="","",IF('FUENTE NO BORRAR'!$A1914&lt;&gt;"Resultado total",('FUENTE NO BORRAR'!H1914),""))</f>
        <v>197284.57</v>
      </c>
      <c r="I1896" s="6">
        <f>IF('FUENTE NO BORRAR'!I1914="","",IF('FUENTE NO BORRAR'!$A1914&lt;&gt;"Resultado total",('FUENTE NO BORRAR'!I1914),""))</f>
        <v>0</v>
      </c>
    </row>
    <row r="1897" spans="1:9" x14ac:dyDescent="0.2">
      <c r="A1897" s="5" t="str">
        <f>IF('FUENTE NO BORRAR'!A1915="","",(IF('FUENTE NO BORRAR'!A1915&lt;&gt;"Resultado total",'FUENTE NO BORRAR'!A1915,"")))</f>
        <v/>
      </c>
      <c r="B1897" s="5" t="str">
        <f>IF('FUENTE NO BORRAR'!B1915="","",'FUENTE NO BORRAR'!B1915)</f>
        <v/>
      </c>
      <c r="C1897" s="5" t="str">
        <f>IF('FUENTE NO BORRAR'!C1915="","",'FUENTE NO BORRAR'!C1915)</f>
        <v/>
      </c>
      <c r="D1897" s="5" t="str">
        <f>IF('FUENTE NO BORRAR'!D1915="","",'FUENTE NO BORRAR'!D1915)</f>
        <v/>
      </c>
      <c r="E1897" s="5" t="str">
        <f>IF('FUENTE NO BORRAR'!E1915="","",'FUENTE NO BORRAR'!E1915)</f>
        <v/>
      </c>
      <c r="F1897" s="6">
        <f>IF('FUENTE NO BORRAR'!F1915="","",IF('FUENTE NO BORRAR'!$A1915&lt;&gt;"Resultado total",('FUENTE NO BORRAR'!F1915),""))</f>
        <v>16993.28</v>
      </c>
      <c r="G1897" s="6">
        <f>IF('FUENTE NO BORRAR'!G1915="","",IF('FUENTE NO BORRAR'!$A1915&lt;&gt;"Resultado total",('FUENTE NO BORRAR'!G1915),""))</f>
        <v>16993.28</v>
      </c>
      <c r="H1897" s="6">
        <f>IF('FUENTE NO BORRAR'!H1915="","",IF('FUENTE NO BORRAR'!$A1915&lt;&gt;"Resultado total",('FUENTE NO BORRAR'!H1915),""))</f>
        <v>16993.28</v>
      </c>
      <c r="I1897" s="6">
        <f>IF('FUENTE NO BORRAR'!I1915="","",IF('FUENTE NO BORRAR'!$A1915&lt;&gt;"Resultado total",('FUENTE NO BORRAR'!I1915),""))</f>
        <v>0</v>
      </c>
    </row>
    <row r="1898" spans="1:9" x14ac:dyDescent="0.2">
      <c r="A1898" s="5" t="str">
        <f>IF('FUENTE NO BORRAR'!A1916="","",(IF('FUENTE NO BORRAR'!A1916&lt;&gt;"Resultado total",'FUENTE NO BORRAR'!A1916,"")))</f>
        <v/>
      </c>
      <c r="B1898" s="5" t="str">
        <f>IF('FUENTE NO BORRAR'!B1916="","",'FUENTE NO BORRAR'!B1916)</f>
        <v/>
      </c>
      <c r="C1898" s="5" t="str">
        <f>IF('FUENTE NO BORRAR'!C1916="","",'FUENTE NO BORRAR'!C1916)</f>
        <v/>
      </c>
      <c r="D1898" s="5" t="str">
        <f>IF('FUENTE NO BORRAR'!D1916="","",'FUENTE NO BORRAR'!D1916)</f>
        <v/>
      </c>
      <c r="E1898" s="5" t="str">
        <f>IF('FUENTE NO BORRAR'!E1916="","",'FUENTE NO BORRAR'!E1916)</f>
        <v/>
      </c>
      <c r="F1898" s="6">
        <f>IF('FUENTE NO BORRAR'!F1916="","",IF('FUENTE NO BORRAR'!$A1916&lt;&gt;"Resultado total",('FUENTE NO BORRAR'!F1916),""))</f>
        <v>4380.96</v>
      </c>
      <c r="G1898" s="6">
        <f>IF('FUENTE NO BORRAR'!G1916="","",IF('FUENTE NO BORRAR'!$A1916&lt;&gt;"Resultado total",('FUENTE NO BORRAR'!G1916),""))</f>
        <v>4380.96</v>
      </c>
      <c r="H1898" s="6">
        <f>IF('FUENTE NO BORRAR'!H1916="","",IF('FUENTE NO BORRAR'!$A1916&lt;&gt;"Resultado total",('FUENTE NO BORRAR'!H1916),""))</f>
        <v>4380.96</v>
      </c>
      <c r="I1898" s="6">
        <f>IF('FUENTE NO BORRAR'!I1916="","",IF('FUENTE NO BORRAR'!$A1916&lt;&gt;"Resultado total",('FUENTE NO BORRAR'!I1916),""))</f>
        <v>0</v>
      </c>
    </row>
    <row r="1899" spans="1:9" x14ac:dyDescent="0.2">
      <c r="A1899" s="5" t="str">
        <f>IF('FUENTE NO BORRAR'!A1917="","",(IF('FUENTE NO BORRAR'!A1917&lt;&gt;"Resultado total",'FUENTE NO BORRAR'!A1917,"")))</f>
        <v/>
      </c>
      <c r="B1899" s="5" t="str">
        <f>IF('FUENTE NO BORRAR'!B1917="","",'FUENTE NO BORRAR'!B1917)</f>
        <v/>
      </c>
      <c r="C1899" s="5" t="str">
        <f>IF('FUENTE NO BORRAR'!C1917="","",'FUENTE NO BORRAR'!C1917)</f>
        <v/>
      </c>
      <c r="D1899" s="5" t="str">
        <f>IF('FUENTE NO BORRAR'!D1917="","",'FUENTE NO BORRAR'!D1917)</f>
        <v/>
      </c>
      <c r="E1899" s="5" t="str">
        <f>IF('FUENTE NO BORRAR'!E1917="","",'FUENTE NO BORRAR'!E1917)</f>
        <v/>
      </c>
      <c r="F1899" s="6">
        <f>IF('FUENTE NO BORRAR'!F1917="","",IF('FUENTE NO BORRAR'!$A1917&lt;&gt;"Resultado total",('FUENTE NO BORRAR'!F1917),""))</f>
        <v>2049.5700000000002</v>
      </c>
      <c r="G1899" s="6">
        <f>IF('FUENTE NO BORRAR'!G1917="","",IF('FUENTE NO BORRAR'!$A1917&lt;&gt;"Resultado total",('FUENTE NO BORRAR'!G1917),""))</f>
        <v>2049.5700000000002</v>
      </c>
      <c r="H1899" s="6">
        <f>IF('FUENTE NO BORRAR'!H1917="","",IF('FUENTE NO BORRAR'!$A1917&lt;&gt;"Resultado total",('FUENTE NO BORRAR'!H1917),""))</f>
        <v>2049.5700000000002</v>
      </c>
      <c r="I1899" s="6">
        <f>IF('FUENTE NO BORRAR'!I1917="","",IF('FUENTE NO BORRAR'!$A1917&lt;&gt;"Resultado total",('FUENTE NO BORRAR'!I1917),""))</f>
        <v>0</v>
      </c>
    </row>
    <row r="1900" spans="1:9" x14ac:dyDescent="0.2">
      <c r="A1900" s="5" t="str">
        <f>IF('FUENTE NO BORRAR'!A1918="","",(IF('FUENTE NO BORRAR'!A1918&lt;&gt;"Resultado total",'FUENTE NO BORRAR'!A1918,"")))</f>
        <v/>
      </c>
      <c r="B1900" s="5" t="str">
        <f>IF('FUENTE NO BORRAR'!B1918="","",'FUENTE NO BORRAR'!B1918)</f>
        <v/>
      </c>
      <c r="C1900" s="5" t="str">
        <f>IF('FUENTE NO BORRAR'!C1918="","",'FUENTE NO BORRAR'!C1918)</f>
        <v/>
      </c>
      <c r="D1900" s="5" t="str">
        <f>IF('FUENTE NO BORRAR'!D1918="","",'FUENTE NO BORRAR'!D1918)</f>
        <v/>
      </c>
      <c r="E1900" s="5" t="str">
        <f>IF('FUENTE NO BORRAR'!E1918="","",'FUENTE NO BORRAR'!E1918)</f>
        <v/>
      </c>
      <c r="F1900" s="6">
        <f>IF('FUENTE NO BORRAR'!F1918="","",IF('FUENTE NO BORRAR'!$A1918&lt;&gt;"Resultado total",('FUENTE NO BORRAR'!F1918),""))</f>
        <v>12416.88</v>
      </c>
      <c r="G1900" s="6">
        <f>IF('FUENTE NO BORRAR'!G1918="","",IF('FUENTE NO BORRAR'!$A1918&lt;&gt;"Resultado total",('FUENTE NO BORRAR'!G1918),""))</f>
        <v>12416.88</v>
      </c>
      <c r="H1900" s="6">
        <f>IF('FUENTE NO BORRAR'!H1918="","",IF('FUENTE NO BORRAR'!$A1918&lt;&gt;"Resultado total",('FUENTE NO BORRAR'!H1918),""))</f>
        <v>12416.88</v>
      </c>
      <c r="I1900" s="6">
        <f>IF('FUENTE NO BORRAR'!I1918="","",IF('FUENTE NO BORRAR'!$A1918&lt;&gt;"Resultado total",('FUENTE NO BORRAR'!I1918),""))</f>
        <v>0</v>
      </c>
    </row>
    <row r="1901" spans="1:9" x14ac:dyDescent="0.2">
      <c r="A1901" s="5" t="str">
        <f>IF('FUENTE NO BORRAR'!A1919="","",(IF('FUENTE NO BORRAR'!A1919&lt;&gt;"Resultado total",'FUENTE NO BORRAR'!A1919,"")))</f>
        <v/>
      </c>
      <c r="B1901" s="5" t="str">
        <f>IF('FUENTE NO BORRAR'!B1919="","",'FUENTE NO BORRAR'!B1919)</f>
        <v/>
      </c>
      <c r="C1901" s="5" t="str">
        <f>IF('FUENTE NO BORRAR'!C1919="","",'FUENTE NO BORRAR'!C1919)</f>
        <v/>
      </c>
      <c r="D1901" s="5" t="str">
        <f>IF('FUENTE NO BORRAR'!D1919="","",'FUENTE NO BORRAR'!D1919)</f>
        <v/>
      </c>
      <c r="E1901" s="5" t="str">
        <f>IF('FUENTE NO BORRAR'!E1919="","",'FUENTE NO BORRAR'!E1919)</f>
        <v/>
      </c>
      <c r="F1901" s="6">
        <f>IF('FUENTE NO BORRAR'!F1919="","",IF('FUENTE NO BORRAR'!$A1919&lt;&gt;"Resultado total",('FUENTE NO BORRAR'!F1919),""))</f>
        <v>23754.83</v>
      </c>
      <c r="G1901" s="6">
        <f>IF('FUENTE NO BORRAR'!G1919="","",IF('FUENTE NO BORRAR'!$A1919&lt;&gt;"Resultado total",('FUENTE NO BORRAR'!G1919),""))</f>
        <v>23754.83</v>
      </c>
      <c r="H1901" s="6">
        <f>IF('FUENTE NO BORRAR'!H1919="","",IF('FUENTE NO BORRAR'!$A1919&lt;&gt;"Resultado total",('FUENTE NO BORRAR'!H1919),""))</f>
        <v>23754.83</v>
      </c>
      <c r="I1901" s="6">
        <f>IF('FUENTE NO BORRAR'!I1919="","",IF('FUENTE NO BORRAR'!$A1919&lt;&gt;"Resultado total",('FUENTE NO BORRAR'!I1919),""))</f>
        <v>0</v>
      </c>
    </row>
    <row r="1902" spans="1:9" x14ac:dyDescent="0.2">
      <c r="A1902" s="5" t="str">
        <f>IF('FUENTE NO BORRAR'!A1920="","",(IF('FUENTE NO BORRAR'!A1920&lt;&gt;"Resultado total",'FUENTE NO BORRAR'!A1920,"")))</f>
        <v/>
      </c>
      <c r="B1902" s="5" t="str">
        <f>IF('FUENTE NO BORRAR'!B1920="","",'FUENTE NO BORRAR'!B1920)</f>
        <v/>
      </c>
      <c r="C1902" s="5" t="str">
        <f>IF('FUENTE NO BORRAR'!C1920="","",'FUENTE NO BORRAR'!C1920)</f>
        <v/>
      </c>
      <c r="D1902" s="5" t="str">
        <f>IF('FUENTE NO BORRAR'!D1920="","",'FUENTE NO BORRAR'!D1920)</f>
        <v/>
      </c>
      <c r="E1902" s="5" t="str">
        <f>IF('FUENTE NO BORRAR'!E1920="","",'FUENTE NO BORRAR'!E1920)</f>
        <v/>
      </c>
      <c r="F1902" s="6">
        <f>IF('FUENTE NO BORRAR'!F1920="","",IF('FUENTE NO BORRAR'!$A1920&lt;&gt;"Resultado total",('FUENTE NO BORRAR'!F1920),""))</f>
        <v>2127.25</v>
      </c>
      <c r="G1902" s="6">
        <f>IF('FUENTE NO BORRAR'!G1920="","",IF('FUENTE NO BORRAR'!$A1920&lt;&gt;"Resultado total",('FUENTE NO BORRAR'!G1920),""))</f>
        <v>2127.25</v>
      </c>
      <c r="H1902" s="6">
        <f>IF('FUENTE NO BORRAR'!H1920="","",IF('FUENTE NO BORRAR'!$A1920&lt;&gt;"Resultado total",('FUENTE NO BORRAR'!H1920),""))</f>
        <v>2127.25</v>
      </c>
      <c r="I1902" s="6">
        <f>IF('FUENTE NO BORRAR'!I1920="","",IF('FUENTE NO BORRAR'!$A1920&lt;&gt;"Resultado total",('FUENTE NO BORRAR'!I1920),""))</f>
        <v>0</v>
      </c>
    </row>
    <row r="1903" spans="1:9" x14ac:dyDescent="0.2">
      <c r="A1903" s="5" t="str">
        <f>IF('FUENTE NO BORRAR'!A1921="","",(IF('FUENTE NO BORRAR'!A1921&lt;&gt;"Resultado total",'FUENTE NO BORRAR'!A1921,"")))</f>
        <v/>
      </c>
      <c r="B1903" s="5" t="str">
        <f>IF('FUENTE NO BORRAR'!B1921="","",'FUENTE NO BORRAR'!B1921)</f>
        <v/>
      </c>
      <c r="C1903" s="5" t="str">
        <f>IF('FUENTE NO BORRAR'!C1921="","",'FUENTE NO BORRAR'!C1921)</f>
        <v/>
      </c>
      <c r="D1903" s="5" t="str">
        <f>IF('FUENTE NO BORRAR'!D1921="","",'FUENTE NO BORRAR'!D1921)</f>
        <v/>
      </c>
      <c r="E1903" s="5" t="str">
        <f>IF('FUENTE NO BORRAR'!E1921="","",'FUENTE NO BORRAR'!E1921)</f>
        <v/>
      </c>
      <c r="F1903" s="6">
        <f>IF('FUENTE NO BORRAR'!F1921="","",IF('FUENTE NO BORRAR'!$A1921&lt;&gt;"Resultado total",('FUENTE NO BORRAR'!F1921),""))</f>
        <v>733.12</v>
      </c>
      <c r="G1903" s="6">
        <f>IF('FUENTE NO BORRAR'!G1921="","",IF('FUENTE NO BORRAR'!$A1921&lt;&gt;"Resultado total",('FUENTE NO BORRAR'!G1921),""))</f>
        <v>733.12</v>
      </c>
      <c r="H1903" s="6">
        <f>IF('FUENTE NO BORRAR'!H1921="","",IF('FUENTE NO BORRAR'!$A1921&lt;&gt;"Resultado total",('FUENTE NO BORRAR'!H1921),""))</f>
        <v>733.12</v>
      </c>
      <c r="I1903" s="6">
        <f>IF('FUENTE NO BORRAR'!I1921="","",IF('FUENTE NO BORRAR'!$A1921&lt;&gt;"Resultado total",('FUENTE NO BORRAR'!I1921),""))</f>
        <v>0</v>
      </c>
    </row>
    <row r="1904" spans="1:9" x14ac:dyDescent="0.2">
      <c r="A1904" s="5" t="str">
        <f>IF('FUENTE NO BORRAR'!A1922="","",(IF('FUENTE NO BORRAR'!A1922&lt;&gt;"Resultado total",'FUENTE NO BORRAR'!A1922,"")))</f>
        <v/>
      </c>
      <c r="B1904" s="5" t="str">
        <f>IF('FUENTE NO BORRAR'!B1922="","",'FUENTE NO BORRAR'!B1922)</f>
        <v/>
      </c>
      <c r="C1904" s="5" t="str">
        <f>IF('FUENTE NO BORRAR'!C1922="","",'FUENTE NO BORRAR'!C1922)</f>
        <v/>
      </c>
      <c r="D1904" s="5" t="str">
        <f>IF('FUENTE NO BORRAR'!D1922="","",'FUENTE NO BORRAR'!D1922)</f>
        <v/>
      </c>
      <c r="E1904" s="5" t="str">
        <f>IF('FUENTE NO BORRAR'!E1922="","",'FUENTE NO BORRAR'!E1922)</f>
        <v/>
      </c>
      <c r="F1904" s="6">
        <f>IF('FUENTE NO BORRAR'!F1922="","",IF('FUENTE NO BORRAR'!$A1922&lt;&gt;"Resultado total",('FUENTE NO BORRAR'!F1922),""))</f>
        <v>170</v>
      </c>
      <c r="G1904" s="6">
        <f>IF('FUENTE NO BORRAR'!G1922="","",IF('FUENTE NO BORRAR'!$A1922&lt;&gt;"Resultado total",('FUENTE NO BORRAR'!G1922),""))</f>
        <v>170</v>
      </c>
      <c r="H1904" s="6">
        <f>IF('FUENTE NO BORRAR'!H1922="","",IF('FUENTE NO BORRAR'!$A1922&lt;&gt;"Resultado total",('FUENTE NO BORRAR'!H1922),""))</f>
        <v>170</v>
      </c>
      <c r="I1904" s="6">
        <f>IF('FUENTE NO BORRAR'!I1922="","",IF('FUENTE NO BORRAR'!$A1922&lt;&gt;"Resultado total",('FUENTE NO BORRAR'!I1922),""))</f>
        <v>0</v>
      </c>
    </row>
    <row r="1905" spans="1:9" x14ac:dyDescent="0.2">
      <c r="A1905" s="5" t="str">
        <f>IF('FUENTE NO BORRAR'!A1923="","",(IF('FUENTE NO BORRAR'!A1923&lt;&gt;"Resultado total",'FUENTE NO BORRAR'!A1923,"")))</f>
        <v/>
      </c>
      <c r="B1905" s="5" t="str">
        <f>IF('FUENTE NO BORRAR'!B1923="","",'FUENTE NO BORRAR'!B1923)</f>
        <v/>
      </c>
      <c r="C1905" s="5" t="str">
        <f>IF('FUENTE NO BORRAR'!C1923="","",'FUENTE NO BORRAR'!C1923)</f>
        <v/>
      </c>
      <c r="D1905" s="5" t="str">
        <f>IF('FUENTE NO BORRAR'!D1923="","",'FUENTE NO BORRAR'!D1923)</f>
        <v/>
      </c>
      <c r="E1905" s="5" t="str">
        <f>IF('FUENTE NO BORRAR'!E1923="","",'FUENTE NO BORRAR'!E1923)</f>
        <v/>
      </c>
      <c r="F1905" s="6">
        <f>IF('FUENTE NO BORRAR'!F1923="","",IF('FUENTE NO BORRAR'!$A1923&lt;&gt;"Resultado total",('FUENTE NO BORRAR'!F1923),""))</f>
        <v>451.01</v>
      </c>
      <c r="G1905" s="6">
        <f>IF('FUENTE NO BORRAR'!G1923="","",IF('FUENTE NO BORRAR'!$A1923&lt;&gt;"Resultado total",('FUENTE NO BORRAR'!G1923),""))</f>
        <v>451.01</v>
      </c>
      <c r="H1905" s="6">
        <f>IF('FUENTE NO BORRAR'!H1923="","",IF('FUENTE NO BORRAR'!$A1923&lt;&gt;"Resultado total",('FUENTE NO BORRAR'!H1923),""))</f>
        <v>451.01</v>
      </c>
      <c r="I1905" s="6">
        <f>IF('FUENTE NO BORRAR'!I1923="","",IF('FUENTE NO BORRAR'!$A1923&lt;&gt;"Resultado total",('FUENTE NO BORRAR'!I1923),""))</f>
        <v>0</v>
      </c>
    </row>
    <row r="1906" spans="1:9" x14ac:dyDescent="0.2">
      <c r="A1906" s="5" t="str">
        <f>IF('FUENTE NO BORRAR'!A1924="","",(IF('FUENTE NO BORRAR'!A1924&lt;&gt;"Resultado total",'FUENTE NO BORRAR'!A1924,"")))</f>
        <v/>
      </c>
      <c r="B1906" s="5" t="str">
        <f>IF('FUENTE NO BORRAR'!B1924="","",'FUENTE NO BORRAR'!B1924)</f>
        <v/>
      </c>
      <c r="C1906" s="5" t="str">
        <f>IF('FUENTE NO BORRAR'!C1924="","",'FUENTE NO BORRAR'!C1924)</f>
        <v/>
      </c>
      <c r="D1906" s="5" t="str">
        <f>IF('FUENTE NO BORRAR'!D1924="","",'FUENTE NO BORRAR'!D1924)</f>
        <v/>
      </c>
      <c r="E1906" s="5" t="str">
        <f>IF('FUENTE NO BORRAR'!E1924="","",'FUENTE NO BORRAR'!E1924)</f>
        <v/>
      </c>
      <c r="F1906" s="6">
        <f>IF('FUENTE NO BORRAR'!F1924="","",IF('FUENTE NO BORRAR'!$A1924&lt;&gt;"Resultado total",('FUENTE NO BORRAR'!F1924),""))</f>
        <v>647.55999999999995</v>
      </c>
      <c r="G1906" s="6">
        <f>IF('FUENTE NO BORRAR'!G1924="","",IF('FUENTE NO BORRAR'!$A1924&lt;&gt;"Resultado total",('FUENTE NO BORRAR'!G1924),""))</f>
        <v>647.55999999999995</v>
      </c>
      <c r="H1906" s="6">
        <f>IF('FUENTE NO BORRAR'!H1924="","",IF('FUENTE NO BORRAR'!$A1924&lt;&gt;"Resultado total",('FUENTE NO BORRAR'!H1924),""))</f>
        <v>647.55999999999995</v>
      </c>
      <c r="I1906" s="6">
        <f>IF('FUENTE NO BORRAR'!I1924="","",IF('FUENTE NO BORRAR'!$A1924&lt;&gt;"Resultado total",('FUENTE NO BORRAR'!I1924),""))</f>
        <v>0</v>
      </c>
    </row>
    <row r="1907" spans="1:9" x14ac:dyDescent="0.2">
      <c r="A1907" s="5" t="str">
        <f>IF('FUENTE NO BORRAR'!A1925="","",(IF('FUENTE NO BORRAR'!A1925&lt;&gt;"Resultado total",'FUENTE NO BORRAR'!A1925,"")))</f>
        <v/>
      </c>
      <c r="B1907" s="5" t="str">
        <f>IF('FUENTE NO BORRAR'!B1925="","",'FUENTE NO BORRAR'!B1925)</f>
        <v/>
      </c>
      <c r="C1907" s="5" t="str">
        <f>IF('FUENTE NO BORRAR'!C1925="","",'FUENTE NO BORRAR'!C1925)</f>
        <v/>
      </c>
      <c r="D1907" s="5" t="str">
        <f>IF('FUENTE NO BORRAR'!D1925="","",'FUENTE NO BORRAR'!D1925)</f>
        <v/>
      </c>
      <c r="E1907" s="5" t="str">
        <f>IF('FUENTE NO BORRAR'!E1925="","",'FUENTE NO BORRAR'!E1925)</f>
        <v/>
      </c>
      <c r="F1907" s="6">
        <f>IF('FUENTE NO BORRAR'!F1925="","",IF('FUENTE NO BORRAR'!$A1925&lt;&gt;"Resultado total",('FUENTE NO BORRAR'!F1925),""))</f>
        <v>2505.6</v>
      </c>
      <c r="G1907" s="6">
        <f>IF('FUENTE NO BORRAR'!G1925="","",IF('FUENTE NO BORRAR'!$A1925&lt;&gt;"Resultado total",('FUENTE NO BORRAR'!G1925),""))</f>
        <v>2505.6</v>
      </c>
      <c r="H1907" s="6">
        <f>IF('FUENTE NO BORRAR'!H1925="","",IF('FUENTE NO BORRAR'!$A1925&lt;&gt;"Resultado total",('FUENTE NO BORRAR'!H1925),""))</f>
        <v>2505.6</v>
      </c>
      <c r="I1907" s="6">
        <f>IF('FUENTE NO BORRAR'!I1925="","",IF('FUENTE NO BORRAR'!$A1925&lt;&gt;"Resultado total",('FUENTE NO BORRAR'!I1925),""))</f>
        <v>0</v>
      </c>
    </row>
    <row r="1908" spans="1:9" x14ac:dyDescent="0.2">
      <c r="A1908" s="5" t="str">
        <f>IF('FUENTE NO BORRAR'!A1926="","",(IF('FUENTE NO BORRAR'!A1926&lt;&gt;"Resultado total",'FUENTE NO BORRAR'!A1926,"")))</f>
        <v/>
      </c>
      <c r="B1908" s="5" t="str">
        <f>IF('FUENTE NO BORRAR'!B1926="","",'FUENTE NO BORRAR'!B1926)</f>
        <v/>
      </c>
      <c r="C1908" s="5" t="str">
        <f>IF('FUENTE NO BORRAR'!C1926="","",'FUENTE NO BORRAR'!C1926)</f>
        <v/>
      </c>
      <c r="D1908" s="5" t="str">
        <f>IF('FUENTE NO BORRAR'!D1926="","",'FUENTE NO BORRAR'!D1926)</f>
        <v/>
      </c>
      <c r="E1908" s="5" t="str">
        <f>IF('FUENTE NO BORRAR'!E1926="","",'FUENTE NO BORRAR'!E1926)</f>
        <v/>
      </c>
      <c r="F1908" s="6">
        <f>IF('FUENTE NO BORRAR'!F1926="","",IF('FUENTE NO BORRAR'!$A1926&lt;&gt;"Resultado total",('FUENTE NO BORRAR'!F1926),""))</f>
        <v>7516.8</v>
      </c>
      <c r="G1908" s="6">
        <f>IF('FUENTE NO BORRAR'!G1926="","",IF('FUENTE NO BORRAR'!$A1926&lt;&gt;"Resultado total",('FUENTE NO BORRAR'!G1926),""))</f>
        <v>7516.8</v>
      </c>
      <c r="H1908" s="6">
        <f>IF('FUENTE NO BORRAR'!H1926="","",IF('FUENTE NO BORRAR'!$A1926&lt;&gt;"Resultado total",('FUENTE NO BORRAR'!H1926),""))</f>
        <v>7516.8</v>
      </c>
      <c r="I1908" s="6">
        <f>IF('FUENTE NO BORRAR'!I1926="","",IF('FUENTE NO BORRAR'!$A1926&lt;&gt;"Resultado total",('FUENTE NO BORRAR'!I1926),""))</f>
        <v>0</v>
      </c>
    </row>
    <row r="1909" spans="1:9" x14ac:dyDescent="0.2">
      <c r="A1909" s="5" t="str">
        <f>IF('FUENTE NO BORRAR'!A1927="","",(IF('FUENTE NO BORRAR'!A1927&lt;&gt;"Resultado total",'FUENTE NO BORRAR'!A1927,"")))</f>
        <v/>
      </c>
      <c r="B1909" s="5" t="str">
        <f>IF('FUENTE NO BORRAR'!B1927="","",'FUENTE NO BORRAR'!B1927)</f>
        <v/>
      </c>
      <c r="C1909" s="5" t="str">
        <f>IF('FUENTE NO BORRAR'!C1927="","",'FUENTE NO BORRAR'!C1927)</f>
        <v/>
      </c>
      <c r="D1909" s="5" t="str">
        <f>IF('FUENTE NO BORRAR'!D1927="","",'FUENTE NO BORRAR'!D1927)</f>
        <v/>
      </c>
      <c r="E1909" s="5" t="str">
        <f>IF('FUENTE NO BORRAR'!E1927="","",'FUENTE NO BORRAR'!E1927)</f>
        <v/>
      </c>
      <c r="F1909" s="6">
        <f>IF('FUENTE NO BORRAR'!F1927="","",IF('FUENTE NO BORRAR'!$A1927&lt;&gt;"Resultado total",('FUENTE NO BORRAR'!F1927),""))</f>
        <v>199.75</v>
      </c>
      <c r="G1909" s="6">
        <f>IF('FUENTE NO BORRAR'!G1927="","",IF('FUENTE NO BORRAR'!$A1927&lt;&gt;"Resultado total",('FUENTE NO BORRAR'!G1927),""))</f>
        <v>199.75</v>
      </c>
      <c r="H1909" s="6">
        <f>IF('FUENTE NO BORRAR'!H1927="","",IF('FUENTE NO BORRAR'!$A1927&lt;&gt;"Resultado total",('FUENTE NO BORRAR'!H1927),""))</f>
        <v>199.75</v>
      </c>
      <c r="I1909" s="6">
        <f>IF('FUENTE NO BORRAR'!I1927="","",IF('FUENTE NO BORRAR'!$A1927&lt;&gt;"Resultado total",('FUENTE NO BORRAR'!I1927),""))</f>
        <v>0</v>
      </c>
    </row>
    <row r="1910" spans="1:9" x14ac:dyDescent="0.2">
      <c r="A1910" s="5" t="str">
        <f>IF('FUENTE NO BORRAR'!A1928="","",(IF('FUENTE NO BORRAR'!A1928&lt;&gt;"Resultado total",'FUENTE NO BORRAR'!A1928,"")))</f>
        <v/>
      </c>
      <c r="B1910" s="5" t="str">
        <f>IF('FUENTE NO BORRAR'!B1928="","",'FUENTE NO BORRAR'!B1928)</f>
        <v/>
      </c>
      <c r="C1910" s="5" t="str">
        <f>IF('FUENTE NO BORRAR'!C1928="","",'FUENTE NO BORRAR'!C1928)</f>
        <v/>
      </c>
      <c r="D1910" s="5" t="str">
        <f>IF('FUENTE NO BORRAR'!D1928="","",'FUENTE NO BORRAR'!D1928)</f>
        <v/>
      </c>
      <c r="E1910" s="5" t="str">
        <f>IF('FUENTE NO BORRAR'!E1928="","",'FUENTE NO BORRAR'!E1928)</f>
        <v/>
      </c>
      <c r="F1910" s="6">
        <f>IF('FUENTE NO BORRAR'!F1928="","",IF('FUENTE NO BORRAR'!$A1928&lt;&gt;"Resultado total",('FUENTE NO BORRAR'!F1928),""))</f>
        <v>40455.089999999997</v>
      </c>
      <c r="G1910" s="6">
        <f>IF('FUENTE NO BORRAR'!G1928="","",IF('FUENTE NO BORRAR'!$A1928&lt;&gt;"Resultado total",('FUENTE NO BORRAR'!G1928),""))</f>
        <v>40455.089999999997</v>
      </c>
      <c r="H1910" s="6">
        <f>IF('FUENTE NO BORRAR'!H1928="","",IF('FUENTE NO BORRAR'!$A1928&lt;&gt;"Resultado total",('FUENTE NO BORRAR'!H1928),""))</f>
        <v>36389.089999999997</v>
      </c>
      <c r="I1910" s="6">
        <f>IF('FUENTE NO BORRAR'!I1928="","",IF('FUENTE NO BORRAR'!$A1928&lt;&gt;"Resultado total",('FUENTE NO BORRAR'!I1928),""))</f>
        <v>0</v>
      </c>
    </row>
    <row r="1911" spans="1:9" x14ac:dyDescent="0.2">
      <c r="A1911" s="5" t="str">
        <f>IF('FUENTE NO BORRAR'!A1929="","",(IF('FUENTE NO BORRAR'!A1929&lt;&gt;"Resultado total",'FUENTE NO BORRAR'!A1929,"")))</f>
        <v/>
      </c>
      <c r="B1911" s="5" t="str">
        <f>IF('FUENTE NO BORRAR'!B1929="","",'FUENTE NO BORRAR'!B1929)</f>
        <v/>
      </c>
      <c r="C1911" s="5" t="str">
        <f>IF('FUENTE NO BORRAR'!C1929="","",'FUENTE NO BORRAR'!C1929)</f>
        <v/>
      </c>
      <c r="D1911" s="5" t="str">
        <f>IF('FUENTE NO BORRAR'!D1929="","",'FUENTE NO BORRAR'!D1929)</f>
        <v/>
      </c>
      <c r="E1911" s="5" t="str">
        <f>IF('FUENTE NO BORRAR'!E1929="","",'FUENTE NO BORRAR'!E1929)</f>
        <v/>
      </c>
      <c r="F1911" s="6">
        <f>IF('FUENTE NO BORRAR'!F1929="","",IF('FUENTE NO BORRAR'!$A1929&lt;&gt;"Resultado total",('FUENTE NO BORRAR'!F1929),""))</f>
        <v>12121</v>
      </c>
      <c r="G1911" s="6">
        <f>IF('FUENTE NO BORRAR'!G1929="","",IF('FUENTE NO BORRAR'!$A1929&lt;&gt;"Resultado total",('FUENTE NO BORRAR'!G1929),""))</f>
        <v>12121</v>
      </c>
      <c r="H1911" s="6">
        <f>IF('FUENTE NO BORRAR'!H1929="","",IF('FUENTE NO BORRAR'!$A1929&lt;&gt;"Resultado total",('FUENTE NO BORRAR'!H1929),""))</f>
        <v>12121</v>
      </c>
      <c r="I1911" s="6">
        <f>IF('FUENTE NO BORRAR'!I1929="","",IF('FUENTE NO BORRAR'!$A1929&lt;&gt;"Resultado total",('FUENTE NO BORRAR'!I1929),""))</f>
        <v>0</v>
      </c>
    </row>
    <row r="1912" spans="1:9" x14ac:dyDescent="0.2">
      <c r="A1912" s="5" t="str">
        <f>IF('FUENTE NO BORRAR'!A1930="","",(IF('FUENTE NO BORRAR'!A1930&lt;&gt;"Resultado total",'FUENTE NO BORRAR'!A1930,"")))</f>
        <v/>
      </c>
      <c r="B1912" s="5" t="str">
        <f>IF('FUENTE NO BORRAR'!B1930="","",'FUENTE NO BORRAR'!B1930)</f>
        <v/>
      </c>
      <c r="C1912" s="5" t="str">
        <f>IF('FUENTE NO BORRAR'!C1930="","",'FUENTE NO BORRAR'!C1930)</f>
        <v/>
      </c>
      <c r="D1912" s="5" t="str">
        <f>IF('FUENTE NO BORRAR'!D1930="","",'FUENTE NO BORRAR'!D1930)</f>
        <v/>
      </c>
      <c r="E1912" s="5" t="str">
        <f>IF('FUENTE NO BORRAR'!E1930="","",'FUENTE NO BORRAR'!E1930)</f>
        <v/>
      </c>
      <c r="F1912" s="6">
        <f>IF('FUENTE NO BORRAR'!F1930="","",IF('FUENTE NO BORRAR'!$A1930&lt;&gt;"Resultado total",('FUENTE NO BORRAR'!F1930),""))</f>
        <v>9990.1299999999992</v>
      </c>
      <c r="G1912" s="6">
        <f>IF('FUENTE NO BORRAR'!G1930="","",IF('FUENTE NO BORRAR'!$A1930&lt;&gt;"Resultado total",('FUENTE NO BORRAR'!G1930),""))</f>
        <v>9990.1299999999992</v>
      </c>
      <c r="H1912" s="6">
        <f>IF('FUENTE NO BORRAR'!H1930="","",IF('FUENTE NO BORRAR'!$A1930&lt;&gt;"Resultado total",('FUENTE NO BORRAR'!H1930),""))</f>
        <v>9990.1299999999992</v>
      </c>
      <c r="I1912" s="6">
        <f>IF('FUENTE NO BORRAR'!I1930="","",IF('FUENTE NO BORRAR'!$A1930&lt;&gt;"Resultado total",('FUENTE NO BORRAR'!I1930),""))</f>
        <v>0</v>
      </c>
    </row>
    <row r="1913" spans="1:9" x14ac:dyDescent="0.2">
      <c r="A1913" s="5" t="str">
        <f>IF('FUENTE NO BORRAR'!A1931="","",(IF('FUENTE NO BORRAR'!A1931&lt;&gt;"Resultado total",'FUENTE NO BORRAR'!A1931,"")))</f>
        <v/>
      </c>
      <c r="B1913" s="5" t="str">
        <f>IF('FUENTE NO BORRAR'!B1931="","",'FUENTE NO BORRAR'!B1931)</f>
        <v/>
      </c>
      <c r="C1913" s="5" t="str">
        <f>IF('FUENTE NO BORRAR'!C1931="","",'FUENTE NO BORRAR'!C1931)</f>
        <v/>
      </c>
      <c r="D1913" s="5" t="str">
        <f>IF('FUENTE NO BORRAR'!D1931="","",'FUENTE NO BORRAR'!D1931)</f>
        <v/>
      </c>
      <c r="E1913" s="5" t="str">
        <f>IF('FUENTE NO BORRAR'!E1931="","",'FUENTE NO BORRAR'!E1931)</f>
        <v/>
      </c>
      <c r="F1913" s="6">
        <f>IF('FUENTE NO BORRAR'!F1931="","",IF('FUENTE NO BORRAR'!$A1931&lt;&gt;"Resultado total",('FUENTE NO BORRAR'!F1931),""))</f>
        <v>127176.6</v>
      </c>
      <c r="G1913" s="6">
        <f>IF('FUENTE NO BORRAR'!G1931="","",IF('FUENTE NO BORRAR'!$A1931&lt;&gt;"Resultado total",('FUENTE NO BORRAR'!G1931),""))</f>
        <v>127176.6</v>
      </c>
      <c r="H1913" s="6">
        <f>IF('FUENTE NO BORRAR'!H1931="","",IF('FUENTE NO BORRAR'!$A1931&lt;&gt;"Resultado total",('FUENTE NO BORRAR'!H1931),""))</f>
        <v>47832.6</v>
      </c>
      <c r="I1913" s="6">
        <f>IF('FUENTE NO BORRAR'!I1931="","",IF('FUENTE NO BORRAR'!$A1931&lt;&gt;"Resultado total",('FUENTE NO BORRAR'!I1931),""))</f>
        <v>0</v>
      </c>
    </row>
    <row r="1914" spans="1:9" x14ac:dyDescent="0.2">
      <c r="A1914" s="5" t="str">
        <f>IF('FUENTE NO BORRAR'!A1932="","",(IF('FUENTE NO BORRAR'!A1932&lt;&gt;"Resultado total",'FUENTE NO BORRAR'!A1932,"")))</f>
        <v/>
      </c>
      <c r="B1914" s="5" t="str">
        <f>IF('FUENTE NO BORRAR'!B1932="","",'FUENTE NO BORRAR'!B1932)</f>
        <v/>
      </c>
      <c r="C1914" s="5" t="str">
        <f>IF('FUENTE NO BORRAR'!C1932="","",'FUENTE NO BORRAR'!C1932)</f>
        <v/>
      </c>
      <c r="D1914" s="5" t="str">
        <f>IF('FUENTE NO BORRAR'!D1932="","",'FUENTE NO BORRAR'!D1932)</f>
        <v/>
      </c>
      <c r="E1914" s="5" t="str">
        <f>IF('FUENTE NO BORRAR'!E1932="","",'FUENTE NO BORRAR'!E1932)</f>
        <v/>
      </c>
      <c r="F1914" s="6">
        <f>IF('FUENTE NO BORRAR'!F1932="","",IF('FUENTE NO BORRAR'!$A1932&lt;&gt;"Resultado total",('FUENTE NO BORRAR'!F1932),""))</f>
        <v>4872</v>
      </c>
      <c r="G1914" s="6">
        <f>IF('FUENTE NO BORRAR'!G1932="","",IF('FUENTE NO BORRAR'!$A1932&lt;&gt;"Resultado total",('FUENTE NO BORRAR'!G1932),""))</f>
        <v>4872</v>
      </c>
      <c r="H1914" s="6">
        <f>IF('FUENTE NO BORRAR'!H1932="","",IF('FUENTE NO BORRAR'!$A1932&lt;&gt;"Resultado total",('FUENTE NO BORRAR'!H1932),""))</f>
        <v>4872</v>
      </c>
      <c r="I1914" s="6">
        <f>IF('FUENTE NO BORRAR'!I1932="","",IF('FUENTE NO BORRAR'!$A1932&lt;&gt;"Resultado total",('FUENTE NO BORRAR'!I1932),""))</f>
        <v>0</v>
      </c>
    </row>
    <row r="1915" spans="1:9" x14ac:dyDescent="0.2">
      <c r="A1915" s="5" t="str">
        <f>IF('FUENTE NO BORRAR'!A1933="","",(IF('FUENTE NO BORRAR'!A1933&lt;&gt;"Resultado total",'FUENTE NO BORRAR'!A1933,"")))</f>
        <v/>
      </c>
      <c r="B1915" s="5" t="str">
        <f>IF('FUENTE NO BORRAR'!B1933="","",'FUENTE NO BORRAR'!B1933)</f>
        <v/>
      </c>
      <c r="C1915" s="5" t="str">
        <f>IF('FUENTE NO BORRAR'!C1933="","",'FUENTE NO BORRAR'!C1933)</f>
        <v/>
      </c>
      <c r="D1915" s="5" t="str">
        <f>IF('FUENTE NO BORRAR'!D1933="","",'FUENTE NO BORRAR'!D1933)</f>
        <v/>
      </c>
      <c r="E1915" s="5" t="str">
        <f>IF('FUENTE NO BORRAR'!E1933="","",'FUENTE NO BORRAR'!E1933)</f>
        <v/>
      </c>
      <c r="F1915" s="6">
        <f>IF('FUENTE NO BORRAR'!F1933="","",IF('FUENTE NO BORRAR'!$A1933&lt;&gt;"Resultado total",('FUENTE NO BORRAR'!F1933),""))</f>
        <v>1624</v>
      </c>
      <c r="G1915" s="6">
        <f>IF('FUENTE NO BORRAR'!G1933="","",IF('FUENTE NO BORRAR'!$A1933&lt;&gt;"Resultado total",('FUENTE NO BORRAR'!G1933),""))</f>
        <v>1624</v>
      </c>
      <c r="H1915" s="6">
        <f>IF('FUENTE NO BORRAR'!H1933="","",IF('FUENTE NO BORRAR'!$A1933&lt;&gt;"Resultado total",('FUENTE NO BORRAR'!H1933),""))</f>
        <v>1624</v>
      </c>
      <c r="I1915" s="6">
        <f>IF('FUENTE NO BORRAR'!I1933="","",IF('FUENTE NO BORRAR'!$A1933&lt;&gt;"Resultado total",('FUENTE NO BORRAR'!I1933),""))</f>
        <v>0</v>
      </c>
    </row>
    <row r="1916" spans="1:9" x14ac:dyDescent="0.2">
      <c r="A1916" s="5" t="str">
        <f>IF('FUENTE NO BORRAR'!A1934="","",(IF('FUENTE NO BORRAR'!A1934&lt;&gt;"Resultado total",'FUENTE NO BORRAR'!A1934,"")))</f>
        <v/>
      </c>
      <c r="B1916" s="5" t="str">
        <f>IF('FUENTE NO BORRAR'!B1934="","",'FUENTE NO BORRAR'!B1934)</f>
        <v/>
      </c>
      <c r="C1916" s="5" t="str">
        <f>IF('FUENTE NO BORRAR'!C1934="","",'FUENTE NO BORRAR'!C1934)</f>
        <v/>
      </c>
      <c r="D1916" s="5" t="str">
        <f>IF('FUENTE NO BORRAR'!D1934="","",'FUENTE NO BORRAR'!D1934)</f>
        <v/>
      </c>
      <c r="E1916" s="5" t="str">
        <f>IF('FUENTE NO BORRAR'!E1934="","",'FUENTE NO BORRAR'!E1934)</f>
        <v/>
      </c>
      <c r="F1916" s="6">
        <f>IF('FUENTE NO BORRAR'!F1934="","",IF('FUENTE NO BORRAR'!$A1934&lt;&gt;"Resultado total",('FUENTE NO BORRAR'!F1934),""))</f>
        <v>0</v>
      </c>
      <c r="G1916" s="6">
        <f>IF('FUENTE NO BORRAR'!G1934="","",IF('FUENTE NO BORRAR'!$A1934&lt;&gt;"Resultado total",('FUENTE NO BORRAR'!G1934),""))</f>
        <v>0</v>
      </c>
      <c r="H1916" s="6">
        <f>IF('FUENTE NO BORRAR'!H1934="","",IF('FUENTE NO BORRAR'!$A1934&lt;&gt;"Resultado total",('FUENTE NO BORRAR'!H1934),""))</f>
        <v>0</v>
      </c>
      <c r="I1916" s="6">
        <f>IF('FUENTE NO BORRAR'!I1934="","",IF('FUENTE NO BORRAR'!$A1934&lt;&gt;"Resultado total",('FUENTE NO BORRAR'!I1934),""))</f>
        <v>0</v>
      </c>
    </row>
    <row r="1917" spans="1:9" x14ac:dyDescent="0.2">
      <c r="A1917" s="5" t="str">
        <f>IF('FUENTE NO BORRAR'!A1935="","",(IF('FUENTE NO BORRAR'!A1935&lt;&gt;"Resultado total",'FUENTE NO BORRAR'!A1935,"")))</f>
        <v/>
      </c>
      <c r="B1917" s="5" t="str">
        <f>IF('FUENTE NO BORRAR'!B1935="","",'FUENTE NO BORRAR'!B1935)</f>
        <v/>
      </c>
      <c r="C1917" s="5" t="str">
        <f>IF('FUENTE NO BORRAR'!C1935="","",'FUENTE NO BORRAR'!C1935)</f>
        <v/>
      </c>
      <c r="D1917" s="5" t="str">
        <f>IF('FUENTE NO BORRAR'!D1935="","",'FUENTE NO BORRAR'!D1935)</f>
        <v/>
      </c>
      <c r="E1917" s="5" t="str">
        <f>IF('FUENTE NO BORRAR'!E1935="","",'FUENTE NO BORRAR'!E1935)</f>
        <v/>
      </c>
      <c r="F1917" s="6">
        <f>IF('FUENTE NO BORRAR'!F1935="","",IF('FUENTE NO BORRAR'!$A1935&lt;&gt;"Resultado total",('FUENTE NO BORRAR'!F1935),""))</f>
        <v>0</v>
      </c>
      <c r="G1917" s="6">
        <f>IF('FUENTE NO BORRAR'!G1935="","",IF('FUENTE NO BORRAR'!$A1935&lt;&gt;"Resultado total",('FUENTE NO BORRAR'!G1935),""))</f>
        <v>0</v>
      </c>
      <c r="H1917" s="6">
        <f>IF('FUENTE NO BORRAR'!H1935="","",IF('FUENTE NO BORRAR'!$A1935&lt;&gt;"Resultado total",('FUENTE NO BORRAR'!H1935),""))</f>
        <v>0</v>
      </c>
      <c r="I1917" s="6">
        <f>IF('FUENTE NO BORRAR'!I1935="","",IF('FUENTE NO BORRAR'!$A1935&lt;&gt;"Resultado total",('FUENTE NO BORRAR'!I1935),""))</f>
        <v>0</v>
      </c>
    </row>
    <row r="1918" spans="1:9" x14ac:dyDescent="0.2">
      <c r="A1918" s="5" t="str">
        <f>IF('FUENTE NO BORRAR'!A1936="","",(IF('FUENTE NO BORRAR'!A1936&lt;&gt;"Resultado total",'FUENTE NO BORRAR'!A1936,"")))</f>
        <v/>
      </c>
      <c r="B1918" s="5" t="str">
        <f>IF('FUENTE NO BORRAR'!B1936="","",'FUENTE NO BORRAR'!B1936)</f>
        <v/>
      </c>
      <c r="C1918" s="5" t="str">
        <f>IF('FUENTE NO BORRAR'!C1936="","",'FUENTE NO BORRAR'!C1936)</f>
        <v/>
      </c>
      <c r="D1918" s="5" t="str">
        <f>IF('FUENTE NO BORRAR'!D1936="","",'FUENTE NO BORRAR'!D1936)</f>
        <v/>
      </c>
      <c r="E1918" s="5" t="str">
        <f>IF('FUENTE NO BORRAR'!E1936="","",'FUENTE NO BORRAR'!E1936)</f>
        <v/>
      </c>
      <c r="F1918" s="6">
        <f>IF('FUENTE NO BORRAR'!F1936="","",IF('FUENTE NO BORRAR'!$A1936&lt;&gt;"Resultado total",('FUENTE NO BORRAR'!F1936),""))</f>
        <v>6000</v>
      </c>
      <c r="G1918" s="6">
        <f>IF('FUENTE NO BORRAR'!G1936="","",IF('FUENTE NO BORRAR'!$A1936&lt;&gt;"Resultado total",('FUENTE NO BORRAR'!G1936),""))</f>
        <v>6000</v>
      </c>
      <c r="H1918" s="6">
        <f>IF('FUENTE NO BORRAR'!H1936="","",IF('FUENTE NO BORRAR'!$A1936&lt;&gt;"Resultado total",('FUENTE NO BORRAR'!H1936),""))</f>
        <v>6000</v>
      </c>
      <c r="I1918" s="6">
        <f>IF('FUENTE NO BORRAR'!I1936="","",IF('FUENTE NO BORRAR'!$A1936&lt;&gt;"Resultado total",('FUENTE NO BORRAR'!I1936),""))</f>
        <v>0</v>
      </c>
    </row>
    <row r="1919" spans="1:9" x14ac:dyDescent="0.2">
      <c r="A1919" s="5" t="str">
        <f>IF('FUENTE NO BORRAR'!A1937="","",(IF('FUENTE NO BORRAR'!A1937&lt;&gt;"Resultado total",'FUENTE NO BORRAR'!A1937,"")))</f>
        <v/>
      </c>
      <c r="B1919" s="5" t="str">
        <f>IF('FUENTE NO BORRAR'!B1937="","",'FUENTE NO BORRAR'!B1937)</f>
        <v/>
      </c>
      <c r="C1919" s="5" t="str">
        <f>IF('FUENTE NO BORRAR'!C1937="","",'FUENTE NO BORRAR'!C1937)</f>
        <v/>
      </c>
      <c r="D1919" s="5" t="str">
        <f>IF('FUENTE NO BORRAR'!D1937="","",'FUENTE NO BORRAR'!D1937)</f>
        <v/>
      </c>
      <c r="E1919" s="5" t="str">
        <f>IF('FUENTE NO BORRAR'!E1937="","",'FUENTE NO BORRAR'!E1937)</f>
        <v/>
      </c>
      <c r="F1919" s="6">
        <f>IF('FUENTE NO BORRAR'!F1937="","",IF('FUENTE NO BORRAR'!$A1937&lt;&gt;"Resultado total",('FUENTE NO BORRAR'!F1937),""))</f>
        <v>3533</v>
      </c>
      <c r="G1919" s="6">
        <f>IF('FUENTE NO BORRAR'!G1937="","",IF('FUENTE NO BORRAR'!$A1937&lt;&gt;"Resultado total",('FUENTE NO BORRAR'!G1937),""))</f>
        <v>3533</v>
      </c>
      <c r="H1919" s="6">
        <f>IF('FUENTE NO BORRAR'!H1937="","",IF('FUENTE NO BORRAR'!$A1937&lt;&gt;"Resultado total",('FUENTE NO BORRAR'!H1937),""))</f>
        <v>3533</v>
      </c>
      <c r="I1919" s="6">
        <f>IF('FUENTE NO BORRAR'!I1937="","",IF('FUENTE NO BORRAR'!$A1937&lt;&gt;"Resultado total",('FUENTE NO BORRAR'!I1937),""))</f>
        <v>0</v>
      </c>
    </row>
    <row r="1920" spans="1:9" x14ac:dyDescent="0.2">
      <c r="A1920" s="5" t="str">
        <f>IF('FUENTE NO BORRAR'!A1938="","",(IF('FUENTE NO BORRAR'!A1938&lt;&gt;"Resultado total",'FUENTE NO BORRAR'!A1938,"")))</f>
        <v/>
      </c>
      <c r="B1920" s="5" t="str">
        <f>IF('FUENTE NO BORRAR'!B1938="","",'FUENTE NO BORRAR'!B1938)</f>
        <v/>
      </c>
      <c r="C1920" s="5" t="str">
        <f>IF('FUENTE NO BORRAR'!C1938="","",'FUENTE NO BORRAR'!C1938)</f>
        <v>31013031E302</v>
      </c>
      <c r="D1920" s="5" t="str">
        <f>IF('FUENTE NO BORRAR'!D1938="","",'FUENTE NO BORRAR'!D1938)</f>
        <v>31013031E302</v>
      </c>
      <c r="E1920" s="5" t="str">
        <f>IF('FUENTE NO BORRAR'!E1938="","",'FUENTE NO BORRAR'!E1938)</f>
        <v/>
      </c>
      <c r="F1920" s="6">
        <f>IF('FUENTE NO BORRAR'!F1938="","",IF('FUENTE NO BORRAR'!$A1938&lt;&gt;"Resultado total",('FUENTE NO BORRAR'!F1938),""))</f>
        <v>0</v>
      </c>
      <c r="G1920" s="6">
        <f>IF('FUENTE NO BORRAR'!G1938="","",IF('FUENTE NO BORRAR'!$A1938&lt;&gt;"Resultado total",('FUENTE NO BORRAR'!G1938),""))</f>
        <v>0</v>
      </c>
      <c r="H1920" s="6">
        <f>IF('FUENTE NO BORRAR'!H1938="","",IF('FUENTE NO BORRAR'!$A1938&lt;&gt;"Resultado total",('FUENTE NO BORRAR'!H1938),""))</f>
        <v>0</v>
      </c>
      <c r="I1920" s="6">
        <f>IF('FUENTE NO BORRAR'!I1938="","",IF('FUENTE NO BORRAR'!$A1938&lt;&gt;"Resultado total",('FUENTE NO BORRAR'!I1938),""))</f>
        <v>0</v>
      </c>
    </row>
    <row r="1921" spans="1:9" x14ac:dyDescent="0.2">
      <c r="A1921" s="5" t="str">
        <f>IF('FUENTE NO BORRAR'!A1939="","",(IF('FUENTE NO BORRAR'!A1939&lt;&gt;"Resultado total",'FUENTE NO BORRAR'!A1939,"")))</f>
        <v/>
      </c>
      <c r="B1921" s="5" t="str">
        <f>IF('FUENTE NO BORRAR'!B1939="","",'FUENTE NO BORRAR'!B1939)</f>
        <v/>
      </c>
      <c r="C1921" s="5" t="str">
        <f>IF('FUENTE NO BORRAR'!C1939="","",'FUENTE NO BORRAR'!C1939)</f>
        <v/>
      </c>
      <c r="D1921" s="5" t="str">
        <f>IF('FUENTE NO BORRAR'!D1939="","",'FUENTE NO BORRAR'!D1939)</f>
        <v/>
      </c>
      <c r="E1921" s="5" t="str">
        <f>IF('FUENTE NO BORRAR'!E1939="","",'FUENTE NO BORRAR'!E1939)</f>
        <v/>
      </c>
      <c r="F1921" s="6">
        <f>IF('FUENTE NO BORRAR'!F1939="","",IF('FUENTE NO BORRAR'!$A1939&lt;&gt;"Resultado total",('FUENTE NO BORRAR'!F1939),""))</f>
        <v>88676.12</v>
      </c>
      <c r="G1921" s="6">
        <f>IF('FUENTE NO BORRAR'!G1939="","",IF('FUENTE NO BORRAR'!$A1939&lt;&gt;"Resultado total",('FUENTE NO BORRAR'!G1939),""))</f>
        <v>88676.12</v>
      </c>
      <c r="H1921" s="6">
        <f>IF('FUENTE NO BORRAR'!H1939="","",IF('FUENTE NO BORRAR'!$A1939&lt;&gt;"Resultado total",('FUENTE NO BORRAR'!H1939),""))</f>
        <v>88676.12</v>
      </c>
      <c r="I1921" s="6">
        <f>IF('FUENTE NO BORRAR'!I1939="","",IF('FUENTE NO BORRAR'!$A1939&lt;&gt;"Resultado total",('FUENTE NO BORRAR'!I1939),""))</f>
        <v>0</v>
      </c>
    </row>
    <row r="1922" spans="1:9" x14ac:dyDescent="0.2">
      <c r="A1922" s="5" t="str">
        <f>IF('FUENTE NO BORRAR'!A1940="","",(IF('FUENTE NO BORRAR'!A1940&lt;&gt;"Resultado total",'FUENTE NO BORRAR'!A1940,"")))</f>
        <v/>
      </c>
      <c r="B1922" s="5" t="str">
        <f>IF('FUENTE NO BORRAR'!B1940="","",'FUENTE NO BORRAR'!B1940)</f>
        <v/>
      </c>
      <c r="C1922" s="5" t="str">
        <f>IF('FUENTE NO BORRAR'!C1940="","",'FUENTE NO BORRAR'!C1940)</f>
        <v/>
      </c>
      <c r="D1922" s="5" t="str">
        <f>IF('FUENTE NO BORRAR'!D1940="","",'FUENTE NO BORRAR'!D1940)</f>
        <v/>
      </c>
      <c r="E1922" s="5" t="str">
        <f>IF('FUENTE NO BORRAR'!E1940="","",'FUENTE NO BORRAR'!E1940)</f>
        <v/>
      </c>
      <c r="F1922" s="6">
        <f>IF('FUENTE NO BORRAR'!F1940="","",IF('FUENTE NO BORRAR'!$A1940&lt;&gt;"Resultado total",('FUENTE NO BORRAR'!F1940),""))</f>
        <v>0</v>
      </c>
      <c r="G1922" s="6">
        <f>IF('FUENTE NO BORRAR'!G1940="","",IF('FUENTE NO BORRAR'!$A1940&lt;&gt;"Resultado total",('FUENTE NO BORRAR'!G1940),""))</f>
        <v>0</v>
      </c>
      <c r="H1922" s="6">
        <f>IF('FUENTE NO BORRAR'!H1940="","",IF('FUENTE NO BORRAR'!$A1940&lt;&gt;"Resultado total",('FUENTE NO BORRAR'!H1940),""))</f>
        <v>0</v>
      </c>
      <c r="I1922" s="6">
        <f>IF('FUENTE NO BORRAR'!I1940="","",IF('FUENTE NO BORRAR'!$A1940&lt;&gt;"Resultado total",('FUENTE NO BORRAR'!I1940),""))</f>
        <v>0</v>
      </c>
    </row>
    <row r="1923" spans="1:9" x14ac:dyDescent="0.2">
      <c r="A1923" s="5" t="str">
        <f>IF('FUENTE NO BORRAR'!A1941="","",(IF('FUENTE NO BORRAR'!A1941&lt;&gt;"Resultado total",'FUENTE NO BORRAR'!A1941,"")))</f>
        <v/>
      </c>
      <c r="B1923" s="5" t="str">
        <f>IF('FUENTE NO BORRAR'!B1941="","",'FUENTE NO BORRAR'!B1941)</f>
        <v/>
      </c>
      <c r="C1923" s="5" t="str">
        <f>IF('FUENTE NO BORRAR'!C1941="","",'FUENTE NO BORRAR'!C1941)</f>
        <v/>
      </c>
      <c r="D1923" s="5" t="str">
        <f>IF('FUENTE NO BORRAR'!D1941="","",'FUENTE NO BORRAR'!D1941)</f>
        <v/>
      </c>
      <c r="E1923" s="5" t="str">
        <f>IF('FUENTE NO BORRAR'!E1941="","",'FUENTE NO BORRAR'!E1941)</f>
        <v/>
      </c>
      <c r="F1923" s="6">
        <f>IF('FUENTE NO BORRAR'!F1941="","",IF('FUENTE NO BORRAR'!$A1941&lt;&gt;"Resultado total",('FUENTE NO BORRAR'!F1941),""))</f>
        <v>0</v>
      </c>
      <c r="G1923" s="6">
        <f>IF('FUENTE NO BORRAR'!G1941="","",IF('FUENTE NO BORRAR'!$A1941&lt;&gt;"Resultado total",('FUENTE NO BORRAR'!G1941),""))</f>
        <v>0</v>
      </c>
      <c r="H1923" s="6">
        <f>IF('FUENTE NO BORRAR'!H1941="","",IF('FUENTE NO BORRAR'!$A1941&lt;&gt;"Resultado total",('FUENTE NO BORRAR'!H1941),""))</f>
        <v>0</v>
      </c>
      <c r="I1923" s="6">
        <f>IF('FUENTE NO BORRAR'!I1941="","",IF('FUENTE NO BORRAR'!$A1941&lt;&gt;"Resultado total",('FUENTE NO BORRAR'!I1941),""))</f>
        <v>0</v>
      </c>
    </row>
    <row r="1924" spans="1:9" x14ac:dyDescent="0.2">
      <c r="A1924" s="5" t="str">
        <f>IF('FUENTE NO BORRAR'!A1942="","",(IF('FUENTE NO BORRAR'!A1942&lt;&gt;"Resultado total",'FUENTE NO BORRAR'!A1942,"")))</f>
        <v/>
      </c>
      <c r="B1924" s="5" t="str">
        <f>IF('FUENTE NO BORRAR'!B1942="","",'FUENTE NO BORRAR'!B1942)</f>
        <v/>
      </c>
      <c r="C1924" s="5" t="str">
        <f>IF('FUENTE NO BORRAR'!C1942="","",'FUENTE NO BORRAR'!C1942)</f>
        <v/>
      </c>
      <c r="D1924" s="5" t="str">
        <f>IF('FUENTE NO BORRAR'!D1942="","",'FUENTE NO BORRAR'!D1942)</f>
        <v/>
      </c>
      <c r="E1924" s="5" t="str">
        <f>IF('FUENTE NO BORRAR'!E1942="","",'FUENTE NO BORRAR'!E1942)</f>
        <v/>
      </c>
      <c r="F1924" s="6">
        <f>IF('FUENTE NO BORRAR'!F1942="","",IF('FUENTE NO BORRAR'!$A1942&lt;&gt;"Resultado total",('FUENTE NO BORRAR'!F1942),""))</f>
        <v>0</v>
      </c>
      <c r="G1924" s="6">
        <f>IF('FUENTE NO BORRAR'!G1942="","",IF('FUENTE NO BORRAR'!$A1942&lt;&gt;"Resultado total",('FUENTE NO BORRAR'!G1942),""))</f>
        <v>0</v>
      </c>
      <c r="H1924" s="6">
        <f>IF('FUENTE NO BORRAR'!H1942="","",IF('FUENTE NO BORRAR'!$A1942&lt;&gt;"Resultado total",('FUENTE NO BORRAR'!H1942),""))</f>
        <v>0</v>
      </c>
      <c r="I1924" s="6">
        <f>IF('FUENTE NO BORRAR'!I1942="","",IF('FUENTE NO BORRAR'!$A1942&lt;&gt;"Resultado total",('FUENTE NO BORRAR'!I1942),""))</f>
        <v>0</v>
      </c>
    </row>
    <row r="1925" spans="1:9" x14ac:dyDescent="0.2">
      <c r="A1925" s="5" t="str">
        <f>IF('FUENTE NO BORRAR'!A1943="","",(IF('FUENTE NO BORRAR'!A1943&lt;&gt;"Resultado total",'FUENTE NO BORRAR'!A1943,"")))</f>
        <v/>
      </c>
      <c r="B1925" s="5" t="str">
        <f>IF('FUENTE NO BORRAR'!B1943="","",'FUENTE NO BORRAR'!B1943)</f>
        <v/>
      </c>
      <c r="C1925" s="5" t="str">
        <f>IF('FUENTE NO BORRAR'!C1943="","",'FUENTE NO BORRAR'!C1943)</f>
        <v/>
      </c>
      <c r="D1925" s="5" t="str">
        <f>IF('FUENTE NO BORRAR'!D1943="","",'FUENTE NO BORRAR'!D1943)</f>
        <v/>
      </c>
      <c r="E1925" s="5" t="str">
        <f>IF('FUENTE NO BORRAR'!E1943="","",'FUENTE NO BORRAR'!E1943)</f>
        <v/>
      </c>
      <c r="F1925" s="6">
        <f>IF('FUENTE NO BORRAR'!F1943="","",IF('FUENTE NO BORRAR'!$A1943&lt;&gt;"Resultado total",('FUENTE NO BORRAR'!F1943),""))</f>
        <v>4805.6400000000003</v>
      </c>
      <c r="G1925" s="6">
        <f>IF('FUENTE NO BORRAR'!G1943="","",IF('FUENTE NO BORRAR'!$A1943&lt;&gt;"Resultado total",('FUENTE NO BORRAR'!G1943),""))</f>
        <v>4805.6400000000003</v>
      </c>
      <c r="H1925" s="6">
        <f>IF('FUENTE NO BORRAR'!H1943="","",IF('FUENTE NO BORRAR'!$A1943&lt;&gt;"Resultado total",('FUENTE NO BORRAR'!H1943),""))</f>
        <v>4805.6400000000003</v>
      </c>
      <c r="I1925" s="6">
        <f>IF('FUENTE NO BORRAR'!I1943="","",IF('FUENTE NO BORRAR'!$A1943&lt;&gt;"Resultado total",('FUENTE NO BORRAR'!I1943),""))</f>
        <v>0</v>
      </c>
    </row>
    <row r="1926" spans="1:9" x14ac:dyDescent="0.2">
      <c r="A1926" s="5" t="str">
        <f>IF('FUENTE NO BORRAR'!A1944="","",(IF('FUENTE NO BORRAR'!A1944&lt;&gt;"Resultado total",'FUENTE NO BORRAR'!A1944,"")))</f>
        <v/>
      </c>
      <c r="B1926" s="5" t="str">
        <f>IF('FUENTE NO BORRAR'!B1944="","",'FUENTE NO BORRAR'!B1944)</f>
        <v/>
      </c>
      <c r="C1926" s="5" t="str">
        <f>IF('FUENTE NO BORRAR'!C1944="","",'FUENTE NO BORRAR'!C1944)</f>
        <v/>
      </c>
      <c r="D1926" s="5" t="str">
        <f>IF('FUENTE NO BORRAR'!D1944="","",'FUENTE NO BORRAR'!D1944)</f>
        <v/>
      </c>
      <c r="E1926" s="5" t="str">
        <f>IF('FUENTE NO BORRAR'!E1944="","",'FUENTE NO BORRAR'!E1944)</f>
        <v/>
      </c>
      <c r="F1926" s="6">
        <f>IF('FUENTE NO BORRAR'!F1944="","",IF('FUENTE NO BORRAR'!$A1944&lt;&gt;"Resultado total",('FUENTE NO BORRAR'!F1944),""))</f>
        <v>42907.8</v>
      </c>
      <c r="G1926" s="6">
        <f>IF('FUENTE NO BORRAR'!G1944="","",IF('FUENTE NO BORRAR'!$A1944&lt;&gt;"Resultado total",('FUENTE NO BORRAR'!G1944),""))</f>
        <v>42907.8</v>
      </c>
      <c r="H1926" s="6">
        <f>IF('FUENTE NO BORRAR'!H1944="","",IF('FUENTE NO BORRAR'!$A1944&lt;&gt;"Resultado total",('FUENTE NO BORRAR'!H1944),""))</f>
        <v>42907.8</v>
      </c>
      <c r="I1926" s="6">
        <f>IF('FUENTE NO BORRAR'!I1944="","",IF('FUENTE NO BORRAR'!$A1944&lt;&gt;"Resultado total",('FUENTE NO BORRAR'!I1944),""))</f>
        <v>0</v>
      </c>
    </row>
    <row r="1927" spans="1:9" x14ac:dyDescent="0.2">
      <c r="A1927" s="5" t="str">
        <f>IF('FUENTE NO BORRAR'!A1945="","",(IF('FUENTE NO BORRAR'!A1945&lt;&gt;"Resultado total",'FUENTE NO BORRAR'!A1945,"")))</f>
        <v/>
      </c>
      <c r="B1927" s="5" t="str">
        <f>IF('FUENTE NO BORRAR'!B1945="","",'FUENTE NO BORRAR'!B1945)</f>
        <v/>
      </c>
      <c r="C1927" s="5" t="str">
        <f>IF('FUENTE NO BORRAR'!C1945="","",'FUENTE NO BORRAR'!C1945)</f>
        <v/>
      </c>
      <c r="D1927" s="5" t="str">
        <f>IF('FUENTE NO BORRAR'!D1945="","",'FUENTE NO BORRAR'!D1945)</f>
        <v/>
      </c>
      <c r="E1927" s="5" t="str">
        <f>IF('FUENTE NO BORRAR'!E1945="","",'FUENTE NO BORRAR'!E1945)</f>
        <v/>
      </c>
      <c r="F1927" s="6">
        <f>IF('FUENTE NO BORRAR'!F1945="","",IF('FUENTE NO BORRAR'!$A1945&lt;&gt;"Resultado total",('FUENTE NO BORRAR'!F1945),""))</f>
        <v>8364.84</v>
      </c>
      <c r="G1927" s="6">
        <f>IF('FUENTE NO BORRAR'!G1945="","",IF('FUENTE NO BORRAR'!$A1945&lt;&gt;"Resultado total",('FUENTE NO BORRAR'!G1945),""))</f>
        <v>8364.84</v>
      </c>
      <c r="H1927" s="6">
        <f>IF('FUENTE NO BORRAR'!H1945="","",IF('FUENTE NO BORRAR'!$A1945&lt;&gt;"Resultado total",('FUENTE NO BORRAR'!H1945),""))</f>
        <v>8314.69</v>
      </c>
      <c r="I1927" s="6">
        <f>IF('FUENTE NO BORRAR'!I1945="","",IF('FUENTE NO BORRAR'!$A1945&lt;&gt;"Resultado total",('FUENTE NO BORRAR'!I1945),""))</f>
        <v>-1.0000000000000001E-9</v>
      </c>
    </row>
    <row r="1928" spans="1:9" x14ac:dyDescent="0.2">
      <c r="A1928" s="5" t="str">
        <f>IF('FUENTE NO BORRAR'!A1946="","",(IF('FUENTE NO BORRAR'!A1946&lt;&gt;"Resultado total",'FUENTE NO BORRAR'!A1946,"")))</f>
        <v/>
      </c>
      <c r="B1928" s="5" t="str">
        <f>IF('FUENTE NO BORRAR'!B1946="","",'FUENTE NO BORRAR'!B1946)</f>
        <v/>
      </c>
      <c r="C1928" s="5" t="str">
        <f>IF('FUENTE NO BORRAR'!C1946="","",'FUENTE NO BORRAR'!C1946)</f>
        <v/>
      </c>
      <c r="D1928" s="5" t="str">
        <f>IF('FUENTE NO BORRAR'!D1946="","",'FUENTE NO BORRAR'!D1946)</f>
        <v/>
      </c>
      <c r="E1928" s="5" t="str">
        <f>IF('FUENTE NO BORRAR'!E1946="","",'FUENTE NO BORRAR'!E1946)</f>
        <v/>
      </c>
      <c r="F1928" s="6">
        <f>IF('FUENTE NO BORRAR'!F1946="","",IF('FUENTE NO BORRAR'!$A1946&lt;&gt;"Resultado total",('FUENTE NO BORRAR'!F1946),""))</f>
        <v>137005.43</v>
      </c>
      <c r="G1928" s="6">
        <f>IF('FUENTE NO BORRAR'!G1946="","",IF('FUENTE NO BORRAR'!$A1946&lt;&gt;"Resultado total",('FUENTE NO BORRAR'!G1946),""))</f>
        <v>137005.43</v>
      </c>
      <c r="H1928" s="6">
        <f>IF('FUENTE NO BORRAR'!H1946="","",IF('FUENTE NO BORRAR'!$A1946&lt;&gt;"Resultado total",('FUENTE NO BORRAR'!H1946),""))</f>
        <v>137005.43</v>
      </c>
      <c r="I1928" s="6">
        <f>IF('FUENTE NO BORRAR'!I1946="","",IF('FUENTE NO BORRAR'!$A1946&lt;&gt;"Resultado total",('FUENTE NO BORRAR'!I1946),""))</f>
        <v>0</v>
      </c>
    </row>
    <row r="1929" spans="1:9" x14ac:dyDescent="0.2">
      <c r="A1929" s="5" t="str">
        <f>IF('FUENTE NO BORRAR'!A1947="","",(IF('FUENTE NO BORRAR'!A1947&lt;&gt;"Resultado total",'FUENTE NO BORRAR'!A1947,"")))</f>
        <v/>
      </c>
      <c r="B1929" s="5" t="str">
        <f>IF('FUENTE NO BORRAR'!B1947="","",'FUENTE NO BORRAR'!B1947)</f>
        <v/>
      </c>
      <c r="C1929" s="5" t="str">
        <f>IF('FUENTE NO BORRAR'!C1947="","",'FUENTE NO BORRAR'!C1947)</f>
        <v/>
      </c>
      <c r="D1929" s="5" t="str">
        <f>IF('FUENTE NO BORRAR'!D1947="","",'FUENTE NO BORRAR'!D1947)</f>
        <v/>
      </c>
      <c r="E1929" s="5" t="str">
        <f>IF('FUENTE NO BORRAR'!E1947="","",'FUENTE NO BORRAR'!E1947)</f>
        <v/>
      </c>
      <c r="F1929" s="6">
        <f>IF('FUENTE NO BORRAR'!F1947="","",IF('FUENTE NO BORRAR'!$A1947&lt;&gt;"Resultado total",('FUENTE NO BORRAR'!F1947),""))</f>
        <v>15434.2</v>
      </c>
      <c r="G1929" s="6">
        <f>IF('FUENTE NO BORRAR'!G1947="","",IF('FUENTE NO BORRAR'!$A1947&lt;&gt;"Resultado total",('FUENTE NO BORRAR'!G1947),""))</f>
        <v>15434.2</v>
      </c>
      <c r="H1929" s="6">
        <f>IF('FUENTE NO BORRAR'!H1947="","",IF('FUENTE NO BORRAR'!$A1947&lt;&gt;"Resultado total",('FUENTE NO BORRAR'!H1947),""))</f>
        <v>15434.2</v>
      </c>
      <c r="I1929" s="6">
        <f>IF('FUENTE NO BORRAR'!I1947="","",IF('FUENTE NO BORRAR'!$A1947&lt;&gt;"Resultado total",('FUENTE NO BORRAR'!I1947),""))</f>
        <v>0</v>
      </c>
    </row>
    <row r="1930" spans="1:9" x14ac:dyDescent="0.2">
      <c r="A1930" s="5" t="str">
        <f>IF('FUENTE NO BORRAR'!A1948="","",(IF('FUENTE NO BORRAR'!A1948&lt;&gt;"Resultado total",'FUENTE NO BORRAR'!A1948,"")))</f>
        <v/>
      </c>
      <c r="B1930" s="5" t="str">
        <f>IF('FUENTE NO BORRAR'!B1948="","",'FUENTE NO BORRAR'!B1948)</f>
        <v/>
      </c>
      <c r="C1930" s="5" t="str">
        <f>IF('FUENTE NO BORRAR'!C1948="","",'FUENTE NO BORRAR'!C1948)</f>
        <v/>
      </c>
      <c r="D1930" s="5" t="str">
        <f>IF('FUENTE NO BORRAR'!D1948="","",'FUENTE NO BORRAR'!D1948)</f>
        <v/>
      </c>
      <c r="E1930" s="5" t="str">
        <f>IF('FUENTE NO BORRAR'!E1948="","",'FUENTE NO BORRAR'!E1948)</f>
        <v/>
      </c>
      <c r="F1930" s="6">
        <f>IF('FUENTE NO BORRAR'!F1948="","",IF('FUENTE NO BORRAR'!$A1948&lt;&gt;"Resultado total",('FUENTE NO BORRAR'!F1948),""))</f>
        <v>4231.09</v>
      </c>
      <c r="G1930" s="6">
        <f>IF('FUENTE NO BORRAR'!G1948="","",IF('FUENTE NO BORRAR'!$A1948&lt;&gt;"Resultado total",('FUENTE NO BORRAR'!G1948),""))</f>
        <v>4231.09</v>
      </c>
      <c r="H1930" s="6">
        <f>IF('FUENTE NO BORRAR'!H1948="","",IF('FUENTE NO BORRAR'!$A1948&lt;&gt;"Resultado total",('FUENTE NO BORRAR'!H1948),""))</f>
        <v>4231.09</v>
      </c>
      <c r="I1930" s="6">
        <f>IF('FUENTE NO BORRAR'!I1948="","",IF('FUENTE NO BORRAR'!$A1948&lt;&gt;"Resultado total",('FUENTE NO BORRAR'!I1948),""))</f>
        <v>0</v>
      </c>
    </row>
    <row r="1931" spans="1:9" x14ac:dyDescent="0.2">
      <c r="A1931" s="5" t="str">
        <f>IF('FUENTE NO BORRAR'!A1949="","",(IF('FUENTE NO BORRAR'!A1949&lt;&gt;"Resultado total",'FUENTE NO BORRAR'!A1949,"")))</f>
        <v/>
      </c>
      <c r="B1931" s="5" t="str">
        <f>IF('FUENTE NO BORRAR'!B1949="","",'FUENTE NO BORRAR'!B1949)</f>
        <v/>
      </c>
      <c r="C1931" s="5" t="str">
        <f>IF('FUENTE NO BORRAR'!C1949="","",'FUENTE NO BORRAR'!C1949)</f>
        <v/>
      </c>
      <c r="D1931" s="5" t="str">
        <f>IF('FUENTE NO BORRAR'!D1949="","",'FUENTE NO BORRAR'!D1949)</f>
        <v/>
      </c>
      <c r="E1931" s="5" t="str">
        <f>IF('FUENTE NO BORRAR'!E1949="","",'FUENTE NO BORRAR'!E1949)</f>
        <v/>
      </c>
      <c r="F1931" s="6">
        <f>IF('FUENTE NO BORRAR'!F1949="","",IF('FUENTE NO BORRAR'!$A1949&lt;&gt;"Resultado total",('FUENTE NO BORRAR'!F1949),""))</f>
        <v>1979.45</v>
      </c>
      <c r="G1931" s="6">
        <f>IF('FUENTE NO BORRAR'!G1949="","",IF('FUENTE NO BORRAR'!$A1949&lt;&gt;"Resultado total",('FUENTE NO BORRAR'!G1949),""))</f>
        <v>1979.45</v>
      </c>
      <c r="H1931" s="6">
        <f>IF('FUENTE NO BORRAR'!H1949="","",IF('FUENTE NO BORRAR'!$A1949&lt;&gt;"Resultado total",('FUENTE NO BORRAR'!H1949),""))</f>
        <v>1979.45</v>
      </c>
      <c r="I1931" s="6">
        <f>IF('FUENTE NO BORRAR'!I1949="","",IF('FUENTE NO BORRAR'!$A1949&lt;&gt;"Resultado total",('FUENTE NO BORRAR'!I1949),""))</f>
        <v>0</v>
      </c>
    </row>
    <row r="1932" spans="1:9" x14ac:dyDescent="0.2">
      <c r="A1932" s="5" t="str">
        <f>IF('FUENTE NO BORRAR'!A1950="","",(IF('FUENTE NO BORRAR'!A1950&lt;&gt;"Resultado total",'FUENTE NO BORRAR'!A1950,"")))</f>
        <v/>
      </c>
      <c r="B1932" s="5" t="str">
        <f>IF('FUENTE NO BORRAR'!B1950="","",'FUENTE NO BORRAR'!B1950)</f>
        <v/>
      </c>
      <c r="C1932" s="5" t="str">
        <f>IF('FUENTE NO BORRAR'!C1950="","",'FUENTE NO BORRAR'!C1950)</f>
        <v/>
      </c>
      <c r="D1932" s="5" t="str">
        <f>IF('FUENTE NO BORRAR'!D1950="","",'FUENTE NO BORRAR'!D1950)</f>
        <v/>
      </c>
      <c r="E1932" s="5" t="str">
        <f>IF('FUENTE NO BORRAR'!E1950="","",'FUENTE NO BORRAR'!E1950)</f>
        <v/>
      </c>
      <c r="F1932" s="6">
        <f>IF('FUENTE NO BORRAR'!F1950="","",IF('FUENTE NO BORRAR'!$A1950&lt;&gt;"Resultado total",('FUENTE NO BORRAR'!F1950),""))</f>
        <v>10642.92</v>
      </c>
      <c r="G1932" s="6">
        <f>IF('FUENTE NO BORRAR'!G1950="","",IF('FUENTE NO BORRAR'!$A1950&lt;&gt;"Resultado total",('FUENTE NO BORRAR'!G1950),""))</f>
        <v>10642.92</v>
      </c>
      <c r="H1932" s="6">
        <f>IF('FUENTE NO BORRAR'!H1950="","",IF('FUENTE NO BORRAR'!$A1950&lt;&gt;"Resultado total",('FUENTE NO BORRAR'!H1950),""))</f>
        <v>10642.92</v>
      </c>
      <c r="I1932" s="6">
        <f>IF('FUENTE NO BORRAR'!I1950="","",IF('FUENTE NO BORRAR'!$A1950&lt;&gt;"Resultado total",('FUENTE NO BORRAR'!I1950),""))</f>
        <v>0</v>
      </c>
    </row>
    <row r="1933" spans="1:9" x14ac:dyDescent="0.2">
      <c r="A1933" s="5" t="str">
        <f>IF('FUENTE NO BORRAR'!A1951="","",(IF('FUENTE NO BORRAR'!A1951&lt;&gt;"Resultado total",'FUENTE NO BORRAR'!A1951,"")))</f>
        <v/>
      </c>
      <c r="B1933" s="5" t="str">
        <f>IF('FUENTE NO BORRAR'!B1951="","",'FUENTE NO BORRAR'!B1951)</f>
        <v/>
      </c>
      <c r="C1933" s="5" t="str">
        <f>IF('FUENTE NO BORRAR'!C1951="","",'FUENTE NO BORRAR'!C1951)</f>
        <v/>
      </c>
      <c r="D1933" s="5" t="str">
        <f>IF('FUENTE NO BORRAR'!D1951="","",'FUENTE NO BORRAR'!D1951)</f>
        <v/>
      </c>
      <c r="E1933" s="5" t="str">
        <f>IF('FUENTE NO BORRAR'!E1951="","",'FUENTE NO BORRAR'!E1951)</f>
        <v/>
      </c>
      <c r="F1933" s="6">
        <f>IF('FUENTE NO BORRAR'!F1951="","",IF('FUENTE NO BORRAR'!$A1951&lt;&gt;"Resultado total",('FUENTE NO BORRAR'!F1951),""))</f>
        <v>21523.63</v>
      </c>
      <c r="G1933" s="6">
        <f>IF('FUENTE NO BORRAR'!G1951="","",IF('FUENTE NO BORRAR'!$A1951&lt;&gt;"Resultado total",('FUENTE NO BORRAR'!G1951),""))</f>
        <v>21523.63</v>
      </c>
      <c r="H1933" s="6">
        <f>IF('FUENTE NO BORRAR'!H1951="","",IF('FUENTE NO BORRAR'!$A1951&lt;&gt;"Resultado total",('FUENTE NO BORRAR'!H1951),""))</f>
        <v>21523.63</v>
      </c>
      <c r="I1933" s="6">
        <f>IF('FUENTE NO BORRAR'!I1951="","",IF('FUENTE NO BORRAR'!$A1951&lt;&gt;"Resultado total",('FUENTE NO BORRAR'!I1951),""))</f>
        <v>0</v>
      </c>
    </row>
    <row r="1934" spans="1:9" x14ac:dyDescent="0.2">
      <c r="A1934" s="5" t="str">
        <f>IF('FUENTE NO BORRAR'!A1952="","",(IF('FUENTE NO BORRAR'!A1952&lt;&gt;"Resultado total",'FUENTE NO BORRAR'!A1952,"")))</f>
        <v/>
      </c>
      <c r="B1934" s="5" t="str">
        <f>IF('FUENTE NO BORRAR'!B1952="","",'FUENTE NO BORRAR'!B1952)</f>
        <v/>
      </c>
      <c r="C1934" s="5" t="str">
        <f>IF('FUENTE NO BORRAR'!C1952="","",'FUENTE NO BORRAR'!C1952)</f>
        <v/>
      </c>
      <c r="D1934" s="5" t="str">
        <f>IF('FUENTE NO BORRAR'!D1952="","",'FUENTE NO BORRAR'!D1952)</f>
        <v/>
      </c>
      <c r="E1934" s="5" t="str">
        <f>IF('FUENTE NO BORRAR'!E1952="","",'FUENTE NO BORRAR'!E1952)</f>
        <v/>
      </c>
      <c r="F1934" s="6">
        <f>IF('FUENTE NO BORRAR'!F1952="","",IF('FUENTE NO BORRAR'!$A1952&lt;&gt;"Resultado total",('FUENTE NO BORRAR'!F1952),""))</f>
        <v>7247.75</v>
      </c>
      <c r="G1934" s="6">
        <f>IF('FUENTE NO BORRAR'!G1952="","",IF('FUENTE NO BORRAR'!$A1952&lt;&gt;"Resultado total",('FUENTE NO BORRAR'!G1952),""))</f>
        <v>7247.75</v>
      </c>
      <c r="H1934" s="6">
        <f>IF('FUENTE NO BORRAR'!H1952="","",IF('FUENTE NO BORRAR'!$A1952&lt;&gt;"Resultado total",('FUENTE NO BORRAR'!H1952),""))</f>
        <v>7247.75</v>
      </c>
      <c r="I1934" s="6">
        <f>IF('FUENTE NO BORRAR'!I1952="","",IF('FUENTE NO BORRAR'!$A1952&lt;&gt;"Resultado total",('FUENTE NO BORRAR'!I1952),""))</f>
        <v>0</v>
      </c>
    </row>
    <row r="1935" spans="1:9" x14ac:dyDescent="0.2">
      <c r="A1935" s="5" t="str">
        <f>IF('FUENTE NO BORRAR'!A1953="","",(IF('FUENTE NO BORRAR'!A1953&lt;&gt;"Resultado total",'FUENTE NO BORRAR'!A1953,"")))</f>
        <v/>
      </c>
      <c r="B1935" s="5" t="str">
        <f>IF('FUENTE NO BORRAR'!B1953="","",'FUENTE NO BORRAR'!B1953)</f>
        <v/>
      </c>
      <c r="C1935" s="5" t="str">
        <f>IF('FUENTE NO BORRAR'!C1953="","",'FUENTE NO BORRAR'!C1953)</f>
        <v/>
      </c>
      <c r="D1935" s="5" t="str">
        <f>IF('FUENTE NO BORRAR'!D1953="","",'FUENTE NO BORRAR'!D1953)</f>
        <v/>
      </c>
      <c r="E1935" s="5" t="str">
        <f>IF('FUENTE NO BORRAR'!E1953="","",'FUENTE NO BORRAR'!E1953)</f>
        <v/>
      </c>
      <c r="F1935" s="6">
        <f>IF('FUENTE NO BORRAR'!F1953="","",IF('FUENTE NO BORRAR'!$A1953&lt;&gt;"Resultado total",('FUENTE NO BORRAR'!F1953),""))</f>
        <v>0</v>
      </c>
      <c r="G1935" s="6">
        <f>IF('FUENTE NO BORRAR'!G1953="","",IF('FUENTE NO BORRAR'!$A1953&lt;&gt;"Resultado total",('FUENTE NO BORRAR'!G1953),""))</f>
        <v>0</v>
      </c>
      <c r="H1935" s="6">
        <f>IF('FUENTE NO BORRAR'!H1953="","",IF('FUENTE NO BORRAR'!$A1953&lt;&gt;"Resultado total",('FUENTE NO BORRAR'!H1953),""))</f>
        <v>0</v>
      </c>
      <c r="I1935" s="6">
        <f>IF('FUENTE NO BORRAR'!I1953="","",IF('FUENTE NO BORRAR'!$A1953&lt;&gt;"Resultado total",('FUENTE NO BORRAR'!I1953),""))</f>
        <v>0</v>
      </c>
    </row>
    <row r="1936" spans="1:9" x14ac:dyDescent="0.2">
      <c r="A1936" s="5" t="str">
        <f>IF('FUENTE NO BORRAR'!A1954="","",(IF('FUENTE NO BORRAR'!A1954&lt;&gt;"Resultado total",'FUENTE NO BORRAR'!A1954,"")))</f>
        <v/>
      </c>
      <c r="B1936" s="5" t="str">
        <f>IF('FUENTE NO BORRAR'!B1954="","",'FUENTE NO BORRAR'!B1954)</f>
        <v/>
      </c>
      <c r="C1936" s="5" t="str">
        <f>IF('FUENTE NO BORRAR'!C1954="","",'FUENTE NO BORRAR'!C1954)</f>
        <v/>
      </c>
      <c r="D1936" s="5" t="str">
        <f>IF('FUENTE NO BORRAR'!D1954="","",'FUENTE NO BORRAR'!D1954)</f>
        <v/>
      </c>
      <c r="E1936" s="5" t="str">
        <f>IF('FUENTE NO BORRAR'!E1954="","",'FUENTE NO BORRAR'!E1954)</f>
        <v/>
      </c>
      <c r="F1936" s="6">
        <f>IF('FUENTE NO BORRAR'!F1954="","",IF('FUENTE NO BORRAR'!$A1954&lt;&gt;"Resultado total",('FUENTE NO BORRAR'!F1954),""))</f>
        <v>0</v>
      </c>
      <c r="G1936" s="6">
        <f>IF('FUENTE NO BORRAR'!G1954="","",IF('FUENTE NO BORRAR'!$A1954&lt;&gt;"Resultado total",('FUENTE NO BORRAR'!G1954),""))</f>
        <v>0</v>
      </c>
      <c r="H1936" s="6">
        <f>IF('FUENTE NO BORRAR'!H1954="","",IF('FUENTE NO BORRAR'!$A1954&lt;&gt;"Resultado total",('FUENTE NO BORRAR'!H1954),""))</f>
        <v>0</v>
      </c>
      <c r="I1936" s="6">
        <f>IF('FUENTE NO BORRAR'!I1954="","",IF('FUENTE NO BORRAR'!$A1954&lt;&gt;"Resultado total",('FUENTE NO BORRAR'!I1954),""))</f>
        <v>0</v>
      </c>
    </row>
    <row r="1937" spans="1:9" x14ac:dyDescent="0.2">
      <c r="A1937" s="5" t="str">
        <f>IF('FUENTE NO BORRAR'!A1955="","",(IF('FUENTE NO BORRAR'!A1955&lt;&gt;"Resultado total",'FUENTE NO BORRAR'!A1955,"")))</f>
        <v/>
      </c>
      <c r="B1937" s="5" t="str">
        <f>IF('FUENTE NO BORRAR'!B1955="","",'FUENTE NO BORRAR'!B1955)</f>
        <v/>
      </c>
      <c r="C1937" s="5" t="str">
        <f>IF('FUENTE NO BORRAR'!C1955="","",'FUENTE NO BORRAR'!C1955)</f>
        <v/>
      </c>
      <c r="D1937" s="5" t="str">
        <f>IF('FUENTE NO BORRAR'!D1955="","",'FUENTE NO BORRAR'!D1955)</f>
        <v/>
      </c>
      <c r="E1937" s="5" t="str">
        <f>IF('FUENTE NO BORRAR'!E1955="","",'FUENTE NO BORRAR'!E1955)</f>
        <v/>
      </c>
      <c r="F1937" s="6">
        <f>IF('FUENTE NO BORRAR'!F1955="","",IF('FUENTE NO BORRAR'!$A1955&lt;&gt;"Resultado total",('FUENTE NO BORRAR'!F1955),""))</f>
        <v>0</v>
      </c>
      <c r="G1937" s="6">
        <f>IF('FUENTE NO BORRAR'!G1955="","",IF('FUENTE NO BORRAR'!$A1955&lt;&gt;"Resultado total",('FUENTE NO BORRAR'!G1955),""))</f>
        <v>0</v>
      </c>
      <c r="H1937" s="6">
        <f>IF('FUENTE NO BORRAR'!H1955="","",IF('FUENTE NO BORRAR'!$A1955&lt;&gt;"Resultado total",('FUENTE NO BORRAR'!H1955),""))</f>
        <v>0</v>
      </c>
      <c r="I1937" s="6">
        <f>IF('FUENTE NO BORRAR'!I1955="","",IF('FUENTE NO BORRAR'!$A1955&lt;&gt;"Resultado total",('FUENTE NO BORRAR'!I1955),""))</f>
        <v>0</v>
      </c>
    </row>
    <row r="1938" spans="1:9" x14ac:dyDescent="0.2">
      <c r="A1938" s="5" t="str">
        <f>IF('FUENTE NO BORRAR'!A1956="","",(IF('FUENTE NO BORRAR'!A1956&lt;&gt;"Resultado total",'FUENTE NO BORRAR'!A1956,"")))</f>
        <v/>
      </c>
      <c r="B1938" s="5" t="str">
        <f>IF('FUENTE NO BORRAR'!B1956="","",'FUENTE NO BORRAR'!B1956)</f>
        <v/>
      </c>
      <c r="C1938" s="5" t="str">
        <f>IF('FUENTE NO BORRAR'!C1956="","",'FUENTE NO BORRAR'!C1956)</f>
        <v/>
      </c>
      <c r="D1938" s="5" t="str">
        <f>IF('FUENTE NO BORRAR'!D1956="","",'FUENTE NO BORRAR'!D1956)</f>
        <v/>
      </c>
      <c r="E1938" s="5" t="str">
        <f>IF('FUENTE NO BORRAR'!E1956="","",'FUENTE NO BORRAR'!E1956)</f>
        <v/>
      </c>
      <c r="F1938" s="6">
        <f>IF('FUENTE NO BORRAR'!F1956="","",IF('FUENTE NO BORRAR'!$A1956&lt;&gt;"Resultado total",('FUENTE NO BORRAR'!F1956),""))</f>
        <v>0</v>
      </c>
      <c r="G1938" s="6">
        <f>IF('FUENTE NO BORRAR'!G1956="","",IF('FUENTE NO BORRAR'!$A1956&lt;&gt;"Resultado total",('FUENTE NO BORRAR'!G1956),""))</f>
        <v>0</v>
      </c>
      <c r="H1938" s="6">
        <f>IF('FUENTE NO BORRAR'!H1956="","",IF('FUENTE NO BORRAR'!$A1956&lt;&gt;"Resultado total",('FUENTE NO BORRAR'!H1956),""))</f>
        <v>0</v>
      </c>
      <c r="I1938" s="6">
        <f>IF('FUENTE NO BORRAR'!I1956="","",IF('FUENTE NO BORRAR'!$A1956&lt;&gt;"Resultado total",('FUENTE NO BORRAR'!I1956),""))</f>
        <v>0</v>
      </c>
    </row>
    <row r="1939" spans="1:9" x14ac:dyDescent="0.2">
      <c r="A1939" s="5" t="str">
        <f>IF('FUENTE NO BORRAR'!A1957="","",(IF('FUENTE NO BORRAR'!A1957&lt;&gt;"Resultado total",'FUENTE NO BORRAR'!A1957,"")))</f>
        <v/>
      </c>
      <c r="B1939" s="5" t="str">
        <f>IF('FUENTE NO BORRAR'!B1957="","",'FUENTE NO BORRAR'!B1957)</f>
        <v/>
      </c>
      <c r="C1939" s="5" t="str">
        <f>IF('FUENTE NO BORRAR'!C1957="","",'FUENTE NO BORRAR'!C1957)</f>
        <v/>
      </c>
      <c r="D1939" s="5" t="str">
        <f>IF('FUENTE NO BORRAR'!D1957="","",'FUENTE NO BORRAR'!D1957)</f>
        <v/>
      </c>
      <c r="E1939" s="5" t="str">
        <f>IF('FUENTE NO BORRAR'!E1957="","",'FUENTE NO BORRAR'!E1957)</f>
        <v/>
      </c>
      <c r="F1939" s="6">
        <f>IF('FUENTE NO BORRAR'!F1957="","",IF('FUENTE NO BORRAR'!$A1957&lt;&gt;"Resultado total",('FUENTE NO BORRAR'!F1957),""))</f>
        <v>0</v>
      </c>
      <c r="G1939" s="6">
        <f>IF('FUENTE NO BORRAR'!G1957="","",IF('FUENTE NO BORRAR'!$A1957&lt;&gt;"Resultado total",('FUENTE NO BORRAR'!G1957),""))</f>
        <v>0</v>
      </c>
      <c r="H1939" s="6">
        <f>IF('FUENTE NO BORRAR'!H1957="","",IF('FUENTE NO BORRAR'!$A1957&lt;&gt;"Resultado total",('FUENTE NO BORRAR'!H1957),""))</f>
        <v>0</v>
      </c>
      <c r="I1939" s="6">
        <f>IF('FUENTE NO BORRAR'!I1957="","",IF('FUENTE NO BORRAR'!$A1957&lt;&gt;"Resultado total",('FUENTE NO BORRAR'!I1957),""))</f>
        <v>0</v>
      </c>
    </row>
    <row r="1940" spans="1:9" x14ac:dyDescent="0.2">
      <c r="A1940" s="5" t="str">
        <f>IF('FUENTE NO BORRAR'!A1958="","",(IF('FUENTE NO BORRAR'!A1958&lt;&gt;"Resultado total",'FUENTE NO BORRAR'!A1958,"")))</f>
        <v/>
      </c>
      <c r="B1940" s="5" t="str">
        <f>IF('FUENTE NO BORRAR'!B1958="","",'FUENTE NO BORRAR'!B1958)</f>
        <v/>
      </c>
      <c r="C1940" s="5" t="str">
        <f>IF('FUENTE NO BORRAR'!C1958="","",'FUENTE NO BORRAR'!C1958)</f>
        <v/>
      </c>
      <c r="D1940" s="5" t="str">
        <f>IF('FUENTE NO BORRAR'!D1958="","",'FUENTE NO BORRAR'!D1958)</f>
        <v/>
      </c>
      <c r="E1940" s="5" t="str">
        <f>IF('FUENTE NO BORRAR'!E1958="","",'FUENTE NO BORRAR'!E1958)</f>
        <v/>
      </c>
      <c r="F1940" s="6">
        <f>IF('FUENTE NO BORRAR'!F1958="","",IF('FUENTE NO BORRAR'!$A1958&lt;&gt;"Resultado total",('FUENTE NO BORRAR'!F1958),""))</f>
        <v>17.489999999999998</v>
      </c>
      <c r="G1940" s="6">
        <f>IF('FUENTE NO BORRAR'!G1958="","",IF('FUENTE NO BORRAR'!$A1958&lt;&gt;"Resultado total",('FUENTE NO BORRAR'!G1958),""))</f>
        <v>17.489999999999998</v>
      </c>
      <c r="H1940" s="6">
        <f>IF('FUENTE NO BORRAR'!H1958="","",IF('FUENTE NO BORRAR'!$A1958&lt;&gt;"Resultado total",('FUENTE NO BORRAR'!H1958),""))</f>
        <v>17.489999999999998</v>
      </c>
      <c r="I1940" s="6">
        <f>IF('FUENTE NO BORRAR'!I1958="","",IF('FUENTE NO BORRAR'!$A1958&lt;&gt;"Resultado total",('FUENTE NO BORRAR'!I1958),""))</f>
        <v>0</v>
      </c>
    </row>
    <row r="1941" spans="1:9" x14ac:dyDescent="0.2">
      <c r="A1941" s="5" t="str">
        <f>IF('FUENTE NO BORRAR'!A1959="","",(IF('FUENTE NO BORRAR'!A1959&lt;&gt;"Resultado total",'FUENTE NO BORRAR'!A1959,"")))</f>
        <v/>
      </c>
      <c r="B1941" s="5" t="str">
        <f>IF('FUENTE NO BORRAR'!B1959="","",'FUENTE NO BORRAR'!B1959)</f>
        <v/>
      </c>
      <c r="C1941" s="5" t="str">
        <f>IF('FUENTE NO BORRAR'!C1959="","",'FUENTE NO BORRAR'!C1959)</f>
        <v/>
      </c>
      <c r="D1941" s="5" t="str">
        <f>IF('FUENTE NO BORRAR'!D1959="","",'FUENTE NO BORRAR'!D1959)</f>
        <v/>
      </c>
      <c r="E1941" s="5" t="str">
        <f>IF('FUENTE NO BORRAR'!E1959="","",'FUENTE NO BORRAR'!E1959)</f>
        <v/>
      </c>
      <c r="F1941" s="6">
        <f>IF('FUENTE NO BORRAR'!F1959="","",IF('FUENTE NO BORRAR'!$A1959&lt;&gt;"Resultado total",('FUENTE NO BORRAR'!F1959),""))</f>
        <v>932.32</v>
      </c>
      <c r="G1941" s="6">
        <f>IF('FUENTE NO BORRAR'!G1959="","",IF('FUENTE NO BORRAR'!$A1959&lt;&gt;"Resultado total",('FUENTE NO BORRAR'!G1959),""))</f>
        <v>932.32</v>
      </c>
      <c r="H1941" s="6">
        <f>IF('FUENTE NO BORRAR'!H1959="","",IF('FUENTE NO BORRAR'!$A1959&lt;&gt;"Resultado total",('FUENTE NO BORRAR'!H1959),""))</f>
        <v>932.32</v>
      </c>
      <c r="I1941" s="6">
        <f>IF('FUENTE NO BORRAR'!I1959="","",IF('FUENTE NO BORRAR'!$A1959&lt;&gt;"Resultado total",('FUENTE NO BORRAR'!I1959),""))</f>
        <v>0</v>
      </c>
    </row>
    <row r="1942" spans="1:9" x14ac:dyDescent="0.2">
      <c r="A1942" s="5" t="str">
        <f>IF('FUENTE NO BORRAR'!A1960="","",(IF('FUENTE NO BORRAR'!A1960&lt;&gt;"Resultado total",'FUENTE NO BORRAR'!A1960,"")))</f>
        <v/>
      </c>
      <c r="B1942" s="5" t="str">
        <f>IF('FUENTE NO BORRAR'!B1960="","",'FUENTE NO BORRAR'!B1960)</f>
        <v/>
      </c>
      <c r="C1942" s="5" t="str">
        <f>IF('FUENTE NO BORRAR'!C1960="","",'FUENTE NO BORRAR'!C1960)</f>
        <v/>
      </c>
      <c r="D1942" s="5" t="str">
        <f>IF('FUENTE NO BORRAR'!D1960="","",'FUENTE NO BORRAR'!D1960)</f>
        <v/>
      </c>
      <c r="E1942" s="5" t="str">
        <f>IF('FUENTE NO BORRAR'!E1960="","",'FUENTE NO BORRAR'!E1960)</f>
        <v/>
      </c>
      <c r="F1942" s="6">
        <f>IF('FUENTE NO BORRAR'!F1960="","",IF('FUENTE NO BORRAR'!$A1960&lt;&gt;"Resultado total",('FUENTE NO BORRAR'!F1960),""))</f>
        <v>0</v>
      </c>
      <c r="G1942" s="6">
        <f>IF('FUENTE NO BORRAR'!G1960="","",IF('FUENTE NO BORRAR'!$A1960&lt;&gt;"Resultado total",('FUENTE NO BORRAR'!G1960),""))</f>
        <v>0</v>
      </c>
      <c r="H1942" s="6">
        <f>IF('FUENTE NO BORRAR'!H1960="","",IF('FUENTE NO BORRAR'!$A1960&lt;&gt;"Resultado total",('FUENTE NO BORRAR'!H1960),""))</f>
        <v>0</v>
      </c>
      <c r="I1942" s="6">
        <f>IF('FUENTE NO BORRAR'!I1960="","",IF('FUENTE NO BORRAR'!$A1960&lt;&gt;"Resultado total",('FUENTE NO BORRAR'!I1960),""))</f>
        <v>0</v>
      </c>
    </row>
    <row r="1943" spans="1:9" x14ac:dyDescent="0.2">
      <c r="A1943" s="5" t="str">
        <f>IF('FUENTE NO BORRAR'!A1961="","",(IF('FUENTE NO BORRAR'!A1961&lt;&gt;"Resultado total",'FUENTE NO BORRAR'!A1961,"")))</f>
        <v/>
      </c>
      <c r="B1943" s="5" t="str">
        <f>IF('FUENTE NO BORRAR'!B1961="","",'FUENTE NO BORRAR'!B1961)</f>
        <v/>
      </c>
      <c r="C1943" s="5" t="str">
        <f>IF('FUENTE NO BORRAR'!C1961="","",'FUENTE NO BORRAR'!C1961)</f>
        <v/>
      </c>
      <c r="D1943" s="5" t="str">
        <f>IF('FUENTE NO BORRAR'!D1961="","",'FUENTE NO BORRAR'!D1961)</f>
        <v/>
      </c>
      <c r="E1943" s="5" t="str">
        <f>IF('FUENTE NO BORRAR'!E1961="","",'FUENTE NO BORRAR'!E1961)</f>
        <v/>
      </c>
      <c r="F1943" s="6">
        <f>IF('FUENTE NO BORRAR'!F1961="","",IF('FUENTE NO BORRAR'!$A1961&lt;&gt;"Resultado total",('FUENTE NO BORRAR'!F1961),""))</f>
        <v>0</v>
      </c>
      <c r="G1943" s="6">
        <f>IF('FUENTE NO BORRAR'!G1961="","",IF('FUENTE NO BORRAR'!$A1961&lt;&gt;"Resultado total",('FUENTE NO BORRAR'!G1961),""))</f>
        <v>0</v>
      </c>
      <c r="H1943" s="6">
        <f>IF('FUENTE NO BORRAR'!H1961="","",IF('FUENTE NO BORRAR'!$A1961&lt;&gt;"Resultado total",('FUENTE NO BORRAR'!H1961),""))</f>
        <v>0</v>
      </c>
      <c r="I1943" s="6">
        <f>IF('FUENTE NO BORRAR'!I1961="","",IF('FUENTE NO BORRAR'!$A1961&lt;&gt;"Resultado total",('FUENTE NO BORRAR'!I1961),""))</f>
        <v>0</v>
      </c>
    </row>
    <row r="1944" spans="1:9" x14ac:dyDescent="0.2">
      <c r="A1944" s="5" t="str">
        <f>IF('FUENTE NO BORRAR'!A1962="","",(IF('FUENTE NO BORRAR'!A1962&lt;&gt;"Resultado total",'FUENTE NO BORRAR'!A1962,"")))</f>
        <v/>
      </c>
      <c r="B1944" s="5" t="str">
        <f>IF('FUENTE NO BORRAR'!B1962="","",'FUENTE NO BORRAR'!B1962)</f>
        <v/>
      </c>
      <c r="C1944" s="5" t="str">
        <f>IF('FUENTE NO BORRAR'!C1962="","",'FUENTE NO BORRAR'!C1962)</f>
        <v/>
      </c>
      <c r="D1944" s="5" t="str">
        <f>IF('FUENTE NO BORRAR'!D1962="","",'FUENTE NO BORRAR'!D1962)</f>
        <v/>
      </c>
      <c r="E1944" s="5" t="str">
        <f>IF('FUENTE NO BORRAR'!E1962="","",'FUENTE NO BORRAR'!E1962)</f>
        <v/>
      </c>
      <c r="F1944" s="6">
        <f>IF('FUENTE NO BORRAR'!F1962="","",IF('FUENTE NO BORRAR'!$A1962&lt;&gt;"Resultado total",('FUENTE NO BORRAR'!F1962),""))</f>
        <v>90.9</v>
      </c>
      <c r="G1944" s="6">
        <f>IF('FUENTE NO BORRAR'!G1962="","",IF('FUENTE NO BORRAR'!$A1962&lt;&gt;"Resultado total",('FUENTE NO BORRAR'!G1962),""))</f>
        <v>90.9</v>
      </c>
      <c r="H1944" s="6">
        <f>IF('FUENTE NO BORRAR'!H1962="","",IF('FUENTE NO BORRAR'!$A1962&lt;&gt;"Resultado total",('FUENTE NO BORRAR'!H1962),""))</f>
        <v>90.9</v>
      </c>
      <c r="I1944" s="6">
        <f>IF('FUENTE NO BORRAR'!I1962="","",IF('FUENTE NO BORRAR'!$A1962&lt;&gt;"Resultado total",('FUENTE NO BORRAR'!I1962),""))</f>
        <v>0</v>
      </c>
    </row>
    <row r="1945" spans="1:9" x14ac:dyDescent="0.2">
      <c r="A1945" s="5" t="str">
        <f>IF('FUENTE NO BORRAR'!A1963="","",(IF('FUENTE NO BORRAR'!A1963&lt;&gt;"Resultado total",'FUENTE NO BORRAR'!A1963,"")))</f>
        <v/>
      </c>
      <c r="B1945" s="5" t="str">
        <f>IF('FUENTE NO BORRAR'!B1963="","",'FUENTE NO BORRAR'!B1963)</f>
        <v/>
      </c>
      <c r="C1945" s="5" t="str">
        <f>IF('FUENTE NO BORRAR'!C1963="","",'FUENTE NO BORRAR'!C1963)</f>
        <v/>
      </c>
      <c r="D1945" s="5" t="str">
        <f>IF('FUENTE NO BORRAR'!D1963="","",'FUENTE NO BORRAR'!D1963)</f>
        <v/>
      </c>
      <c r="E1945" s="5" t="str">
        <f>IF('FUENTE NO BORRAR'!E1963="","",'FUENTE NO BORRAR'!E1963)</f>
        <v/>
      </c>
      <c r="F1945" s="6">
        <f>IF('FUENTE NO BORRAR'!F1963="","",IF('FUENTE NO BORRAR'!$A1963&lt;&gt;"Resultado total",('FUENTE NO BORRAR'!F1963),""))</f>
        <v>0</v>
      </c>
      <c r="G1945" s="6">
        <f>IF('FUENTE NO BORRAR'!G1963="","",IF('FUENTE NO BORRAR'!$A1963&lt;&gt;"Resultado total",('FUENTE NO BORRAR'!G1963),""))</f>
        <v>0</v>
      </c>
      <c r="H1945" s="6">
        <f>IF('FUENTE NO BORRAR'!H1963="","",IF('FUENTE NO BORRAR'!$A1963&lt;&gt;"Resultado total",('FUENTE NO BORRAR'!H1963),""))</f>
        <v>0</v>
      </c>
      <c r="I1945" s="6">
        <f>IF('FUENTE NO BORRAR'!I1963="","",IF('FUENTE NO BORRAR'!$A1963&lt;&gt;"Resultado total",('FUENTE NO BORRAR'!I1963),""))</f>
        <v>0</v>
      </c>
    </row>
    <row r="1946" spans="1:9" x14ac:dyDescent="0.2">
      <c r="A1946" s="5" t="str">
        <f>IF('FUENTE NO BORRAR'!A1964="","",(IF('FUENTE NO BORRAR'!A1964&lt;&gt;"Resultado total",'FUENTE NO BORRAR'!A1964,"")))</f>
        <v/>
      </c>
      <c r="B1946" s="5" t="str">
        <f>IF('FUENTE NO BORRAR'!B1964="","",'FUENTE NO BORRAR'!B1964)</f>
        <v/>
      </c>
      <c r="C1946" s="5" t="str">
        <f>IF('FUENTE NO BORRAR'!C1964="","",'FUENTE NO BORRAR'!C1964)</f>
        <v/>
      </c>
      <c r="D1946" s="5" t="str">
        <f>IF('FUENTE NO BORRAR'!D1964="","",'FUENTE NO BORRAR'!D1964)</f>
        <v/>
      </c>
      <c r="E1946" s="5" t="str">
        <f>IF('FUENTE NO BORRAR'!E1964="","",'FUENTE NO BORRAR'!E1964)</f>
        <v/>
      </c>
      <c r="F1946" s="6">
        <f>IF('FUENTE NO BORRAR'!F1964="","",IF('FUENTE NO BORRAR'!$A1964&lt;&gt;"Resultado total",('FUENTE NO BORRAR'!F1964),""))</f>
        <v>0</v>
      </c>
      <c r="G1946" s="6">
        <f>IF('FUENTE NO BORRAR'!G1964="","",IF('FUENTE NO BORRAR'!$A1964&lt;&gt;"Resultado total",('FUENTE NO BORRAR'!G1964),""))</f>
        <v>0</v>
      </c>
      <c r="H1946" s="6">
        <f>IF('FUENTE NO BORRAR'!H1964="","",IF('FUENTE NO BORRAR'!$A1964&lt;&gt;"Resultado total",('FUENTE NO BORRAR'!H1964),""))</f>
        <v>0</v>
      </c>
      <c r="I1946" s="6">
        <f>IF('FUENTE NO BORRAR'!I1964="","",IF('FUENTE NO BORRAR'!$A1964&lt;&gt;"Resultado total",('FUENTE NO BORRAR'!I1964),""))</f>
        <v>0</v>
      </c>
    </row>
    <row r="1947" spans="1:9" x14ac:dyDescent="0.2">
      <c r="A1947" s="5" t="str">
        <f>IF('FUENTE NO BORRAR'!A1965="","",(IF('FUENTE NO BORRAR'!A1965&lt;&gt;"Resultado total",'FUENTE NO BORRAR'!A1965,"")))</f>
        <v/>
      </c>
      <c r="B1947" s="5" t="str">
        <f>IF('FUENTE NO BORRAR'!B1965="","",'FUENTE NO BORRAR'!B1965)</f>
        <v/>
      </c>
      <c r="C1947" s="5" t="str">
        <f>IF('FUENTE NO BORRAR'!C1965="","",'FUENTE NO BORRAR'!C1965)</f>
        <v/>
      </c>
      <c r="D1947" s="5" t="str">
        <f>IF('FUENTE NO BORRAR'!D1965="","",'FUENTE NO BORRAR'!D1965)</f>
        <v/>
      </c>
      <c r="E1947" s="5" t="str">
        <f>IF('FUENTE NO BORRAR'!E1965="","",'FUENTE NO BORRAR'!E1965)</f>
        <v/>
      </c>
      <c r="F1947" s="6">
        <f>IF('FUENTE NO BORRAR'!F1965="","",IF('FUENTE NO BORRAR'!$A1965&lt;&gt;"Resultado total",('FUENTE NO BORRAR'!F1965),""))</f>
        <v>0</v>
      </c>
      <c r="G1947" s="6">
        <f>IF('FUENTE NO BORRAR'!G1965="","",IF('FUENTE NO BORRAR'!$A1965&lt;&gt;"Resultado total",('FUENTE NO BORRAR'!G1965),""))</f>
        <v>0</v>
      </c>
      <c r="H1947" s="6">
        <f>IF('FUENTE NO BORRAR'!H1965="","",IF('FUENTE NO BORRAR'!$A1965&lt;&gt;"Resultado total",('FUENTE NO BORRAR'!H1965),""))</f>
        <v>0</v>
      </c>
      <c r="I1947" s="6">
        <f>IF('FUENTE NO BORRAR'!I1965="","",IF('FUENTE NO BORRAR'!$A1965&lt;&gt;"Resultado total",('FUENTE NO BORRAR'!I1965),""))</f>
        <v>0</v>
      </c>
    </row>
    <row r="1948" spans="1:9" x14ac:dyDescent="0.2">
      <c r="A1948" s="5" t="str">
        <f>IF('FUENTE NO BORRAR'!A1966="","",(IF('FUENTE NO BORRAR'!A1966&lt;&gt;"Resultado total",'FUENTE NO BORRAR'!A1966,"")))</f>
        <v/>
      </c>
      <c r="B1948" s="5" t="str">
        <f>IF('FUENTE NO BORRAR'!B1966="","",'FUENTE NO BORRAR'!B1966)</f>
        <v/>
      </c>
      <c r="C1948" s="5" t="str">
        <f>IF('FUENTE NO BORRAR'!C1966="","",'FUENTE NO BORRAR'!C1966)</f>
        <v/>
      </c>
      <c r="D1948" s="5" t="str">
        <f>IF('FUENTE NO BORRAR'!D1966="","",'FUENTE NO BORRAR'!D1966)</f>
        <v/>
      </c>
      <c r="E1948" s="5" t="str">
        <f>IF('FUENTE NO BORRAR'!E1966="","",'FUENTE NO BORRAR'!E1966)</f>
        <v/>
      </c>
      <c r="F1948" s="6">
        <f>IF('FUENTE NO BORRAR'!F1966="","",IF('FUENTE NO BORRAR'!$A1966&lt;&gt;"Resultado total",('FUENTE NO BORRAR'!F1966),""))</f>
        <v>4186.93</v>
      </c>
      <c r="G1948" s="6">
        <f>IF('FUENTE NO BORRAR'!G1966="","",IF('FUENTE NO BORRAR'!$A1966&lt;&gt;"Resultado total",('FUENTE NO BORRAR'!G1966),""))</f>
        <v>4186.93</v>
      </c>
      <c r="H1948" s="6">
        <f>IF('FUENTE NO BORRAR'!H1966="","",IF('FUENTE NO BORRAR'!$A1966&lt;&gt;"Resultado total",('FUENTE NO BORRAR'!H1966),""))</f>
        <v>4186.93</v>
      </c>
      <c r="I1948" s="6">
        <f>IF('FUENTE NO BORRAR'!I1966="","",IF('FUENTE NO BORRAR'!$A1966&lt;&gt;"Resultado total",('FUENTE NO BORRAR'!I1966),""))</f>
        <v>0</v>
      </c>
    </row>
    <row r="1949" spans="1:9" x14ac:dyDescent="0.2">
      <c r="A1949" s="5" t="str">
        <f>IF('FUENTE NO BORRAR'!A1967="","",(IF('FUENTE NO BORRAR'!A1967&lt;&gt;"Resultado total",'FUENTE NO BORRAR'!A1967,"")))</f>
        <v/>
      </c>
      <c r="B1949" s="5" t="str">
        <f>IF('FUENTE NO BORRAR'!B1967="","",'FUENTE NO BORRAR'!B1967)</f>
        <v/>
      </c>
      <c r="C1949" s="5" t="str">
        <f>IF('FUENTE NO BORRAR'!C1967="","",'FUENTE NO BORRAR'!C1967)</f>
        <v/>
      </c>
      <c r="D1949" s="5" t="str">
        <f>IF('FUENTE NO BORRAR'!D1967="","",'FUENTE NO BORRAR'!D1967)</f>
        <v/>
      </c>
      <c r="E1949" s="5" t="str">
        <f>IF('FUENTE NO BORRAR'!E1967="","",'FUENTE NO BORRAR'!E1967)</f>
        <v/>
      </c>
      <c r="F1949" s="6">
        <f>IF('FUENTE NO BORRAR'!F1967="","",IF('FUENTE NO BORRAR'!$A1967&lt;&gt;"Resultado total",('FUENTE NO BORRAR'!F1967),""))</f>
        <v>0</v>
      </c>
      <c r="G1949" s="6">
        <f>IF('FUENTE NO BORRAR'!G1967="","",IF('FUENTE NO BORRAR'!$A1967&lt;&gt;"Resultado total",('FUENTE NO BORRAR'!G1967),""))</f>
        <v>0</v>
      </c>
      <c r="H1949" s="6">
        <f>IF('FUENTE NO BORRAR'!H1967="","",IF('FUENTE NO BORRAR'!$A1967&lt;&gt;"Resultado total",('FUENTE NO BORRAR'!H1967),""))</f>
        <v>0</v>
      </c>
      <c r="I1949" s="6">
        <f>IF('FUENTE NO BORRAR'!I1967="","",IF('FUENTE NO BORRAR'!$A1967&lt;&gt;"Resultado total",('FUENTE NO BORRAR'!I1967),""))</f>
        <v>0</v>
      </c>
    </row>
    <row r="1950" spans="1:9" x14ac:dyDescent="0.2">
      <c r="A1950" s="5" t="str">
        <f>IF('FUENTE NO BORRAR'!A1968="","",(IF('FUENTE NO BORRAR'!A1968&lt;&gt;"Resultado total",'FUENTE NO BORRAR'!A1968,"")))</f>
        <v/>
      </c>
      <c r="B1950" s="5" t="str">
        <f>IF('FUENTE NO BORRAR'!B1968="","",'FUENTE NO BORRAR'!B1968)</f>
        <v/>
      </c>
      <c r="C1950" s="5" t="str">
        <f>IF('FUENTE NO BORRAR'!C1968="","",'FUENTE NO BORRAR'!C1968)</f>
        <v/>
      </c>
      <c r="D1950" s="5" t="str">
        <f>IF('FUENTE NO BORRAR'!D1968="","",'FUENTE NO BORRAR'!D1968)</f>
        <v/>
      </c>
      <c r="E1950" s="5" t="str">
        <f>IF('FUENTE NO BORRAR'!E1968="","",'FUENTE NO BORRAR'!E1968)</f>
        <v/>
      </c>
      <c r="F1950" s="6">
        <f>IF('FUENTE NO BORRAR'!F1968="","",IF('FUENTE NO BORRAR'!$A1968&lt;&gt;"Resultado total",('FUENTE NO BORRAR'!F1968),""))</f>
        <v>651456</v>
      </c>
      <c r="G1950" s="6">
        <f>IF('FUENTE NO BORRAR'!G1968="","",IF('FUENTE NO BORRAR'!$A1968&lt;&gt;"Resultado total",('FUENTE NO BORRAR'!G1968),""))</f>
        <v>651456</v>
      </c>
      <c r="H1950" s="6">
        <f>IF('FUENTE NO BORRAR'!H1968="","",IF('FUENTE NO BORRAR'!$A1968&lt;&gt;"Resultado total",('FUENTE NO BORRAR'!H1968),""))</f>
        <v>597168</v>
      </c>
      <c r="I1950" s="6">
        <f>IF('FUENTE NO BORRAR'!I1968="","",IF('FUENTE NO BORRAR'!$A1968&lt;&gt;"Resultado total",('FUENTE NO BORRAR'!I1968),""))</f>
        <v>0</v>
      </c>
    </row>
    <row r="1951" spans="1:9" x14ac:dyDescent="0.2">
      <c r="A1951" s="5" t="str">
        <f>IF('FUENTE NO BORRAR'!A1969="","",(IF('FUENTE NO BORRAR'!A1969&lt;&gt;"Resultado total",'FUENTE NO BORRAR'!A1969,"")))</f>
        <v/>
      </c>
      <c r="B1951" s="5" t="str">
        <f>IF('FUENTE NO BORRAR'!B1969="","",'FUENTE NO BORRAR'!B1969)</f>
        <v/>
      </c>
      <c r="C1951" s="5" t="str">
        <f>IF('FUENTE NO BORRAR'!C1969="","",'FUENTE NO BORRAR'!C1969)</f>
        <v/>
      </c>
      <c r="D1951" s="5" t="str">
        <f>IF('FUENTE NO BORRAR'!D1969="","",'FUENTE NO BORRAR'!D1969)</f>
        <v/>
      </c>
      <c r="E1951" s="5" t="str">
        <f>IF('FUENTE NO BORRAR'!E1969="","",'FUENTE NO BORRAR'!E1969)</f>
        <v/>
      </c>
      <c r="F1951" s="6">
        <f>IF('FUENTE NO BORRAR'!F1969="","",IF('FUENTE NO BORRAR'!$A1969&lt;&gt;"Resultado total",('FUENTE NO BORRAR'!F1969),""))</f>
        <v>0</v>
      </c>
      <c r="G1951" s="6">
        <f>IF('FUENTE NO BORRAR'!G1969="","",IF('FUENTE NO BORRAR'!$A1969&lt;&gt;"Resultado total",('FUENTE NO BORRAR'!G1969),""))</f>
        <v>0</v>
      </c>
      <c r="H1951" s="6">
        <f>IF('FUENTE NO BORRAR'!H1969="","",IF('FUENTE NO BORRAR'!$A1969&lt;&gt;"Resultado total",('FUENTE NO BORRAR'!H1969),""))</f>
        <v>0</v>
      </c>
      <c r="I1951" s="6">
        <f>IF('FUENTE NO BORRAR'!I1969="","",IF('FUENTE NO BORRAR'!$A1969&lt;&gt;"Resultado total",('FUENTE NO BORRAR'!I1969),""))</f>
        <v>0</v>
      </c>
    </row>
    <row r="1952" spans="1:9" x14ac:dyDescent="0.2">
      <c r="A1952" s="5" t="str">
        <f>IF('FUENTE NO BORRAR'!A1970="","",(IF('FUENTE NO BORRAR'!A1970&lt;&gt;"Resultado total",'FUENTE NO BORRAR'!A1970,"")))</f>
        <v/>
      </c>
      <c r="B1952" s="5" t="str">
        <f>IF('FUENTE NO BORRAR'!B1970="","",'FUENTE NO BORRAR'!B1970)</f>
        <v/>
      </c>
      <c r="C1952" s="5" t="str">
        <f>IF('FUENTE NO BORRAR'!C1970="","",'FUENTE NO BORRAR'!C1970)</f>
        <v/>
      </c>
      <c r="D1952" s="5" t="str">
        <f>IF('FUENTE NO BORRAR'!D1970="","",'FUENTE NO BORRAR'!D1970)</f>
        <v/>
      </c>
      <c r="E1952" s="5" t="str">
        <f>IF('FUENTE NO BORRAR'!E1970="","",'FUENTE NO BORRAR'!E1970)</f>
        <v/>
      </c>
      <c r="F1952" s="6">
        <f>IF('FUENTE NO BORRAR'!F1970="","",IF('FUENTE NO BORRAR'!$A1970&lt;&gt;"Resultado total",('FUENTE NO BORRAR'!F1970),""))</f>
        <v>0</v>
      </c>
      <c r="G1952" s="6">
        <f>IF('FUENTE NO BORRAR'!G1970="","",IF('FUENTE NO BORRAR'!$A1970&lt;&gt;"Resultado total",('FUENTE NO BORRAR'!G1970),""))</f>
        <v>0</v>
      </c>
      <c r="H1952" s="6">
        <f>IF('FUENTE NO BORRAR'!H1970="","",IF('FUENTE NO BORRAR'!$A1970&lt;&gt;"Resultado total",('FUENTE NO BORRAR'!H1970),""))</f>
        <v>0</v>
      </c>
      <c r="I1952" s="6">
        <f>IF('FUENTE NO BORRAR'!I1970="","",IF('FUENTE NO BORRAR'!$A1970&lt;&gt;"Resultado total",('FUENTE NO BORRAR'!I1970),""))</f>
        <v>0</v>
      </c>
    </row>
    <row r="1953" spans="1:9" x14ac:dyDescent="0.2">
      <c r="A1953" s="5" t="str">
        <f>IF('FUENTE NO BORRAR'!A1971="","",(IF('FUENTE NO BORRAR'!A1971&lt;&gt;"Resultado total",'FUENTE NO BORRAR'!A1971,"")))</f>
        <v/>
      </c>
      <c r="B1953" s="5" t="str">
        <f>IF('FUENTE NO BORRAR'!B1971="","",'FUENTE NO BORRAR'!B1971)</f>
        <v/>
      </c>
      <c r="C1953" s="5" t="str">
        <f>IF('FUENTE NO BORRAR'!C1971="","",'FUENTE NO BORRAR'!C1971)</f>
        <v/>
      </c>
      <c r="D1953" s="5" t="str">
        <f>IF('FUENTE NO BORRAR'!D1971="","",'FUENTE NO BORRAR'!D1971)</f>
        <v/>
      </c>
      <c r="E1953" s="5" t="str">
        <f>IF('FUENTE NO BORRAR'!E1971="","",'FUENTE NO BORRAR'!E1971)</f>
        <v/>
      </c>
      <c r="F1953" s="6">
        <f>IF('FUENTE NO BORRAR'!F1971="","",IF('FUENTE NO BORRAR'!$A1971&lt;&gt;"Resultado total",('FUENTE NO BORRAR'!F1971),""))</f>
        <v>0</v>
      </c>
      <c r="G1953" s="6">
        <f>IF('FUENTE NO BORRAR'!G1971="","",IF('FUENTE NO BORRAR'!$A1971&lt;&gt;"Resultado total",('FUENTE NO BORRAR'!G1971),""))</f>
        <v>0</v>
      </c>
      <c r="H1953" s="6">
        <f>IF('FUENTE NO BORRAR'!H1971="","",IF('FUENTE NO BORRAR'!$A1971&lt;&gt;"Resultado total",('FUENTE NO BORRAR'!H1971),""))</f>
        <v>0</v>
      </c>
      <c r="I1953" s="6">
        <f>IF('FUENTE NO BORRAR'!I1971="","",IF('FUENTE NO BORRAR'!$A1971&lt;&gt;"Resultado total",('FUENTE NO BORRAR'!I1971),""))</f>
        <v>0</v>
      </c>
    </row>
    <row r="1954" spans="1:9" x14ac:dyDescent="0.2">
      <c r="A1954" s="5" t="str">
        <f>IF('FUENTE NO BORRAR'!A1972="","",(IF('FUENTE NO BORRAR'!A1972&lt;&gt;"Resultado total",'FUENTE NO BORRAR'!A1972,"")))</f>
        <v/>
      </c>
      <c r="B1954" s="5" t="str">
        <f>IF('FUENTE NO BORRAR'!B1972="","",'FUENTE NO BORRAR'!B1972)</f>
        <v/>
      </c>
      <c r="C1954" s="5" t="str">
        <f>IF('FUENTE NO BORRAR'!C1972="","",'FUENTE NO BORRAR'!C1972)</f>
        <v/>
      </c>
      <c r="D1954" s="5" t="str">
        <f>IF('FUENTE NO BORRAR'!D1972="","",'FUENTE NO BORRAR'!D1972)</f>
        <v/>
      </c>
      <c r="E1954" s="5" t="str">
        <f>IF('FUENTE NO BORRAR'!E1972="","",'FUENTE NO BORRAR'!E1972)</f>
        <v/>
      </c>
      <c r="F1954" s="6">
        <f>IF('FUENTE NO BORRAR'!F1972="","",IF('FUENTE NO BORRAR'!$A1972&lt;&gt;"Resultado total",('FUENTE NO BORRAR'!F1972),""))</f>
        <v>0</v>
      </c>
      <c r="G1954" s="6">
        <f>IF('FUENTE NO BORRAR'!G1972="","",IF('FUENTE NO BORRAR'!$A1972&lt;&gt;"Resultado total",('FUENTE NO BORRAR'!G1972),""))</f>
        <v>0</v>
      </c>
      <c r="H1954" s="6">
        <f>IF('FUENTE NO BORRAR'!H1972="","",IF('FUENTE NO BORRAR'!$A1972&lt;&gt;"Resultado total",('FUENTE NO BORRAR'!H1972),""))</f>
        <v>0</v>
      </c>
      <c r="I1954" s="6">
        <f>IF('FUENTE NO BORRAR'!I1972="","",IF('FUENTE NO BORRAR'!$A1972&lt;&gt;"Resultado total",('FUENTE NO BORRAR'!I1972),""))</f>
        <v>0</v>
      </c>
    </row>
    <row r="1955" spans="1:9" x14ac:dyDescent="0.2">
      <c r="A1955" s="5" t="str">
        <f>IF('FUENTE NO BORRAR'!A1973="","",(IF('FUENTE NO BORRAR'!A1973&lt;&gt;"Resultado total",'FUENTE NO BORRAR'!A1973,"")))</f>
        <v/>
      </c>
      <c r="B1955" s="5" t="str">
        <f>IF('FUENTE NO BORRAR'!B1973="","",'FUENTE NO BORRAR'!B1973)</f>
        <v/>
      </c>
      <c r="C1955" s="5" t="str">
        <f>IF('FUENTE NO BORRAR'!C1973="","",'FUENTE NO BORRAR'!C1973)</f>
        <v/>
      </c>
      <c r="D1955" s="5" t="str">
        <f>IF('FUENTE NO BORRAR'!D1973="","",'FUENTE NO BORRAR'!D1973)</f>
        <v/>
      </c>
      <c r="E1955" s="5" t="str">
        <f>IF('FUENTE NO BORRAR'!E1973="","",'FUENTE NO BORRAR'!E1973)</f>
        <v/>
      </c>
      <c r="F1955" s="6">
        <f>IF('FUENTE NO BORRAR'!F1973="","",IF('FUENTE NO BORRAR'!$A1973&lt;&gt;"Resultado total",('FUENTE NO BORRAR'!F1973),""))</f>
        <v>701.8</v>
      </c>
      <c r="G1955" s="6">
        <f>IF('FUENTE NO BORRAR'!G1973="","",IF('FUENTE NO BORRAR'!$A1973&lt;&gt;"Resultado total",('FUENTE NO BORRAR'!G1973),""))</f>
        <v>701.8</v>
      </c>
      <c r="H1955" s="6">
        <f>IF('FUENTE NO BORRAR'!H1973="","",IF('FUENTE NO BORRAR'!$A1973&lt;&gt;"Resultado total",('FUENTE NO BORRAR'!H1973),""))</f>
        <v>701.8</v>
      </c>
      <c r="I1955" s="6">
        <f>IF('FUENTE NO BORRAR'!I1973="","",IF('FUENTE NO BORRAR'!$A1973&lt;&gt;"Resultado total",('FUENTE NO BORRAR'!I1973),""))</f>
        <v>0</v>
      </c>
    </row>
    <row r="1956" spans="1:9" x14ac:dyDescent="0.2">
      <c r="A1956" s="5" t="str">
        <f>IF('FUENTE NO BORRAR'!A1974="","",(IF('FUENTE NO BORRAR'!A1974&lt;&gt;"Resultado total",'FUENTE NO BORRAR'!A1974,"")))</f>
        <v/>
      </c>
      <c r="B1956" s="5" t="str">
        <f>IF('FUENTE NO BORRAR'!B1974="","",'FUENTE NO BORRAR'!B1974)</f>
        <v/>
      </c>
      <c r="C1956" s="5" t="str">
        <f>IF('FUENTE NO BORRAR'!C1974="","",'FUENTE NO BORRAR'!C1974)</f>
        <v/>
      </c>
      <c r="D1956" s="5" t="str">
        <f>IF('FUENTE NO BORRAR'!D1974="","",'FUENTE NO BORRAR'!D1974)</f>
        <v/>
      </c>
      <c r="E1956" s="5" t="str">
        <f>IF('FUENTE NO BORRAR'!E1974="","",'FUENTE NO BORRAR'!E1974)</f>
        <v/>
      </c>
      <c r="F1956" s="6">
        <f>IF('FUENTE NO BORRAR'!F1974="","",IF('FUENTE NO BORRAR'!$A1974&lt;&gt;"Resultado total",('FUENTE NO BORRAR'!F1974),""))</f>
        <v>0</v>
      </c>
      <c r="G1956" s="6">
        <f>IF('FUENTE NO BORRAR'!G1974="","",IF('FUENTE NO BORRAR'!$A1974&lt;&gt;"Resultado total",('FUENTE NO BORRAR'!G1974),""))</f>
        <v>0</v>
      </c>
      <c r="H1956" s="6">
        <f>IF('FUENTE NO BORRAR'!H1974="","",IF('FUENTE NO BORRAR'!$A1974&lt;&gt;"Resultado total",('FUENTE NO BORRAR'!H1974),""))</f>
        <v>0</v>
      </c>
      <c r="I1956" s="6">
        <f>IF('FUENTE NO BORRAR'!I1974="","",IF('FUENTE NO BORRAR'!$A1974&lt;&gt;"Resultado total",('FUENTE NO BORRAR'!I1974),""))</f>
        <v>0</v>
      </c>
    </row>
    <row r="1957" spans="1:9" x14ac:dyDescent="0.2">
      <c r="A1957" s="5" t="str">
        <f>IF('FUENTE NO BORRAR'!A1975="","",(IF('FUENTE NO BORRAR'!A1975&lt;&gt;"Resultado total",'FUENTE NO BORRAR'!A1975,"")))</f>
        <v/>
      </c>
      <c r="B1957" s="5" t="str">
        <f>IF('FUENTE NO BORRAR'!B1975="","",'FUENTE NO BORRAR'!B1975)</f>
        <v/>
      </c>
      <c r="C1957" s="5" t="str">
        <f>IF('FUENTE NO BORRAR'!C1975="","",'FUENTE NO BORRAR'!C1975)</f>
        <v/>
      </c>
      <c r="D1957" s="5" t="str">
        <f>IF('FUENTE NO BORRAR'!D1975="","",'FUENTE NO BORRAR'!D1975)</f>
        <v/>
      </c>
      <c r="E1957" s="5" t="str">
        <f>IF('FUENTE NO BORRAR'!E1975="","",'FUENTE NO BORRAR'!E1975)</f>
        <v/>
      </c>
      <c r="F1957" s="6">
        <f>IF('FUENTE NO BORRAR'!F1975="","",IF('FUENTE NO BORRAR'!$A1975&lt;&gt;"Resultado total",('FUENTE NO BORRAR'!F1975),""))</f>
        <v>0</v>
      </c>
      <c r="G1957" s="6">
        <f>IF('FUENTE NO BORRAR'!G1975="","",IF('FUENTE NO BORRAR'!$A1975&lt;&gt;"Resultado total",('FUENTE NO BORRAR'!G1975),""))</f>
        <v>0</v>
      </c>
      <c r="H1957" s="6">
        <f>IF('FUENTE NO BORRAR'!H1975="","",IF('FUENTE NO BORRAR'!$A1975&lt;&gt;"Resultado total",('FUENTE NO BORRAR'!H1975),""))</f>
        <v>0</v>
      </c>
      <c r="I1957" s="6">
        <f>IF('FUENTE NO BORRAR'!I1975="","",IF('FUENTE NO BORRAR'!$A1975&lt;&gt;"Resultado total",('FUENTE NO BORRAR'!I1975),""))</f>
        <v>0</v>
      </c>
    </row>
    <row r="1958" spans="1:9" x14ac:dyDescent="0.2">
      <c r="A1958" s="5" t="str">
        <f>IF('FUENTE NO BORRAR'!A1976="","",(IF('FUENTE NO BORRAR'!A1976&lt;&gt;"Resultado total",'FUENTE NO BORRAR'!A1976,"")))</f>
        <v/>
      </c>
      <c r="B1958" s="5" t="str">
        <f>IF('FUENTE NO BORRAR'!B1976="","",'FUENTE NO BORRAR'!B1976)</f>
        <v/>
      </c>
      <c r="C1958" s="5" t="str">
        <f>IF('FUENTE NO BORRAR'!C1976="","",'FUENTE NO BORRAR'!C1976)</f>
        <v/>
      </c>
      <c r="D1958" s="5" t="str">
        <f>IF('FUENTE NO BORRAR'!D1976="","",'FUENTE NO BORRAR'!D1976)</f>
        <v/>
      </c>
      <c r="E1958" s="5" t="str">
        <f>IF('FUENTE NO BORRAR'!E1976="","",'FUENTE NO BORRAR'!E1976)</f>
        <v/>
      </c>
      <c r="F1958" s="6">
        <f>IF('FUENTE NO BORRAR'!F1976="","",IF('FUENTE NO BORRAR'!$A1976&lt;&gt;"Resultado total",('FUENTE NO BORRAR'!F1976),""))</f>
        <v>0</v>
      </c>
      <c r="G1958" s="6">
        <f>IF('FUENTE NO BORRAR'!G1976="","",IF('FUENTE NO BORRAR'!$A1976&lt;&gt;"Resultado total",('FUENTE NO BORRAR'!G1976),""))</f>
        <v>0</v>
      </c>
      <c r="H1958" s="6">
        <f>IF('FUENTE NO BORRAR'!H1976="","",IF('FUENTE NO BORRAR'!$A1976&lt;&gt;"Resultado total",('FUENTE NO BORRAR'!H1976),""))</f>
        <v>0</v>
      </c>
      <c r="I1958" s="6">
        <f>IF('FUENTE NO BORRAR'!I1976="","",IF('FUENTE NO BORRAR'!$A1976&lt;&gt;"Resultado total",('FUENTE NO BORRAR'!I1976),""))</f>
        <v>0</v>
      </c>
    </row>
    <row r="1959" spans="1:9" x14ac:dyDescent="0.2">
      <c r="A1959" s="5" t="str">
        <f>IF('FUENTE NO BORRAR'!A1977="","",(IF('FUENTE NO BORRAR'!A1977&lt;&gt;"Resultado total",'FUENTE NO BORRAR'!A1977,"")))</f>
        <v/>
      </c>
      <c r="B1959" s="5" t="str">
        <f>IF('FUENTE NO BORRAR'!B1977="","",'FUENTE NO BORRAR'!B1977)</f>
        <v/>
      </c>
      <c r="C1959" s="5" t="str">
        <f>IF('FUENTE NO BORRAR'!C1977="","",'FUENTE NO BORRAR'!C1977)</f>
        <v/>
      </c>
      <c r="D1959" s="5" t="str">
        <f>IF('FUENTE NO BORRAR'!D1977="","",'FUENTE NO BORRAR'!D1977)</f>
        <v/>
      </c>
      <c r="E1959" s="5" t="str">
        <f>IF('FUENTE NO BORRAR'!E1977="","",'FUENTE NO BORRAR'!E1977)</f>
        <v/>
      </c>
      <c r="F1959" s="6">
        <f>IF('FUENTE NO BORRAR'!F1977="","",IF('FUENTE NO BORRAR'!$A1977&lt;&gt;"Resultado total",('FUENTE NO BORRAR'!F1977),""))</f>
        <v>0</v>
      </c>
      <c r="G1959" s="6">
        <f>IF('FUENTE NO BORRAR'!G1977="","",IF('FUENTE NO BORRAR'!$A1977&lt;&gt;"Resultado total",('FUENTE NO BORRAR'!G1977),""))</f>
        <v>0</v>
      </c>
      <c r="H1959" s="6">
        <f>IF('FUENTE NO BORRAR'!H1977="","",IF('FUENTE NO BORRAR'!$A1977&lt;&gt;"Resultado total",('FUENTE NO BORRAR'!H1977),""))</f>
        <v>0</v>
      </c>
      <c r="I1959" s="6">
        <f>IF('FUENTE NO BORRAR'!I1977="","",IF('FUENTE NO BORRAR'!$A1977&lt;&gt;"Resultado total",('FUENTE NO BORRAR'!I1977),""))</f>
        <v>0</v>
      </c>
    </row>
    <row r="1960" spans="1:9" x14ac:dyDescent="0.2">
      <c r="A1960" s="5" t="str">
        <f>IF('FUENTE NO BORRAR'!A1978="","",(IF('FUENTE NO BORRAR'!A1978&lt;&gt;"Resultado total",'FUENTE NO BORRAR'!A1978,"")))</f>
        <v/>
      </c>
      <c r="B1960" s="5" t="str">
        <f>IF('FUENTE NO BORRAR'!B1978="","",'FUENTE NO BORRAR'!B1978)</f>
        <v>F</v>
      </c>
      <c r="C1960" s="5" t="str">
        <f>IF('FUENTE NO BORRAR'!C1978="","",'FUENTE NO BORRAR'!C1978)</f>
        <v>37014011F101</v>
      </c>
      <c r="D1960" s="5" t="str">
        <f>IF('FUENTE NO BORRAR'!D1978="","",'FUENTE NO BORRAR'!D1978)</f>
        <v>37014011F101</v>
      </c>
      <c r="E1960" s="5" t="str">
        <f>IF('FUENTE NO BORRAR'!E1978="","",'FUENTE NO BORRAR'!E1978)</f>
        <v/>
      </c>
      <c r="F1960" s="6">
        <f>IF('FUENTE NO BORRAR'!F1978="","",IF('FUENTE NO BORRAR'!$A1978&lt;&gt;"Resultado total",('FUENTE NO BORRAR'!F1978),""))</f>
        <v>168604.62</v>
      </c>
      <c r="G1960" s="6">
        <f>IF('FUENTE NO BORRAR'!G1978="","",IF('FUENTE NO BORRAR'!$A1978&lt;&gt;"Resultado total",('FUENTE NO BORRAR'!G1978),""))</f>
        <v>168604.62</v>
      </c>
      <c r="H1960" s="6">
        <f>IF('FUENTE NO BORRAR'!H1978="","",IF('FUENTE NO BORRAR'!$A1978&lt;&gt;"Resultado total",('FUENTE NO BORRAR'!H1978),""))</f>
        <v>168604.62</v>
      </c>
      <c r="I1960" s="6">
        <f>IF('FUENTE NO BORRAR'!I1978="","",IF('FUENTE NO BORRAR'!$A1978&lt;&gt;"Resultado total",('FUENTE NO BORRAR'!I1978),""))</f>
        <v>0</v>
      </c>
    </row>
    <row r="1961" spans="1:9" x14ac:dyDescent="0.2">
      <c r="A1961" s="5" t="str">
        <f>IF('FUENTE NO BORRAR'!A1979="","",(IF('FUENTE NO BORRAR'!A1979&lt;&gt;"Resultado total",'FUENTE NO BORRAR'!A1979,"")))</f>
        <v/>
      </c>
      <c r="B1961" s="5" t="str">
        <f>IF('FUENTE NO BORRAR'!B1979="","",'FUENTE NO BORRAR'!B1979)</f>
        <v/>
      </c>
      <c r="C1961" s="5" t="str">
        <f>IF('FUENTE NO BORRAR'!C1979="","",'FUENTE NO BORRAR'!C1979)</f>
        <v/>
      </c>
      <c r="D1961" s="5" t="str">
        <f>IF('FUENTE NO BORRAR'!D1979="","",'FUENTE NO BORRAR'!D1979)</f>
        <v/>
      </c>
      <c r="E1961" s="5" t="str">
        <f>IF('FUENTE NO BORRAR'!E1979="","",'FUENTE NO BORRAR'!E1979)</f>
        <v/>
      </c>
      <c r="F1961" s="6">
        <f>IF('FUENTE NO BORRAR'!F1979="","",IF('FUENTE NO BORRAR'!$A1979&lt;&gt;"Resultado total",('FUENTE NO BORRAR'!F1979),""))</f>
        <v>4959</v>
      </c>
      <c r="G1961" s="6">
        <f>IF('FUENTE NO BORRAR'!G1979="","",IF('FUENTE NO BORRAR'!$A1979&lt;&gt;"Resultado total",('FUENTE NO BORRAR'!G1979),""))</f>
        <v>4959</v>
      </c>
      <c r="H1961" s="6">
        <f>IF('FUENTE NO BORRAR'!H1979="","",IF('FUENTE NO BORRAR'!$A1979&lt;&gt;"Resultado total",('FUENTE NO BORRAR'!H1979),""))</f>
        <v>4959</v>
      </c>
      <c r="I1961" s="6">
        <f>IF('FUENTE NO BORRAR'!I1979="","",IF('FUENTE NO BORRAR'!$A1979&lt;&gt;"Resultado total",('FUENTE NO BORRAR'!I1979),""))</f>
        <v>0</v>
      </c>
    </row>
    <row r="1962" spans="1:9" x14ac:dyDescent="0.2">
      <c r="A1962" s="5" t="str">
        <f>IF('FUENTE NO BORRAR'!A1980="","",(IF('FUENTE NO BORRAR'!A1980&lt;&gt;"Resultado total",'FUENTE NO BORRAR'!A1980,"")))</f>
        <v/>
      </c>
      <c r="B1962" s="5" t="str">
        <f>IF('FUENTE NO BORRAR'!B1980="","",'FUENTE NO BORRAR'!B1980)</f>
        <v/>
      </c>
      <c r="C1962" s="5" t="str">
        <f>IF('FUENTE NO BORRAR'!C1980="","",'FUENTE NO BORRAR'!C1980)</f>
        <v/>
      </c>
      <c r="D1962" s="5" t="str">
        <f>IF('FUENTE NO BORRAR'!D1980="","",'FUENTE NO BORRAR'!D1980)</f>
        <v/>
      </c>
      <c r="E1962" s="5" t="str">
        <f>IF('FUENTE NO BORRAR'!E1980="","",'FUENTE NO BORRAR'!E1980)</f>
        <v/>
      </c>
      <c r="F1962" s="6">
        <f>IF('FUENTE NO BORRAR'!F1980="","",IF('FUENTE NO BORRAR'!$A1980&lt;&gt;"Resultado total",('FUENTE NO BORRAR'!F1980),""))</f>
        <v>36989.42</v>
      </c>
      <c r="G1962" s="6">
        <f>IF('FUENTE NO BORRAR'!G1980="","",IF('FUENTE NO BORRAR'!$A1980&lt;&gt;"Resultado total",('FUENTE NO BORRAR'!G1980),""))</f>
        <v>36989.42</v>
      </c>
      <c r="H1962" s="6">
        <f>IF('FUENTE NO BORRAR'!H1980="","",IF('FUENTE NO BORRAR'!$A1980&lt;&gt;"Resultado total",('FUENTE NO BORRAR'!H1980),""))</f>
        <v>36989.42</v>
      </c>
      <c r="I1962" s="6">
        <f>IF('FUENTE NO BORRAR'!I1980="","",IF('FUENTE NO BORRAR'!$A1980&lt;&gt;"Resultado total",('FUENTE NO BORRAR'!I1980),""))</f>
        <v>0</v>
      </c>
    </row>
    <row r="1963" spans="1:9" x14ac:dyDescent="0.2">
      <c r="A1963" s="5" t="str">
        <f>IF('FUENTE NO BORRAR'!A1981="","",(IF('FUENTE NO BORRAR'!A1981&lt;&gt;"Resultado total",'FUENTE NO BORRAR'!A1981,"")))</f>
        <v/>
      </c>
      <c r="B1963" s="5" t="str">
        <f>IF('FUENTE NO BORRAR'!B1981="","",'FUENTE NO BORRAR'!B1981)</f>
        <v/>
      </c>
      <c r="C1963" s="5" t="str">
        <f>IF('FUENTE NO BORRAR'!C1981="","",'FUENTE NO BORRAR'!C1981)</f>
        <v/>
      </c>
      <c r="D1963" s="5" t="str">
        <f>IF('FUENTE NO BORRAR'!D1981="","",'FUENTE NO BORRAR'!D1981)</f>
        <v/>
      </c>
      <c r="E1963" s="5" t="str">
        <f>IF('FUENTE NO BORRAR'!E1981="","",'FUENTE NO BORRAR'!E1981)</f>
        <v/>
      </c>
      <c r="F1963" s="6">
        <f>IF('FUENTE NO BORRAR'!F1981="","",IF('FUENTE NO BORRAR'!$A1981&lt;&gt;"Resultado total",('FUENTE NO BORRAR'!F1981),""))</f>
        <v>267563.18</v>
      </c>
      <c r="G1963" s="6">
        <f>IF('FUENTE NO BORRAR'!G1981="","",IF('FUENTE NO BORRAR'!$A1981&lt;&gt;"Resultado total",('FUENTE NO BORRAR'!G1981),""))</f>
        <v>267563.18</v>
      </c>
      <c r="H1963" s="6">
        <f>IF('FUENTE NO BORRAR'!H1981="","",IF('FUENTE NO BORRAR'!$A1981&lt;&gt;"Resultado total",('FUENTE NO BORRAR'!H1981),""))</f>
        <v>271205.39</v>
      </c>
      <c r="I1963" s="6">
        <f>IF('FUENTE NO BORRAR'!I1981="","",IF('FUENTE NO BORRAR'!$A1981&lt;&gt;"Resultado total",('FUENTE NO BORRAR'!I1981),""))</f>
        <v>0</v>
      </c>
    </row>
    <row r="1964" spans="1:9" x14ac:dyDescent="0.2">
      <c r="A1964" s="5" t="str">
        <f>IF('FUENTE NO BORRAR'!A1982="","",(IF('FUENTE NO BORRAR'!A1982&lt;&gt;"Resultado total",'FUENTE NO BORRAR'!A1982,"")))</f>
        <v/>
      </c>
      <c r="B1964" s="5" t="str">
        <f>IF('FUENTE NO BORRAR'!B1982="","",'FUENTE NO BORRAR'!B1982)</f>
        <v/>
      </c>
      <c r="C1964" s="5" t="str">
        <f>IF('FUENTE NO BORRAR'!C1982="","",'FUENTE NO BORRAR'!C1982)</f>
        <v/>
      </c>
      <c r="D1964" s="5" t="str">
        <f>IF('FUENTE NO BORRAR'!D1982="","",'FUENTE NO BORRAR'!D1982)</f>
        <v/>
      </c>
      <c r="E1964" s="5" t="str">
        <f>IF('FUENTE NO BORRAR'!E1982="","",'FUENTE NO BORRAR'!E1982)</f>
        <v/>
      </c>
      <c r="F1964" s="6">
        <f>IF('FUENTE NO BORRAR'!F1982="","",IF('FUENTE NO BORRAR'!$A1982&lt;&gt;"Resultado total",('FUENTE NO BORRAR'!F1982),""))</f>
        <v>389133.83</v>
      </c>
      <c r="G1964" s="6">
        <f>IF('FUENTE NO BORRAR'!G1982="","",IF('FUENTE NO BORRAR'!$A1982&lt;&gt;"Resultado total",('FUENTE NO BORRAR'!G1982),""))</f>
        <v>389133.83</v>
      </c>
      <c r="H1964" s="6">
        <f>IF('FUENTE NO BORRAR'!H1982="","",IF('FUENTE NO BORRAR'!$A1982&lt;&gt;"Resultado total",('FUENTE NO BORRAR'!H1982),""))</f>
        <v>389133.83</v>
      </c>
      <c r="I1964" s="6">
        <f>IF('FUENTE NO BORRAR'!I1982="","",IF('FUENTE NO BORRAR'!$A1982&lt;&gt;"Resultado total",('FUENTE NO BORRAR'!I1982),""))</f>
        <v>0</v>
      </c>
    </row>
    <row r="1965" spans="1:9" x14ac:dyDescent="0.2">
      <c r="A1965" s="5" t="str">
        <f>IF('FUENTE NO BORRAR'!A1983="","",(IF('FUENTE NO BORRAR'!A1983&lt;&gt;"Resultado total",'FUENTE NO BORRAR'!A1983,"")))</f>
        <v/>
      </c>
      <c r="B1965" s="5" t="str">
        <f>IF('FUENTE NO BORRAR'!B1983="","",'FUENTE NO BORRAR'!B1983)</f>
        <v/>
      </c>
      <c r="C1965" s="5" t="str">
        <f>IF('FUENTE NO BORRAR'!C1983="","",'FUENTE NO BORRAR'!C1983)</f>
        <v/>
      </c>
      <c r="D1965" s="5" t="str">
        <f>IF('FUENTE NO BORRAR'!D1983="","",'FUENTE NO BORRAR'!D1983)</f>
        <v/>
      </c>
      <c r="E1965" s="5" t="str">
        <f>IF('FUENTE NO BORRAR'!E1983="","",'FUENTE NO BORRAR'!E1983)</f>
        <v/>
      </c>
      <c r="F1965" s="6">
        <f>IF('FUENTE NO BORRAR'!F1983="","",IF('FUENTE NO BORRAR'!$A1983&lt;&gt;"Resultado total",('FUENTE NO BORRAR'!F1983),""))</f>
        <v>27156.57</v>
      </c>
      <c r="G1965" s="6">
        <f>IF('FUENTE NO BORRAR'!G1983="","",IF('FUENTE NO BORRAR'!$A1983&lt;&gt;"Resultado total",('FUENTE NO BORRAR'!G1983),""))</f>
        <v>27156.57</v>
      </c>
      <c r="H1965" s="6">
        <f>IF('FUENTE NO BORRAR'!H1983="","",IF('FUENTE NO BORRAR'!$A1983&lt;&gt;"Resultado total",('FUENTE NO BORRAR'!H1983),""))</f>
        <v>27156.57</v>
      </c>
      <c r="I1965" s="6">
        <f>IF('FUENTE NO BORRAR'!I1983="","",IF('FUENTE NO BORRAR'!$A1983&lt;&gt;"Resultado total",('FUENTE NO BORRAR'!I1983),""))</f>
        <v>0</v>
      </c>
    </row>
    <row r="1966" spans="1:9" x14ac:dyDescent="0.2">
      <c r="A1966" s="5" t="str">
        <f>IF('FUENTE NO BORRAR'!A1984="","",(IF('FUENTE NO BORRAR'!A1984&lt;&gt;"Resultado total",'FUENTE NO BORRAR'!A1984,"")))</f>
        <v/>
      </c>
      <c r="B1966" s="5" t="str">
        <f>IF('FUENTE NO BORRAR'!B1984="","",'FUENTE NO BORRAR'!B1984)</f>
        <v/>
      </c>
      <c r="C1966" s="5" t="str">
        <f>IF('FUENTE NO BORRAR'!C1984="","",'FUENTE NO BORRAR'!C1984)</f>
        <v/>
      </c>
      <c r="D1966" s="5" t="str">
        <f>IF('FUENTE NO BORRAR'!D1984="","",'FUENTE NO BORRAR'!D1984)</f>
        <v/>
      </c>
      <c r="E1966" s="5" t="str">
        <f>IF('FUENTE NO BORRAR'!E1984="","",'FUENTE NO BORRAR'!E1984)</f>
        <v/>
      </c>
      <c r="F1966" s="6">
        <f>IF('FUENTE NO BORRAR'!F1984="","",IF('FUENTE NO BORRAR'!$A1984&lt;&gt;"Resultado total",('FUENTE NO BORRAR'!F1984),""))</f>
        <v>7712.8</v>
      </c>
      <c r="G1966" s="6">
        <f>IF('FUENTE NO BORRAR'!G1984="","",IF('FUENTE NO BORRAR'!$A1984&lt;&gt;"Resultado total",('FUENTE NO BORRAR'!G1984),""))</f>
        <v>7712.8</v>
      </c>
      <c r="H1966" s="6">
        <f>IF('FUENTE NO BORRAR'!H1984="","",IF('FUENTE NO BORRAR'!$A1984&lt;&gt;"Resultado total",('FUENTE NO BORRAR'!H1984),""))</f>
        <v>7712.8</v>
      </c>
      <c r="I1966" s="6">
        <f>IF('FUENTE NO BORRAR'!I1984="","",IF('FUENTE NO BORRAR'!$A1984&lt;&gt;"Resultado total",('FUENTE NO BORRAR'!I1984),""))</f>
        <v>0</v>
      </c>
    </row>
    <row r="1967" spans="1:9" x14ac:dyDescent="0.2">
      <c r="A1967" s="5" t="str">
        <f>IF('FUENTE NO BORRAR'!A1985="","",(IF('FUENTE NO BORRAR'!A1985&lt;&gt;"Resultado total",'FUENTE NO BORRAR'!A1985,"")))</f>
        <v/>
      </c>
      <c r="B1967" s="5" t="str">
        <f>IF('FUENTE NO BORRAR'!B1985="","",'FUENTE NO BORRAR'!B1985)</f>
        <v/>
      </c>
      <c r="C1967" s="5" t="str">
        <f>IF('FUENTE NO BORRAR'!C1985="","",'FUENTE NO BORRAR'!C1985)</f>
        <v/>
      </c>
      <c r="D1967" s="5" t="str">
        <f>IF('FUENTE NO BORRAR'!D1985="","",'FUENTE NO BORRAR'!D1985)</f>
        <v/>
      </c>
      <c r="E1967" s="5" t="str">
        <f>IF('FUENTE NO BORRAR'!E1985="","",'FUENTE NO BORRAR'!E1985)</f>
        <v/>
      </c>
      <c r="F1967" s="6">
        <f>IF('FUENTE NO BORRAR'!F1985="","",IF('FUENTE NO BORRAR'!$A1985&lt;&gt;"Resultado total",('FUENTE NO BORRAR'!F1985),""))</f>
        <v>3608.31</v>
      </c>
      <c r="G1967" s="6">
        <f>IF('FUENTE NO BORRAR'!G1985="","",IF('FUENTE NO BORRAR'!$A1985&lt;&gt;"Resultado total",('FUENTE NO BORRAR'!G1985),""))</f>
        <v>3608.31</v>
      </c>
      <c r="H1967" s="6">
        <f>IF('FUENTE NO BORRAR'!H1985="","",IF('FUENTE NO BORRAR'!$A1985&lt;&gt;"Resultado total",('FUENTE NO BORRAR'!H1985),""))</f>
        <v>3608.31</v>
      </c>
      <c r="I1967" s="6">
        <f>IF('FUENTE NO BORRAR'!I1985="","",IF('FUENTE NO BORRAR'!$A1985&lt;&gt;"Resultado total",('FUENTE NO BORRAR'!I1985),""))</f>
        <v>0</v>
      </c>
    </row>
    <row r="1968" spans="1:9" x14ac:dyDescent="0.2">
      <c r="A1968" s="5" t="str">
        <f>IF('FUENTE NO BORRAR'!A1986="","",(IF('FUENTE NO BORRAR'!A1986&lt;&gt;"Resultado total",'FUENTE NO BORRAR'!A1986,"")))</f>
        <v/>
      </c>
      <c r="B1968" s="5" t="str">
        <f>IF('FUENTE NO BORRAR'!B1986="","",'FUENTE NO BORRAR'!B1986)</f>
        <v/>
      </c>
      <c r="C1968" s="5" t="str">
        <f>IF('FUENTE NO BORRAR'!C1986="","",'FUENTE NO BORRAR'!C1986)</f>
        <v/>
      </c>
      <c r="D1968" s="5" t="str">
        <f>IF('FUENTE NO BORRAR'!D1986="","",'FUENTE NO BORRAR'!D1986)</f>
        <v/>
      </c>
      <c r="E1968" s="5" t="str">
        <f>IF('FUENTE NO BORRAR'!E1986="","",'FUENTE NO BORRAR'!E1986)</f>
        <v/>
      </c>
      <c r="F1968" s="6">
        <f>IF('FUENTE NO BORRAR'!F1986="","",IF('FUENTE NO BORRAR'!$A1986&lt;&gt;"Resultado total",('FUENTE NO BORRAR'!F1986),""))</f>
        <v>20233.439999999999</v>
      </c>
      <c r="G1968" s="6">
        <f>IF('FUENTE NO BORRAR'!G1986="","",IF('FUENTE NO BORRAR'!$A1986&lt;&gt;"Resultado total",('FUENTE NO BORRAR'!G1986),""))</f>
        <v>20233.439999999999</v>
      </c>
      <c r="H1968" s="6">
        <f>IF('FUENTE NO BORRAR'!H1986="","",IF('FUENTE NO BORRAR'!$A1986&lt;&gt;"Resultado total",('FUENTE NO BORRAR'!H1986),""))</f>
        <v>20233.439999999999</v>
      </c>
      <c r="I1968" s="6">
        <f>IF('FUENTE NO BORRAR'!I1986="","",IF('FUENTE NO BORRAR'!$A1986&lt;&gt;"Resultado total",('FUENTE NO BORRAR'!I1986),""))</f>
        <v>0</v>
      </c>
    </row>
    <row r="1969" spans="1:9" x14ac:dyDescent="0.2">
      <c r="A1969" s="5" t="str">
        <f>IF('FUENTE NO BORRAR'!A1987="","",(IF('FUENTE NO BORRAR'!A1987&lt;&gt;"Resultado total",'FUENTE NO BORRAR'!A1987,"")))</f>
        <v/>
      </c>
      <c r="B1969" s="5" t="str">
        <f>IF('FUENTE NO BORRAR'!B1987="","",'FUENTE NO BORRAR'!B1987)</f>
        <v/>
      </c>
      <c r="C1969" s="5" t="str">
        <f>IF('FUENTE NO BORRAR'!C1987="","",'FUENTE NO BORRAR'!C1987)</f>
        <v/>
      </c>
      <c r="D1969" s="5" t="str">
        <f>IF('FUENTE NO BORRAR'!D1987="","",'FUENTE NO BORRAR'!D1987)</f>
        <v/>
      </c>
      <c r="E1969" s="5" t="str">
        <f>IF('FUENTE NO BORRAR'!E1987="","",'FUENTE NO BORRAR'!E1987)</f>
        <v/>
      </c>
      <c r="F1969" s="6">
        <f>IF('FUENTE NO BORRAR'!F1987="","",IF('FUENTE NO BORRAR'!$A1987&lt;&gt;"Resultado total",('FUENTE NO BORRAR'!F1987),""))</f>
        <v>36672.79</v>
      </c>
      <c r="G1969" s="6">
        <f>IF('FUENTE NO BORRAR'!G1987="","",IF('FUENTE NO BORRAR'!$A1987&lt;&gt;"Resultado total",('FUENTE NO BORRAR'!G1987),""))</f>
        <v>36672.79</v>
      </c>
      <c r="H1969" s="6">
        <f>IF('FUENTE NO BORRAR'!H1987="","",IF('FUENTE NO BORRAR'!$A1987&lt;&gt;"Resultado total",('FUENTE NO BORRAR'!H1987),""))</f>
        <v>36672.79</v>
      </c>
      <c r="I1969" s="6">
        <f>IF('FUENTE NO BORRAR'!I1987="","",IF('FUENTE NO BORRAR'!$A1987&lt;&gt;"Resultado total",('FUENTE NO BORRAR'!I1987),""))</f>
        <v>0</v>
      </c>
    </row>
    <row r="1970" spans="1:9" x14ac:dyDescent="0.2">
      <c r="A1970" s="5" t="str">
        <f>IF('FUENTE NO BORRAR'!A1988="","",(IF('FUENTE NO BORRAR'!A1988&lt;&gt;"Resultado total",'FUENTE NO BORRAR'!A1988,"")))</f>
        <v/>
      </c>
      <c r="B1970" s="5" t="str">
        <f>IF('FUENTE NO BORRAR'!B1988="","",'FUENTE NO BORRAR'!B1988)</f>
        <v/>
      </c>
      <c r="C1970" s="5" t="str">
        <f>IF('FUENTE NO BORRAR'!C1988="","",'FUENTE NO BORRAR'!C1988)</f>
        <v/>
      </c>
      <c r="D1970" s="5" t="str">
        <f>IF('FUENTE NO BORRAR'!D1988="","",'FUENTE NO BORRAR'!D1988)</f>
        <v/>
      </c>
      <c r="E1970" s="5" t="str">
        <f>IF('FUENTE NO BORRAR'!E1988="","",'FUENTE NO BORRAR'!E1988)</f>
        <v/>
      </c>
      <c r="F1970" s="6">
        <f>IF('FUENTE NO BORRAR'!F1988="","",IF('FUENTE NO BORRAR'!$A1988&lt;&gt;"Resultado total",('FUENTE NO BORRAR'!F1988),""))</f>
        <v>0</v>
      </c>
      <c r="G1970" s="6">
        <f>IF('FUENTE NO BORRAR'!G1988="","",IF('FUENTE NO BORRAR'!$A1988&lt;&gt;"Resultado total",('FUENTE NO BORRAR'!G1988),""))</f>
        <v>0</v>
      </c>
      <c r="H1970" s="6">
        <f>IF('FUENTE NO BORRAR'!H1988="","",IF('FUENTE NO BORRAR'!$A1988&lt;&gt;"Resultado total",('FUENTE NO BORRAR'!H1988),""))</f>
        <v>0</v>
      </c>
      <c r="I1970" s="6">
        <f>IF('FUENTE NO BORRAR'!I1988="","",IF('FUENTE NO BORRAR'!$A1988&lt;&gt;"Resultado total",('FUENTE NO BORRAR'!I1988),""))</f>
        <v>0</v>
      </c>
    </row>
    <row r="1971" spans="1:9" x14ac:dyDescent="0.2">
      <c r="A1971" s="5" t="str">
        <f>IF('FUENTE NO BORRAR'!A1989="","",(IF('FUENTE NO BORRAR'!A1989&lt;&gt;"Resultado total",'FUENTE NO BORRAR'!A1989,"")))</f>
        <v/>
      </c>
      <c r="B1971" s="5" t="str">
        <f>IF('FUENTE NO BORRAR'!B1989="","",'FUENTE NO BORRAR'!B1989)</f>
        <v/>
      </c>
      <c r="C1971" s="5" t="str">
        <f>IF('FUENTE NO BORRAR'!C1989="","",'FUENTE NO BORRAR'!C1989)</f>
        <v/>
      </c>
      <c r="D1971" s="5" t="str">
        <f>IF('FUENTE NO BORRAR'!D1989="","",'FUENTE NO BORRAR'!D1989)</f>
        <v/>
      </c>
      <c r="E1971" s="5" t="str">
        <f>IF('FUENTE NO BORRAR'!E1989="","",'FUENTE NO BORRAR'!E1989)</f>
        <v/>
      </c>
      <c r="F1971" s="6">
        <f>IF('FUENTE NO BORRAR'!F1989="","",IF('FUENTE NO BORRAR'!$A1989&lt;&gt;"Resultado total",('FUENTE NO BORRAR'!F1989),""))</f>
        <v>0</v>
      </c>
      <c r="G1971" s="6">
        <f>IF('FUENTE NO BORRAR'!G1989="","",IF('FUENTE NO BORRAR'!$A1989&lt;&gt;"Resultado total",('FUENTE NO BORRAR'!G1989),""))</f>
        <v>0</v>
      </c>
      <c r="H1971" s="6">
        <f>IF('FUENTE NO BORRAR'!H1989="","",IF('FUENTE NO BORRAR'!$A1989&lt;&gt;"Resultado total",('FUENTE NO BORRAR'!H1989),""))</f>
        <v>0</v>
      </c>
      <c r="I1971" s="6">
        <f>IF('FUENTE NO BORRAR'!I1989="","",IF('FUENTE NO BORRAR'!$A1989&lt;&gt;"Resultado total",('FUENTE NO BORRAR'!I1989),""))</f>
        <v>0</v>
      </c>
    </row>
    <row r="1972" spans="1:9" x14ac:dyDescent="0.2">
      <c r="A1972" s="5" t="str">
        <f>IF('FUENTE NO BORRAR'!A1990="","",(IF('FUENTE NO BORRAR'!A1990&lt;&gt;"Resultado total",'FUENTE NO BORRAR'!A1990,"")))</f>
        <v/>
      </c>
      <c r="B1972" s="5" t="str">
        <f>IF('FUENTE NO BORRAR'!B1990="","",'FUENTE NO BORRAR'!B1990)</f>
        <v/>
      </c>
      <c r="C1972" s="5" t="str">
        <f>IF('FUENTE NO BORRAR'!C1990="","",'FUENTE NO BORRAR'!C1990)</f>
        <v/>
      </c>
      <c r="D1972" s="5" t="str">
        <f>IF('FUENTE NO BORRAR'!D1990="","",'FUENTE NO BORRAR'!D1990)</f>
        <v/>
      </c>
      <c r="E1972" s="5" t="str">
        <f>IF('FUENTE NO BORRAR'!E1990="","",'FUENTE NO BORRAR'!E1990)</f>
        <v/>
      </c>
      <c r="F1972" s="6">
        <f>IF('FUENTE NO BORRAR'!F1990="","",IF('FUENTE NO BORRAR'!$A1990&lt;&gt;"Resultado total",('FUENTE NO BORRAR'!F1990),""))</f>
        <v>0</v>
      </c>
      <c r="G1972" s="6">
        <f>IF('FUENTE NO BORRAR'!G1990="","",IF('FUENTE NO BORRAR'!$A1990&lt;&gt;"Resultado total",('FUENTE NO BORRAR'!G1990),""))</f>
        <v>0</v>
      </c>
      <c r="H1972" s="6">
        <f>IF('FUENTE NO BORRAR'!H1990="","",IF('FUENTE NO BORRAR'!$A1990&lt;&gt;"Resultado total",('FUENTE NO BORRAR'!H1990),""))</f>
        <v>0</v>
      </c>
      <c r="I1972" s="6">
        <f>IF('FUENTE NO BORRAR'!I1990="","",IF('FUENTE NO BORRAR'!$A1990&lt;&gt;"Resultado total",('FUENTE NO BORRAR'!I1990),""))</f>
        <v>0</v>
      </c>
    </row>
    <row r="1973" spans="1:9" x14ac:dyDescent="0.2">
      <c r="A1973" s="5" t="str">
        <f>IF('FUENTE NO BORRAR'!A1991="","",(IF('FUENTE NO BORRAR'!A1991&lt;&gt;"Resultado total",'FUENTE NO BORRAR'!A1991,"")))</f>
        <v/>
      </c>
      <c r="B1973" s="5" t="str">
        <f>IF('FUENTE NO BORRAR'!B1991="","",'FUENTE NO BORRAR'!B1991)</f>
        <v/>
      </c>
      <c r="C1973" s="5" t="str">
        <f>IF('FUENTE NO BORRAR'!C1991="","",'FUENTE NO BORRAR'!C1991)</f>
        <v/>
      </c>
      <c r="D1973" s="5" t="str">
        <f>IF('FUENTE NO BORRAR'!D1991="","",'FUENTE NO BORRAR'!D1991)</f>
        <v/>
      </c>
      <c r="E1973" s="5" t="str">
        <f>IF('FUENTE NO BORRAR'!E1991="","",'FUENTE NO BORRAR'!E1991)</f>
        <v/>
      </c>
      <c r="F1973" s="6">
        <f>IF('FUENTE NO BORRAR'!F1991="","",IF('FUENTE NO BORRAR'!$A1991&lt;&gt;"Resultado total",('FUENTE NO BORRAR'!F1991),""))</f>
        <v>153.91999999999999</v>
      </c>
      <c r="G1973" s="6">
        <f>IF('FUENTE NO BORRAR'!G1991="","",IF('FUENTE NO BORRAR'!$A1991&lt;&gt;"Resultado total",('FUENTE NO BORRAR'!G1991),""))</f>
        <v>153.91999999999999</v>
      </c>
      <c r="H1973" s="6">
        <f>IF('FUENTE NO BORRAR'!H1991="","",IF('FUENTE NO BORRAR'!$A1991&lt;&gt;"Resultado total",('FUENTE NO BORRAR'!H1991),""))</f>
        <v>153.91999999999999</v>
      </c>
      <c r="I1973" s="6">
        <f>IF('FUENTE NO BORRAR'!I1991="","",IF('FUENTE NO BORRAR'!$A1991&lt;&gt;"Resultado total",('FUENTE NO BORRAR'!I1991),""))</f>
        <v>0</v>
      </c>
    </row>
    <row r="1974" spans="1:9" x14ac:dyDescent="0.2">
      <c r="A1974" s="5" t="str">
        <f>IF('FUENTE NO BORRAR'!A1992="","",(IF('FUENTE NO BORRAR'!A1992&lt;&gt;"Resultado total",'FUENTE NO BORRAR'!A1992,"")))</f>
        <v/>
      </c>
      <c r="B1974" s="5" t="str">
        <f>IF('FUENTE NO BORRAR'!B1992="","",'FUENTE NO BORRAR'!B1992)</f>
        <v/>
      </c>
      <c r="C1974" s="5" t="str">
        <f>IF('FUENTE NO BORRAR'!C1992="","",'FUENTE NO BORRAR'!C1992)</f>
        <v/>
      </c>
      <c r="D1974" s="5" t="str">
        <f>IF('FUENTE NO BORRAR'!D1992="","",'FUENTE NO BORRAR'!D1992)</f>
        <v/>
      </c>
      <c r="E1974" s="5" t="str">
        <f>IF('FUENTE NO BORRAR'!E1992="","",'FUENTE NO BORRAR'!E1992)</f>
        <v/>
      </c>
      <c r="F1974" s="6">
        <f>IF('FUENTE NO BORRAR'!F1992="","",IF('FUENTE NO BORRAR'!$A1992&lt;&gt;"Resultado total",('FUENTE NO BORRAR'!F1992),""))</f>
        <v>0</v>
      </c>
      <c r="G1974" s="6">
        <f>IF('FUENTE NO BORRAR'!G1992="","",IF('FUENTE NO BORRAR'!$A1992&lt;&gt;"Resultado total",('FUENTE NO BORRAR'!G1992),""))</f>
        <v>0</v>
      </c>
      <c r="H1974" s="6">
        <f>IF('FUENTE NO BORRAR'!H1992="","",IF('FUENTE NO BORRAR'!$A1992&lt;&gt;"Resultado total",('FUENTE NO BORRAR'!H1992),""))</f>
        <v>0</v>
      </c>
      <c r="I1974" s="6">
        <f>IF('FUENTE NO BORRAR'!I1992="","",IF('FUENTE NO BORRAR'!$A1992&lt;&gt;"Resultado total",('FUENTE NO BORRAR'!I1992),""))</f>
        <v>0</v>
      </c>
    </row>
    <row r="1975" spans="1:9" x14ac:dyDescent="0.2">
      <c r="A1975" s="5" t="str">
        <f>IF('FUENTE NO BORRAR'!A1993="","",(IF('FUENTE NO BORRAR'!A1993&lt;&gt;"Resultado total",'FUENTE NO BORRAR'!A1993,"")))</f>
        <v/>
      </c>
      <c r="B1975" s="5" t="str">
        <f>IF('FUENTE NO BORRAR'!B1993="","",'FUENTE NO BORRAR'!B1993)</f>
        <v/>
      </c>
      <c r="C1975" s="5" t="str">
        <f>IF('FUENTE NO BORRAR'!C1993="","",'FUENTE NO BORRAR'!C1993)</f>
        <v/>
      </c>
      <c r="D1975" s="5" t="str">
        <f>IF('FUENTE NO BORRAR'!D1993="","",'FUENTE NO BORRAR'!D1993)</f>
        <v/>
      </c>
      <c r="E1975" s="5" t="str">
        <f>IF('FUENTE NO BORRAR'!E1993="","",'FUENTE NO BORRAR'!E1993)</f>
        <v/>
      </c>
      <c r="F1975" s="6">
        <f>IF('FUENTE NO BORRAR'!F1993="","",IF('FUENTE NO BORRAR'!$A1993&lt;&gt;"Resultado total",('FUENTE NO BORRAR'!F1993),""))</f>
        <v>0</v>
      </c>
      <c r="G1975" s="6">
        <f>IF('FUENTE NO BORRAR'!G1993="","",IF('FUENTE NO BORRAR'!$A1993&lt;&gt;"Resultado total",('FUENTE NO BORRAR'!G1993),""))</f>
        <v>0</v>
      </c>
      <c r="H1975" s="6">
        <f>IF('FUENTE NO BORRAR'!H1993="","",IF('FUENTE NO BORRAR'!$A1993&lt;&gt;"Resultado total",('FUENTE NO BORRAR'!H1993),""))</f>
        <v>0</v>
      </c>
      <c r="I1975" s="6">
        <f>IF('FUENTE NO BORRAR'!I1993="","",IF('FUENTE NO BORRAR'!$A1993&lt;&gt;"Resultado total",('FUENTE NO BORRAR'!I1993),""))</f>
        <v>0</v>
      </c>
    </row>
    <row r="1976" spans="1:9" x14ac:dyDescent="0.2">
      <c r="A1976" s="5" t="str">
        <f>IF('FUENTE NO BORRAR'!A1994="","",(IF('FUENTE NO BORRAR'!A1994&lt;&gt;"Resultado total",'FUENTE NO BORRAR'!A1994,"")))</f>
        <v/>
      </c>
      <c r="B1976" s="5" t="str">
        <f>IF('FUENTE NO BORRAR'!B1994="","",'FUENTE NO BORRAR'!B1994)</f>
        <v/>
      </c>
      <c r="C1976" s="5" t="str">
        <f>IF('FUENTE NO BORRAR'!C1994="","",'FUENTE NO BORRAR'!C1994)</f>
        <v/>
      </c>
      <c r="D1976" s="5" t="str">
        <f>IF('FUENTE NO BORRAR'!D1994="","",'FUENTE NO BORRAR'!D1994)</f>
        <v/>
      </c>
      <c r="E1976" s="5" t="str">
        <f>IF('FUENTE NO BORRAR'!E1994="","",'FUENTE NO BORRAR'!E1994)</f>
        <v/>
      </c>
      <c r="F1976" s="6">
        <f>IF('FUENTE NO BORRAR'!F1994="","",IF('FUENTE NO BORRAR'!$A1994&lt;&gt;"Resultado total",('FUENTE NO BORRAR'!F1994),""))</f>
        <v>0</v>
      </c>
      <c r="G1976" s="6">
        <f>IF('FUENTE NO BORRAR'!G1994="","",IF('FUENTE NO BORRAR'!$A1994&lt;&gt;"Resultado total",('FUENTE NO BORRAR'!G1994),""))</f>
        <v>0</v>
      </c>
      <c r="H1976" s="6">
        <f>IF('FUENTE NO BORRAR'!H1994="","",IF('FUENTE NO BORRAR'!$A1994&lt;&gt;"Resultado total",('FUENTE NO BORRAR'!H1994),""))</f>
        <v>0</v>
      </c>
      <c r="I1976" s="6">
        <f>IF('FUENTE NO BORRAR'!I1994="","",IF('FUENTE NO BORRAR'!$A1994&lt;&gt;"Resultado total",('FUENTE NO BORRAR'!I1994),""))</f>
        <v>0</v>
      </c>
    </row>
    <row r="1977" spans="1:9" x14ac:dyDescent="0.2">
      <c r="A1977" s="5" t="str">
        <f>IF('FUENTE NO BORRAR'!A1995="","",(IF('FUENTE NO BORRAR'!A1995&lt;&gt;"Resultado total",'FUENTE NO BORRAR'!A1995,"")))</f>
        <v/>
      </c>
      <c r="B1977" s="5" t="str">
        <f>IF('FUENTE NO BORRAR'!B1995="","",'FUENTE NO BORRAR'!B1995)</f>
        <v/>
      </c>
      <c r="C1977" s="5" t="str">
        <f>IF('FUENTE NO BORRAR'!C1995="","",'FUENTE NO BORRAR'!C1995)</f>
        <v/>
      </c>
      <c r="D1977" s="5" t="str">
        <f>IF('FUENTE NO BORRAR'!D1995="","",'FUENTE NO BORRAR'!D1995)</f>
        <v/>
      </c>
      <c r="E1977" s="5" t="str">
        <f>IF('FUENTE NO BORRAR'!E1995="","",'FUENTE NO BORRAR'!E1995)</f>
        <v/>
      </c>
      <c r="F1977" s="6">
        <f>IF('FUENTE NO BORRAR'!F1995="","",IF('FUENTE NO BORRAR'!$A1995&lt;&gt;"Resultado total",('FUENTE NO BORRAR'!F1995),""))</f>
        <v>317</v>
      </c>
      <c r="G1977" s="6">
        <f>IF('FUENTE NO BORRAR'!G1995="","",IF('FUENTE NO BORRAR'!$A1995&lt;&gt;"Resultado total",('FUENTE NO BORRAR'!G1995),""))</f>
        <v>317</v>
      </c>
      <c r="H1977" s="6">
        <f>IF('FUENTE NO BORRAR'!H1995="","",IF('FUENTE NO BORRAR'!$A1995&lt;&gt;"Resultado total",('FUENTE NO BORRAR'!H1995),""))</f>
        <v>317</v>
      </c>
      <c r="I1977" s="6">
        <f>IF('FUENTE NO BORRAR'!I1995="","",IF('FUENTE NO BORRAR'!$A1995&lt;&gt;"Resultado total",('FUENTE NO BORRAR'!I1995),""))</f>
        <v>0</v>
      </c>
    </row>
    <row r="1978" spans="1:9" x14ac:dyDescent="0.2">
      <c r="A1978" s="5" t="str">
        <f>IF('FUENTE NO BORRAR'!A1996="","",(IF('FUENTE NO BORRAR'!A1996&lt;&gt;"Resultado total",'FUENTE NO BORRAR'!A1996,"")))</f>
        <v/>
      </c>
      <c r="B1978" s="5" t="str">
        <f>IF('FUENTE NO BORRAR'!B1996="","",'FUENTE NO BORRAR'!B1996)</f>
        <v/>
      </c>
      <c r="C1978" s="5" t="str">
        <f>IF('FUENTE NO BORRAR'!C1996="","",'FUENTE NO BORRAR'!C1996)</f>
        <v/>
      </c>
      <c r="D1978" s="5" t="str">
        <f>IF('FUENTE NO BORRAR'!D1996="","",'FUENTE NO BORRAR'!D1996)</f>
        <v/>
      </c>
      <c r="E1978" s="5" t="str">
        <f>IF('FUENTE NO BORRAR'!E1996="","",'FUENTE NO BORRAR'!E1996)</f>
        <v/>
      </c>
      <c r="F1978" s="6">
        <f>IF('FUENTE NO BORRAR'!F1996="","",IF('FUENTE NO BORRAR'!$A1996&lt;&gt;"Resultado total",('FUENTE NO BORRAR'!F1996),""))</f>
        <v>0</v>
      </c>
      <c r="G1978" s="6">
        <f>IF('FUENTE NO BORRAR'!G1996="","",IF('FUENTE NO BORRAR'!$A1996&lt;&gt;"Resultado total",('FUENTE NO BORRAR'!G1996),""))</f>
        <v>0</v>
      </c>
      <c r="H1978" s="6">
        <f>IF('FUENTE NO BORRAR'!H1996="","",IF('FUENTE NO BORRAR'!$A1996&lt;&gt;"Resultado total",('FUENTE NO BORRAR'!H1996),""))</f>
        <v>0</v>
      </c>
      <c r="I1978" s="6">
        <f>IF('FUENTE NO BORRAR'!I1996="","",IF('FUENTE NO BORRAR'!$A1996&lt;&gt;"Resultado total",('FUENTE NO BORRAR'!I1996),""))</f>
        <v>0</v>
      </c>
    </row>
    <row r="1979" spans="1:9" x14ac:dyDescent="0.2">
      <c r="A1979" s="5" t="str">
        <f>IF('FUENTE NO BORRAR'!A1997="","",(IF('FUENTE NO BORRAR'!A1997&lt;&gt;"Resultado total",'FUENTE NO BORRAR'!A1997,"")))</f>
        <v/>
      </c>
      <c r="B1979" s="5" t="str">
        <f>IF('FUENTE NO BORRAR'!B1997="","",'FUENTE NO BORRAR'!B1997)</f>
        <v/>
      </c>
      <c r="C1979" s="5" t="str">
        <f>IF('FUENTE NO BORRAR'!C1997="","",'FUENTE NO BORRAR'!C1997)</f>
        <v/>
      </c>
      <c r="D1979" s="5" t="str">
        <f>IF('FUENTE NO BORRAR'!D1997="","",'FUENTE NO BORRAR'!D1997)</f>
        <v/>
      </c>
      <c r="E1979" s="5" t="str">
        <f>IF('FUENTE NO BORRAR'!E1997="","",'FUENTE NO BORRAR'!E1997)</f>
        <v/>
      </c>
      <c r="F1979" s="6">
        <f>IF('FUENTE NO BORRAR'!F1997="","",IF('FUENTE NO BORRAR'!$A1997&lt;&gt;"Resultado total",('FUENTE NO BORRAR'!F1997),""))</f>
        <v>0</v>
      </c>
      <c r="G1979" s="6">
        <f>IF('FUENTE NO BORRAR'!G1997="","",IF('FUENTE NO BORRAR'!$A1997&lt;&gt;"Resultado total",('FUENTE NO BORRAR'!G1997),""))</f>
        <v>0</v>
      </c>
      <c r="H1979" s="6">
        <f>IF('FUENTE NO BORRAR'!H1997="","",IF('FUENTE NO BORRAR'!$A1997&lt;&gt;"Resultado total",('FUENTE NO BORRAR'!H1997),""))</f>
        <v>0</v>
      </c>
      <c r="I1979" s="6">
        <f>IF('FUENTE NO BORRAR'!I1997="","",IF('FUENTE NO BORRAR'!$A1997&lt;&gt;"Resultado total",('FUENTE NO BORRAR'!I1997),""))</f>
        <v>0</v>
      </c>
    </row>
    <row r="1980" spans="1:9" x14ac:dyDescent="0.2">
      <c r="A1980" s="5" t="str">
        <f>IF('FUENTE NO BORRAR'!A1998="","",(IF('FUENTE NO BORRAR'!A1998&lt;&gt;"Resultado total",'FUENTE NO BORRAR'!A1998,"")))</f>
        <v/>
      </c>
      <c r="B1980" s="5" t="str">
        <f>IF('FUENTE NO BORRAR'!B1998="","",'FUENTE NO BORRAR'!B1998)</f>
        <v/>
      </c>
      <c r="C1980" s="5" t="str">
        <f>IF('FUENTE NO BORRAR'!C1998="","",'FUENTE NO BORRAR'!C1998)</f>
        <v/>
      </c>
      <c r="D1980" s="5" t="str">
        <f>IF('FUENTE NO BORRAR'!D1998="","",'FUENTE NO BORRAR'!D1998)</f>
        <v/>
      </c>
      <c r="E1980" s="5" t="str">
        <f>IF('FUENTE NO BORRAR'!E1998="","",'FUENTE NO BORRAR'!E1998)</f>
        <v/>
      </c>
      <c r="F1980" s="6">
        <f>IF('FUENTE NO BORRAR'!F1998="","",IF('FUENTE NO BORRAR'!$A1998&lt;&gt;"Resultado total",('FUENTE NO BORRAR'!F1998),""))</f>
        <v>0</v>
      </c>
      <c r="G1980" s="6">
        <f>IF('FUENTE NO BORRAR'!G1998="","",IF('FUENTE NO BORRAR'!$A1998&lt;&gt;"Resultado total",('FUENTE NO BORRAR'!G1998),""))</f>
        <v>0</v>
      </c>
      <c r="H1980" s="6">
        <f>IF('FUENTE NO BORRAR'!H1998="","",IF('FUENTE NO BORRAR'!$A1998&lt;&gt;"Resultado total",('FUENTE NO BORRAR'!H1998),""))</f>
        <v>0</v>
      </c>
      <c r="I1980" s="6">
        <f>IF('FUENTE NO BORRAR'!I1998="","",IF('FUENTE NO BORRAR'!$A1998&lt;&gt;"Resultado total",('FUENTE NO BORRAR'!I1998),""))</f>
        <v>0</v>
      </c>
    </row>
    <row r="1981" spans="1:9" x14ac:dyDescent="0.2">
      <c r="A1981" s="5" t="str">
        <f>IF('FUENTE NO BORRAR'!A1999="","",(IF('FUENTE NO BORRAR'!A1999&lt;&gt;"Resultado total",'FUENTE NO BORRAR'!A1999,"")))</f>
        <v/>
      </c>
      <c r="B1981" s="5" t="str">
        <f>IF('FUENTE NO BORRAR'!B1999="","",'FUENTE NO BORRAR'!B1999)</f>
        <v/>
      </c>
      <c r="C1981" s="5" t="str">
        <f>IF('FUENTE NO BORRAR'!C1999="","",'FUENTE NO BORRAR'!C1999)</f>
        <v>37014013F102</v>
      </c>
      <c r="D1981" s="5" t="str">
        <f>IF('FUENTE NO BORRAR'!D1999="","",'FUENTE NO BORRAR'!D1999)</f>
        <v>37014013F102</v>
      </c>
      <c r="E1981" s="5" t="str">
        <f>IF('FUENTE NO BORRAR'!E1999="","",'FUENTE NO BORRAR'!E1999)</f>
        <v/>
      </c>
      <c r="F1981" s="6">
        <f>IF('FUENTE NO BORRAR'!F1999="","",IF('FUENTE NO BORRAR'!$A1999&lt;&gt;"Resultado total",('FUENTE NO BORRAR'!F1999),""))</f>
        <v>31027.8</v>
      </c>
      <c r="G1981" s="6">
        <f>IF('FUENTE NO BORRAR'!G1999="","",IF('FUENTE NO BORRAR'!$A1999&lt;&gt;"Resultado total",('FUENTE NO BORRAR'!G1999),""))</f>
        <v>31027.8</v>
      </c>
      <c r="H1981" s="6">
        <f>IF('FUENTE NO BORRAR'!H1999="","",IF('FUENTE NO BORRAR'!$A1999&lt;&gt;"Resultado total",('FUENTE NO BORRAR'!H1999),""))</f>
        <v>31027.8</v>
      </c>
      <c r="I1981" s="6">
        <f>IF('FUENTE NO BORRAR'!I1999="","",IF('FUENTE NO BORRAR'!$A1999&lt;&gt;"Resultado total",('FUENTE NO BORRAR'!I1999),""))</f>
        <v>0</v>
      </c>
    </row>
    <row r="1982" spans="1:9" x14ac:dyDescent="0.2">
      <c r="A1982" s="5" t="str">
        <f>IF('FUENTE NO BORRAR'!A2000="","",(IF('FUENTE NO BORRAR'!A2000&lt;&gt;"Resultado total",'FUENTE NO BORRAR'!A2000,"")))</f>
        <v/>
      </c>
      <c r="B1982" s="5" t="str">
        <f>IF('FUENTE NO BORRAR'!B2000="","",'FUENTE NO BORRAR'!B2000)</f>
        <v/>
      </c>
      <c r="C1982" s="5" t="str">
        <f>IF('FUENTE NO BORRAR'!C2000="","",'FUENTE NO BORRAR'!C2000)</f>
        <v/>
      </c>
      <c r="D1982" s="5" t="str">
        <f>IF('FUENTE NO BORRAR'!D2000="","",'FUENTE NO BORRAR'!D2000)</f>
        <v/>
      </c>
      <c r="E1982" s="5" t="str">
        <f>IF('FUENTE NO BORRAR'!E2000="","",'FUENTE NO BORRAR'!E2000)</f>
        <v/>
      </c>
      <c r="F1982" s="6">
        <f>IF('FUENTE NO BORRAR'!F2000="","",IF('FUENTE NO BORRAR'!$A2000&lt;&gt;"Resultado total",('FUENTE NO BORRAR'!F2000),""))</f>
        <v>214092.1</v>
      </c>
      <c r="G1982" s="6">
        <f>IF('FUENTE NO BORRAR'!G2000="","",IF('FUENTE NO BORRAR'!$A2000&lt;&gt;"Resultado total",('FUENTE NO BORRAR'!G2000),""))</f>
        <v>214092.1</v>
      </c>
      <c r="H1982" s="6">
        <f>IF('FUENTE NO BORRAR'!H2000="","",IF('FUENTE NO BORRAR'!$A2000&lt;&gt;"Resultado total",('FUENTE NO BORRAR'!H2000),""))</f>
        <v>214092.1</v>
      </c>
      <c r="I1982" s="6">
        <f>IF('FUENTE NO BORRAR'!I2000="","",IF('FUENTE NO BORRAR'!$A2000&lt;&gt;"Resultado total",('FUENTE NO BORRAR'!I2000),""))</f>
        <v>0</v>
      </c>
    </row>
    <row r="1983" spans="1:9" x14ac:dyDescent="0.2">
      <c r="A1983" s="5" t="str">
        <f>IF('FUENTE NO BORRAR'!A2001="","",(IF('FUENTE NO BORRAR'!A2001&lt;&gt;"Resultado total",'FUENTE NO BORRAR'!A2001,"")))</f>
        <v/>
      </c>
      <c r="B1983" s="5" t="str">
        <f>IF('FUENTE NO BORRAR'!B2001="","",'FUENTE NO BORRAR'!B2001)</f>
        <v/>
      </c>
      <c r="C1983" s="5" t="str">
        <f>IF('FUENTE NO BORRAR'!C2001="","",'FUENTE NO BORRAR'!C2001)</f>
        <v/>
      </c>
      <c r="D1983" s="5" t="str">
        <f>IF('FUENTE NO BORRAR'!D2001="","",'FUENTE NO BORRAR'!D2001)</f>
        <v/>
      </c>
      <c r="E1983" s="5" t="str">
        <f>IF('FUENTE NO BORRAR'!E2001="","",'FUENTE NO BORRAR'!E2001)</f>
        <v/>
      </c>
      <c r="F1983" s="6">
        <f>IF('FUENTE NO BORRAR'!F2001="","",IF('FUENTE NO BORRAR'!$A2001&lt;&gt;"Resultado total",('FUENTE NO BORRAR'!F2001),""))</f>
        <v>144745.5</v>
      </c>
      <c r="G1983" s="6">
        <f>IF('FUENTE NO BORRAR'!G2001="","",IF('FUENTE NO BORRAR'!$A2001&lt;&gt;"Resultado total",('FUENTE NO BORRAR'!G2001),""))</f>
        <v>144745.5</v>
      </c>
      <c r="H1983" s="6">
        <f>IF('FUENTE NO BORRAR'!H2001="","",IF('FUENTE NO BORRAR'!$A2001&lt;&gt;"Resultado total",('FUENTE NO BORRAR'!H2001),""))</f>
        <v>144745.5</v>
      </c>
      <c r="I1983" s="6">
        <f>IF('FUENTE NO BORRAR'!I2001="","",IF('FUENTE NO BORRAR'!$A2001&lt;&gt;"Resultado total",('FUENTE NO BORRAR'!I2001),""))</f>
        <v>0</v>
      </c>
    </row>
    <row r="1984" spans="1:9" x14ac:dyDescent="0.2">
      <c r="A1984" s="5" t="str">
        <f>IF('FUENTE NO BORRAR'!A2002="","",(IF('FUENTE NO BORRAR'!A2002&lt;&gt;"Resultado total",'FUENTE NO BORRAR'!A2002,"")))</f>
        <v/>
      </c>
      <c r="B1984" s="5" t="str">
        <f>IF('FUENTE NO BORRAR'!B2002="","",'FUENTE NO BORRAR'!B2002)</f>
        <v/>
      </c>
      <c r="C1984" s="5" t="str">
        <f>IF('FUENTE NO BORRAR'!C2002="","",'FUENTE NO BORRAR'!C2002)</f>
        <v/>
      </c>
      <c r="D1984" s="5" t="str">
        <f>IF('FUENTE NO BORRAR'!D2002="","",'FUENTE NO BORRAR'!D2002)</f>
        <v/>
      </c>
      <c r="E1984" s="5" t="str">
        <f>IF('FUENTE NO BORRAR'!E2002="","",'FUENTE NO BORRAR'!E2002)</f>
        <v/>
      </c>
      <c r="F1984" s="6">
        <f>IF('FUENTE NO BORRAR'!F2002="","",IF('FUENTE NO BORRAR'!$A2002&lt;&gt;"Resultado total",('FUENTE NO BORRAR'!F2002),""))</f>
        <v>183360.15</v>
      </c>
      <c r="G1984" s="6">
        <f>IF('FUENTE NO BORRAR'!G2002="","",IF('FUENTE NO BORRAR'!$A2002&lt;&gt;"Resultado total",('FUENTE NO BORRAR'!G2002),""))</f>
        <v>183360.15</v>
      </c>
      <c r="H1984" s="6">
        <f>IF('FUENTE NO BORRAR'!H2002="","",IF('FUENTE NO BORRAR'!$A2002&lt;&gt;"Resultado total",('FUENTE NO BORRAR'!H2002),""))</f>
        <v>183360.15</v>
      </c>
      <c r="I1984" s="6">
        <f>IF('FUENTE NO BORRAR'!I2002="","",IF('FUENTE NO BORRAR'!$A2002&lt;&gt;"Resultado total",('FUENTE NO BORRAR'!I2002),""))</f>
        <v>0</v>
      </c>
    </row>
    <row r="1985" spans="1:9" x14ac:dyDescent="0.2">
      <c r="A1985" s="5" t="str">
        <f>IF('FUENTE NO BORRAR'!A2003="","",(IF('FUENTE NO BORRAR'!A2003&lt;&gt;"Resultado total",'FUENTE NO BORRAR'!A2003,"")))</f>
        <v/>
      </c>
      <c r="B1985" s="5" t="str">
        <f>IF('FUENTE NO BORRAR'!B2003="","",'FUENTE NO BORRAR'!B2003)</f>
        <v/>
      </c>
      <c r="C1985" s="5" t="str">
        <f>IF('FUENTE NO BORRAR'!C2003="","",'FUENTE NO BORRAR'!C2003)</f>
        <v/>
      </c>
      <c r="D1985" s="5" t="str">
        <f>IF('FUENTE NO BORRAR'!D2003="","",'FUENTE NO BORRAR'!D2003)</f>
        <v/>
      </c>
      <c r="E1985" s="5" t="str">
        <f>IF('FUENTE NO BORRAR'!E2003="","",'FUENTE NO BORRAR'!E2003)</f>
        <v/>
      </c>
      <c r="F1985" s="6">
        <f>IF('FUENTE NO BORRAR'!F2003="","",IF('FUENTE NO BORRAR'!$A2003&lt;&gt;"Resultado total",('FUENTE NO BORRAR'!F2003),""))</f>
        <v>727.43</v>
      </c>
      <c r="G1985" s="6">
        <f>IF('FUENTE NO BORRAR'!G2003="","",IF('FUENTE NO BORRAR'!$A2003&lt;&gt;"Resultado total",('FUENTE NO BORRAR'!G2003),""))</f>
        <v>727.43</v>
      </c>
      <c r="H1985" s="6">
        <f>IF('FUENTE NO BORRAR'!H2003="","",IF('FUENTE NO BORRAR'!$A2003&lt;&gt;"Resultado total",('FUENTE NO BORRAR'!H2003),""))</f>
        <v>727.43</v>
      </c>
      <c r="I1985" s="6">
        <f>IF('FUENTE NO BORRAR'!I2003="","",IF('FUENTE NO BORRAR'!$A2003&lt;&gt;"Resultado total",('FUENTE NO BORRAR'!I2003),""))</f>
        <v>0</v>
      </c>
    </row>
    <row r="1986" spans="1:9" x14ac:dyDescent="0.2">
      <c r="A1986" s="5" t="str">
        <f>IF('FUENTE NO BORRAR'!A2004="","",(IF('FUENTE NO BORRAR'!A2004&lt;&gt;"Resultado total",'FUENTE NO BORRAR'!A2004,"")))</f>
        <v/>
      </c>
      <c r="B1986" s="5" t="str">
        <f>IF('FUENTE NO BORRAR'!B2004="","",'FUENTE NO BORRAR'!B2004)</f>
        <v/>
      </c>
      <c r="C1986" s="5" t="str">
        <f>IF('FUENTE NO BORRAR'!C2004="","",'FUENTE NO BORRAR'!C2004)</f>
        <v/>
      </c>
      <c r="D1986" s="5" t="str">
        <f>IF('FUENTE NO BORRAR'!D2004="","",'FUENTE NO BORRAR'!D2004)</f>
        <v/>
      </c>
      <c r="E1986" s="5" t="str">
        <f>IF('FUENTE NO BORRAR'!E2004="","",'FUENTE NO BORRAR'!E2004)</f>
        <v/>
      </c>
      <c r="F1986" s="6">
        <f>IF('FUENTE NO BORRAR'!F2004="","",IF('FUENTE NO BORRAR'!$A2004&lt;&gt;"Resultado total",('FUENTE NO BORRAR'!F2004),""))</f>
        <v>10008.469999999999</v>
      </c>
      <c r="G1986" s="6">
        <f>IF('FUENTE NO BORRAR'!G2004="","",IF('FUENTE NO BORRAR'!$A2004&lt;&gt;"Resultado total",('FUENTE NO BORRAR'!G2004),""))</f>
        <v>10008.469999999999</v>
      </c>
      <c r="H1986" s="6">
        <f>IF('FUENTE NO BORRAR'!H2004="","",IF('FUENTE NO BORRAR'!$A2004&lt;&gt;"Resultado total",('FUENTE NO BORRAR'!H2004),""))</f>
        <v>10008.469999999999</v>
      </c>
      <c r="I1986" s="6">
        <f>IF('FUENTE NO BORRAR'!I2004="","",IF('FUENTE NO BORRAR'!$A2004&lt;&gt;"Resultado total",('FUENTE NO BORRAR'!I2004),""))</f>
        <v>0</v>
      </c>
    </row>
    <row r="1987" spans="1:9" x14ac:dyDescent="0.2">
      <c r="A1987" s="5" t="str">
        <f>IF('FUENTE NO BORRAR'!A2005="","",(IF('FUENTE NO BORRAR'!A2005&lt;&gt;"Resultado total",'FUENTE NO BORRAR'!A2005,"")))</f>
        <v/>
      </c>
      <c r="B1987" s="5" t="str">
        <f>IF('FUENTE NO BORRAR'!B2005="","",'FUENTE NO BORRAR'!B2005)</f>
        <v/>
      </c>
      <c r="C1987" s="5" t="str">
        <f>IF('FUENTE NO BORRAR'!C2005="","",'FUENTE NO BORRAR'!C2005)</f>
        <v/>
      </c>
      <c r="D1987" s="5" t="str">
        <f>IF('FUENTE NO BORRAR'!D2005="","",'FUENTE NO BORRAR'!D2005)</f>
        <v/>
      </c>
      <c r="E1987" s="5" t="str">
        <f>IF('FUENTE NO BORRAR'!E2005="","",'FUENTE NO BORRAR'!E2005)</f>
        <v/>
      </c>
      <c r="F1987" s="6">
        <f>IF('FUENTE NO BORRAR'!F2005="","",IF('FUENTE NO BORRAR'!$A2005&lt;&gt;"Resultado total",('FUENTE NO BORRAR'!F2005),""))</f>
        <v>73881.429999999993</v>
      </c>
      <c r="G1987" s="6">
        <f>IF('FUENTE NO BORRAR'!G2005="","",IF('FUENTE NO BORRAR'!$A2005&lt;&gt;"Resultado total",('FUENTE NO BORRAR'!G2005),""))</f>
        <v>73881.429999999993</v>
      </c>
      <c r="H1987" s="6">
        <f>IF('FUENTE NO BORRAR'!H2005="","",IF('FUENTE NO BORRAR'!$A2005&lt;&gt;"Resultado total",('FUENTE NO BORRAR'!H2005),""))</f>
        <v>73881.429999999993</v>
      </c>
      <c r="I1987" s="6">
        <f>IF('FUENTE NO BORRAR'!I2005="","",IF('FUENTE NO BORRAR'!$A2005&lt;&gt;"Resultado total",('FUENTE NO BORRAR'!I2005),""))</f>
        <v>0</v>
      </c>
    </row>
    <row r="1988" spans="1:9" x14ac:dyDescent="0.2">
      <c r="A1988" s="5" t="str">
        <f>IF('FUENTE NO BORRAR'!A2006="","",(IF('FUENTE NO BORRAR'!A2006&lt;&gt;"Resultado total",'FUENTE NO BORRAR'!A2006,"")))</f>
        <v/>
      </c>
      <c r="B1988" s="5" t="str">
        <f>IF('FUENTE NO BORRAR'!B2006="","",'FUENTE NO BORRAR'!B2006)</f>
        <v/>
      </c>
      <c r="C1988" s="5" t="str">
        <f>IF('FUENTE NO BORRAR'!C2006="","",'FUENTE NO BORRAR'!C2006)</f>
        <v/>
      </c>
      <c r="D1988" s="5" t="str">
        <f>IF('FUENTE NO BORRAR'!D2006="","",'FUENTE NO BORRAR'!D2006)</f>
        <v/>
      </c>
      <c r="E1988" s="5" t="str">
        <f>IF('FUENTE NO BORRAR'!E2006="","",'FUENTE NO BORRAR'!E2006)</f>
        <v/>
      </c>
      <c r="F1988" s="6">
        <f>IF('FUENTE NO BORRAR'!F2006="","",IF('FUENTE NO BORRAR'!$A2006&lt;&gt;"Resultado total",('FUENTE NO BORRAR'!F2006),""))</f>
        <v>591961.18000000005</v>
      </c>
      <c r="G1988" s="6">
        <f>IF('FUENTE NO BORRAR'!G2006="","",IF('FUENTE NO BORRAR'!$A2006&lt;&gt;"Resultado total",('FUENTE NO BORRAR'!G2006),""))</f>
        <v>591961.18000000005</v>
      </c>
      <c r="H1988" s="6">
        <f>IF('FUENTE NO BORRAR'!H2006="","",IF('FUENTE NO BORRAR'!$A2006&lt;&gt;"Resultado total",('FUENTE NO BORRAR'!H2006),""))</f>
        <v>599716.14</v>
      </c>
      <c r="I1988" s="6">
        <f>IF('FUENTE NO BORRAR'!I2006="","",IF('FUENTE NO BORRAR'!$A2006&lt;&gt;"Resultado total",('FUENTE NO BORRAR'!I2006),""))</f>
        <v>0</v>
      </c>
    </row>
    <row r="1989" spans="1:9" x14ac:dyDescent="0.2">
      <c r="A1989" s="5" t="str">
        <f>IF('FUENTE NO BORRAR'!A2007="","",(IF('FUENTE NO BORRAR'!A2007&lt;&gt;"Resultado total",'FUENTE NO BORRAR'!A2007,"")))</f>
        <v/>
      </c>
      <c r="B1989" s="5" t="str">
        <f>IF('FUENTE NO BORRAR'!B2007="","",'FUENTE NO BORRAR'!B2007)</f>
        <v/>
      </c>
      <c r="C1989" s="5" t="str">
        <f>IF('FUENTE NO BORRAR'!C2007="","",'FUENTE NO BORRAR'!C2007)</f>
        <v/>
      </c>
      <c r="D1989" s="5" t="str">
        <f>IF('FUENTE NO BORRAR'!D2007="","",'FUENTE NO BORRAR'!D2007)</f>
        <v/>
      </c>
      <c r="E1989" s="5" t="str">
        <f>IF('FUENTE NO BORRAR'!E2007="","",'FUENTE NO BORRAR'!E2007)</f>
        <v/>
      </c>
      <c r="F1989" s="6">
        <f>IF('FUENTE NO BORRAR'!F2007="","",IF('FUENTE NO BORRAR'!$A2007&lt;&gt;"Resultado total",('FUENTE NO BORRAR'!F2007),""))</f>
        <v>474888.01</v>
      </c>
      <c r="G1989" s="6">
        <f>IF('FUENTE NO BORRAR'!G2007="","",IF('FUENTE NO BORRAR'!$A2007&lt;&gt;"Resultado total",('FUENTE NO BORRAR'!G2007),""))</f>
        <v>474888.01</v>
      </c>
      <c r="H1989" s="6">
        <f>IF('FUENTE NO BORRAR'!H2007="","",IF('FUENTE NO BORRAR'!$A2007&lt;&gt;"Resultado total",('FUENTE NO BORRAR'!H2007),""))</f>
        <v>474888.01</v>
      </c>
      <c r="I1989" s="6">
        <f>IF('FUENTE NO BORRAR'!I2007="","",IF('FUENTE NO BORRAR'!$A2007&lt;&gt;"Resultado total",('FUENTE NO BORRAR'!I2007),""))</f>
        <v>0</v>
      </c>
    </row>
    <row r="1990" spans="1:9" x14ac:dyDescent="0.2">
      <c r="A1990" s="5" t="str">
        <f>IF('FUENTE NO BORRAR'!A2008="","",(IF('FUENTE NO BORRAR'!A2008&lt;&gt;"Resultado total",'FUENTE NO BORRAR'!A2008,"")))</f>
        <v/>
      </c>
      <c r="B1990" s="5" t="str">
        <f>IF('FUENTE NO BORRAR'!B2008="","",'FUENTE NO BORRAR'!B2008)</f>
        <v/>
      </c>
      <c r="C1990" s="5" t="str">
        <f>IF('FUENTE NO BORRAR'!C2008="","",'FUENTE NO BORRAR'!C2008)</f>
        <v/>
      </c>
      <c r="D1990" s="5" t="str">
        <f>IF('FUENTE NO BORRAR'!D2008="","",'FUENTE NO BORRAR'!D2008)</f>
        <v/>
      </c>
      <c r="E1990" s="5" t="str">
        <f>IF('FUENTE NO BORRAR'!E2008="","",'FUENTE NO BORRAR'!E2008)</f>
        <v/>
      </c>
      <c r="F1990" s="6">
        <f>IF('FUENTE NO BORRAR'!F2008="","",IF('FUENTE NO BORRAR'!$A2008&lt;&gt;"Resultado total",('FUENTE NO BORRAR'!F2008),""))</f>
        <v>63086.85</v>
      </c>
      <c r="G1990" s="6">
        <f>IF('FUENTE NO BORRAR'!G2008="","",IF('FUENTE NO BORRAR'!$A2008&lt;&gt;"Resultado total",('FUENTE NO BORRAR'!G2008),""))</f>
        <v>63086.85</v>
      </c>
      <c r="H1990" s="6">
        <f>IF('FUENTE NO BORRAR'!H2008="","",IF('FUENTE NO BORRAR'!$A2008&lt;&gt;"Resultado total",('FUENTE NO BORRAR'!H2008),""))</f>
        <v>63086.85</v>
      </c>
      <c r="I1990" s="6">
        <f>IF('FUENTE NO BORRAR'!I2008="","",IF('FUENTE NO BORRAR'!$A2008&lt;&gt;"Resultado total",('FUENTE NO BORRAR'!I2008),""))</f>
        <v>0</v>
      </c>
    </row>
    <row r="1991" spans="1:9" x14ac:dyDescent="0.2">
      <c r="A1991" s="5" t="str">
        <f>IF('FUENTE NO BORRAR'!A2009="","",(IF('FUENTE NO BORRAR'!A2009&lt;&gt;"Resultado total",'FUENTE NO BORRAR'!A2009,"")))</f>
        <v/>
      </c>
      <c r="B1991" s="5" t="str">
        <f>IF('FUENTE NO BORRAR'!B2009="","",'FUENTE NO BORRAR'!B2009)</f>
        <v/>
      </c>
      <c r="C1991" s="5" t="str">
        <f>IF('FUENTE NO BORRAR'!C2009="","",'FUENTE NO BORRAR'!C2009)</f>
        <v/>
      </c>
      <c r="D1991" s="5" t="str">
        <f>IF('FUENTE NO BORRAR'!D2009="","",'FUENTE NO BORRAR'!D2009)</f>
        <v/>
      </c>
      <c r="E1991" s="5" t="str">
        <f>IF('FUENTE NO BORRAR'!E2009="","",'FUENTE NO BORRAR'!E2009)</f>
        <v/>
      </c>
      <c r="F1991" s="6">
        <f>IF('FUENTE NO BORRAR'!F2009="","",IF('FUENTE NO BORRAR'!$A2009&lt;&gt;"Resultado total",('FUENTE NO BORRAR'!F2009),""))</f>
        <v>18180.990000000002</v>
      </c>
      <c r="G1991" s="6">
        <f>IF('FUENTE NO BORRAR'!G2009="","",IF('FUENTE NO BORRAR'!$A2009&lt;&gt;"Resultado total",('FUENTE NO BORRAR'!G2009),""))</f>
        <v>18180.990000000002</v>
      </c>
      <c r="H1991" s="6">
        <f>IF('FUENTE NO BORRAR'!H2009="","",IF('FUENTE NO BORRAR'!$A2009&lt;&gt;"Resultado total",('FUENTE NO BORRAR'!H2009),""))</f>
        <v>18180.990000000002</v>
      </c>
      <c r="I1991" s="6">
        <f>IF('FUENTE NO BORRAR'!I2009="","",IF('FUENTE NO BORRAR'!$A2009&lt;&gt;"Resultado total",('FUENTE NO BORRAR'!I2009),""))</f>
        <v>0</v>
      </c>
    </row>
    <row r="1992" spans="1:9" x14ac:dyDescent="0.2">
      <c r="A1992" s="5" t="str">
        <f>IF('FUENTE NO BORRAR'!A2010="","",(IF('FUENTE NO BORRAR'!A2010&lt;&gt;"Resultado total",'FUENTE NO BORRAR'!A2010,"")))</f>
        <v/>
      </c>
      <c r="B1992" s="5" t="str">
        <f>IF('FUENTE NO BORRAR'!B2010="","",'FUENTE NO BORRAR'!B2010)</f>
        <v/>
      </c>
      <c r="C1992" s="5" t="str">
        <f>IF('FUENTE NO BORRAR'!C2010="","",'FUENTE NO BORRAR'!C2010)</f>
        <v/>
      </c>
      <c r="D1992" s="5" t="str">
        <f>IF('FUENTE NO BORRAR'!D2010="","",'FUENTE NO BORRAR'!D2010)</f>
        <v/>
      </c>
      <c r="E1992" s="5" t="str">
        <f>IF('FUENTE NO BORRAR'!E2010="","",'FUENTE NO BORRAR'!E2010)</f>
        <v/>
      </c>
      <c r="F1992" s="6">
        <f>IF('FUENTE NO BORRAR'!F2010="","",IF('FUENTE NO BORRAR'!$A2010&lt;&gt;"Resultado total",('FUENTE NO BORRAR'!F2010),""))</f>
        <v>8505.69</v>
      </c>
      <c r="G1992" s="6">
        <f>IF('FUENTE NO BORRAR'!G2010="","",IF('FUENTE NO BORRAR'!$A2010&lt;&gt;"Resultado total",('FUENTE NO BORRAR'!G2010),""))</f>
        <v>8505.69</v>
      </c>
      <c r="H1992" s="6">
        <f>IF('FUENTE NO BORRAR'!H2010="","",IF('FUENTE NO BORRAR'!$A2010&lt;&gt;"Resultado total",('FUENTE NO BORRAR'!H2010),""))</f>
        <v>8505.69</v>
      </c>
      <c r="I1992" s="6">
        <f>IF('FUENTE NO BORRAR'!I2010="","",IF('FUENTE NO BORRAR'!$A2010&lt;&gt;"Resultado total",('FUENTE NO BORRAR'!I2010),""))</f>
        <v>0</v>
      </c>
    </row>
    <row r="1993" spans="1:9" x14ac:dyDescent="0.2">
      <c r="A1993" s="5" t="str">
        <f>IF('FUENTE NO BORRAR'!A2011="","",(IF('FUENTE NO BORRAR'!A2011&lt;&gt;"Resultado total",'FUENTE NO BORRAR'!A2011,"")))</f>
        <v/>
      </c>
      <c r="B1993" s="5" t="str">
        <f>IF('FUENTE NO BORRAR'!B2011="","",'FUENTE NO BORRAR'!B2011)</f>
        <v/>
      </c>
      <c r="C1993" s="5" t="str">
        <f>IF('FUENTE NO BORRAR'!C2011="","",'FUENTE NO BORRAR'!C2011)</f>
        <v/>
      </c>
      <c r="D1993" s="5" t="str">
        <f>IF('FUENTE NO BORRAR'!D2011="","",'FUENTE NO BORRAR'!D2011)</f>
        <v/>
      </c>
      <c r="E1993" s="5" t="str">
        <f>IF('FUENTE NO BORRAR'!E2011="","",'FUENTE NO BORRAR'!E2011)</f>
        <v/>
      </c>
      <c r="F1993" s="6">
        <f>IF('FUENTE NO BORRAR'!F2011="","",IF('FUENTE NO BORRAR'!$A2011&lt;&gt;"Resultado total",('FUENTE NO BORRAR'!F2011),""))</f>
        <v>29423.64</v>
      </c>
      <c r="G1993" s="6">
        <f>IF('FUENTE NO BORRAR'!G2011="","",IF('FUENTE NO BORRAR'!$A2011&lt;&gt;"Resultado total",('FUENTE NO BORRAR'!G2011),""))</f>
        <v>29423.64</v>
      </c>
      <c r="H1993" s="6">
        <f>IF('FUENTE NO BORRAR'!H2011="","",IF('FUENTE NO BORRAR'!$A2011&lt;&gt;"Resultado total",('FUENTE NO BORRAR'!H2011),""))</f>
        <v>29423.64</v>
      </c>
      <c r="I1993" s="6">
        <f>IF('FUENTE NO BORRAR'!I2011="","",IF('FUENTE NO BORRAR'!$A2011&lt;&gt;"Resultado total",('FUENTE NO BORRAR'!I2011),""))</f>
        <v>0</v>
      </c>
    </row>
    <row r="1994" spans="1:9" x14ac:dyDescent="0.2">
      <c r="A1994" s="5" t="str">
        <f>IF('FUENTE NO BORRAR'!A2012="","",(IF('FUENTE NO BORRAR'!A2012&lt;&gt;"Resultado total",'FUENTE NO BORRAR'!A2012,"")))</f>
        <v/>
      </c>
      <c r="B1994" s="5" t="str">
        <f>IF('FUENTE NO BORRAR'!B2012="","",'FUENTE NO BORRAR'!B2012)</f>
        <v/>
      </c>
      <c r="C1994" s="5" t="str">
        <f>IF('FUENTE NO BORRAR'!C2012="","",'FUENTE NO BORRAR'!C2012)</f>
        <v/>
      </c>
      <c r="D1994" s="5" t="str">
        <f>IF('FUENTE NO BORRAR'!D2012="","",'FUENTE NO BORRAR'!D2012)</f>
        <v/>
      </c>
      <c r="E1994" s="5" t="str">
        <f>IF('FUENTE NO BORRAR'!E2012="","",'FUENTE NO BORRAR'!E2012)</f>
        <v/>
      </c>
      <c r="F1994" s="6">
        <f>IF('FUENTE NO BORRAR'!F2012="","",IF('FUENTE NO BORRAR'!$A2012&lt;&gt;"Resultado total",('FUENTE NO BORRAR'!F2012),""))</f>
        <v>61167.37</v>
      </c>
      <c r="G1994" s="6">
        <f>IF('FUENTE NO BORRAR'!G2012="","",IF('FUENTE NO BORRAR'!$A2012&lt;&gt;"Resultado total",('FUENTE NO BORRAR'!G2012),""))</f>
        <v>61167.37</v>
      </c>
      <c r="H1994" s="6">
        <f>IF('FUENTE NO BORRAR'!H2012="","",IF('FUENTE NO BORRAR'!$A2012&lt;&gt;"Resultado total",('FUENTE NO BORRAR'!H2012),""))</f>
        <v>61167.37</v>
      </c>
      <c r="I1994" s="6">
        <f>IF('FUENTE NO BORRAR'!I2012="","",IF('FUENTE NO BORRAR'!$A2012&lt;&gt;"Resultado total",('FUENTE NO BORRAR'!I2012),""))</f>
        <v>0</v>
      </c>
    </row>
    <row r="1995" spans="1:9" x14ac:dyDescent="0.2">
      <c r="A1995" s="5" t="str">
        <f>IF('FUENTE NO BORRAR'!A2013="","",(IF('FUENTE NO BORRAR'!A2013&lt;&gt;"Resultado total",'FUENTE NO BORRAR'!A2013,"")))</f>
        <v/>
      </c>
      <c r="B1995" s="5" t="str">
        <f>IF('FUENTE NO BORRAR'!B2013="","",'FUENTE NO BORRAR'!B2013)</f>
        <v/>
      </c>
      <c r="C1995" s="5" t="str">
        <f>IF('FUENTE NO BORRAR'!C2013="","",'FUENTE NO BORRAR'!C2013)</f>
        <v/>
      </c>
      <c r="D1995" s="5" t="str">
        <f>IF('FUENTE NO BORRAR'!D2013="","",'FUENTE NO BORRAR'!D2013)</f>
        <v/>
      </c>
      <c r="E1995" s="5" t="str">
        <f>IF('FUENTE NO BORRAR'!E2013="","",'FUENTE NO BORRAR'!E2013)</f>
        <v/>
      </c>
      <c r="F1995" s="6">
        <f>IF('FUENTE NO BORRAR'!F2013="","",IF('FUENTE NO BORRAR'!$A2013&lt;&gt;"Resultado total",('FUENTE NO BORRAR'!F2013),""))</f>
        <v>10000</v>
      </c>
      <c r="G1995" s="6">
        <f>IF('FUENTE NO BORRAR'!G2013="","",IF('FUENTE NO BORRAR'!$A2013&lt;&gt;"Resultado total",('FUENTE NO BORRAR'!G2013),""))</f>
        <v>10000</v>
      </c>
      <c r="H1995" s="6">
        <f>IF('FUENTE NO BORRAR'!H2013="","",IF('FUENTE NO BORRAR'!$A2013&lt;&gt;"Resultado total",('FUENTE NO BORRAR'!H2013),""))</f>
        <v>10000</v>
      </c>
      <c r="I1995" s="6">
        <f>IF('FUENTE NO BORRAR'!I2013="","",IF('FUENTE NO BORRAR'!$A2013&lt;&gt;"Resultado total",('FUENTE NO BORRAR'!I2013),""))</f>
        <v>0</v>
      </c>
    </row>
    <row r="1996" spans="1:9" x14ac:dyDescent="0.2">
      <c r="A1996" s="5" t="str">
        <f>IF('FUENTE NO BORRAR'!A2014="","",(IF('FUENTE NO BORRAR'!A2014&lt;&gt;"Resultado total",'FUENTE NO BORRAR'!A2014,"")))</f>
        <v/>
      </c>
      <c r="B1996" s="5" t="str">
        <f>IF('FUENTE NO BORRAR'!B2014="","",'FUENTE NO BORRAR'!B2014)</f>
        <v/>
      </c>
      <c r="C1996" s="5" t="str">
        <f>IF('FUENTE NO BORRAR'!C2014="","",'FUENTE NO BORRAR'!C2014)</f>
        <v/>
      </c>
      <c r="D1996" s="5" t="str">
        <f>IF('FUENTE NO BORRAR'!D2014="","",'FUENTE NO BORRAR'!D2014)</f>
        <v/>
      </c>
      <c r="E1996" s="5" t="str">
        <f>IF('FUENTE NO BORRAR'!E2014="","",'FUENTE NO BORRAR'!E2014)</f>
        <v/>
      </c>
      <c r="F1996" s="6">
        <f>IF('FUENTE NO BORRAR'!F2014="","",IF('FUENTE NO BORRAR'!$A2014&lt;&gt;"Resultado total",('FUENTE NO BORRAR'!F2014),""))</f>
        <v>15910.58</v>
      </c>
      <c r="G1996" s="6">
        <f>IF('FUENTE NO BORRAR'!G2014="","",IF('FUENTE NO BORRAR'!$A2014&lt;&gt;"Resultado total",('FUENTE NO BORRAR'!G2014),""))</f>
        <v>15910.58</v>
      </c>
      <c r="H1996" s="6">
        <f>IF('FUENTE NO BORRAR'!H2014="","",IF('FUENTE NO BORRAR'!$A2014&lt;&gt;"Resultado total",('FUENTE NO BORRAR'!H2014),""))</f>
        <v>15910.58</v>
      </c>
      <c r="I1996" s="6">
        <f>IF('FUENTE NO BORRAR'!I2014="","",IF('FUENTE NO BORRAR'!$A2014&lt;&gt;"Resultado total",('FUENTE NO BORRAR'!I2014),""))</f>
        <v>0</v>
      </c>
    </row>
    <row r="1997" spans="1:9" x14ac:dyDescent="0.2">
      <c r="A1997" s="5" t="str">
        <f>IF('FUENTE NO BORRAR'!A2015="","",(IF('FUENTE NO BORRAR'!A2015&lt;&gt;"Resultado total",'FUENTE NO BORRAR'!A2015,"")))</f>
        <v/>
      </c>
      <c r="B1997" s="5" t="str">
        <f>IF('FUENTE NO BORRAR'!B2015="","",'FUENTE NO BORRAR'!B2015)</f>
        <v/>
      </c>
      <c r="C1997" s="5" t="str">
        <f>IF('FUENTE NO BORRAR'!C2015="","",'FUENTE NO BORRAR'!C2015)</f>
        <v/>
      </c>
      <c r="D1997" s="5" t="str">
        <f>IF('FUENTE NO BORRAR'!D2015="","",'FUENTE NO BORRAR'!D2015)</f>
        <v/>
      </c>
      <c r="E1997" s="5" t="str">
        <f>IF('FUENTE NO BORRAR'!E2015="","",'FUENTE NO BORRAR'!E2015)</f>
        <v/>
      </c>
      <c r="F1997" s="6">
        <f>IF('FUENTE NO BORRAR'!F2015="","",IF('FUENTE NO BORRAR'!$A2015&lt;&gt;"Resultado total",('FUENTE NO BORRAR'!F2015),""))</f>
        <v>296.89999999999998</v>
      </c>
      <c r="G1997" s="6">
        <f>IF('FUENTE NO BORRAR'!G2015="","",IF('FUENTE NO BORRAR'!$A2015&lt;&gt;"Resultado total",('FUENTE NO BORRAR'!G2015),""))</f>
        <v>296.89999999999998</v>
      </c>
      <c r="H1997" s="6">
        <f>IF('FUENTE NO BORRAR'!H2015="","",IF('FUENTE NO BORRAR'!$A2015&lt;&gt;"Resultado total",('FUENTE NO BORRAR'!H2015),""))</f>
        <v>296.89999999999998</v>
      </c>
      <c r="I1997" s="6">
        <f>IF('FUENTE NO BORRAR'!I2015="","",IF('FUENTE NO BORRAR'!$A2015&lt;&gt;"Resultado total",('FUENTE NO BORRAR'!I2015),""))</f>
        <v>0</v>
      </c>
    </row>
    <row r="1998" spans="1:9" x14ac:dyDescent="0.2">
      <c r="A1998" s="5" t="str">
        <f>IF('FUENTE NO BORRAR'!A2016="","",(IF('FUENTE NO BORRAR'!A2016&lt;&gt;"Resultado total",'FUENTE NO BORRAR'!A2016,"")))</f>
        <v/>
      </c>
      <c r="B1998" s="5" t="str">
        <f>IF('FUENTE NO BORRAR'!B2016="","",'FUENTE NO BORRAR'!B2016)</f>
        <v/>
      </c>
      <c r="C1998" s="5" t="str">
        <f>IF('FUENTE NO BORRAR'!C2016="","",'FUENTE NO BORRAR'!C2016)</f>
        <v/>
      </c>
      <c r="D1998" s="5" t="str">
        <f>IF('FUENTE NO BORRAR'!D2016="","",'FUENTE NO BORRAR'!D2016)</f>
        <v/>
      </c>
      <c r="E1998" s="5" t="str">
        <f>IF('FUENTE NO BORRAR'!E2016="","",'FUENTE NO BORRAR'!E2016)</f>
        <v/>
      </c>
      <c r="F1998" s="6">
        <f>IF('FUENTE NO BORRAR'!F2016="","",IF('FUENTE NO BORRAR'!$A2016&lt;&gt;"Resultado total",('FUENTE NO BORRAR'!F2016),""))</f>
        <v>251.37</v>
      </c>
      <c r="G1998" s="6">
        <f>IF('FUENTE NO BORRAR'!G2016="","",IF('FUENTE NO BORRAR'!$A2016&lt;&gt;"Resultado total",('FUENTE NO BORRAR'!G2016),""))</f>
        <v>251.37</v>
      </c>
      <c r="H1998" s="6">
        <f>IF('FUENTE NO BORRAR'!H2016="","",IF('FUENTE NO BORRAR'!$A2016&lt;&gt;"Resultado total",('FUENTE NO BORRAR'!H2016),""))</f>
        <v>251.37</v>
      </c>
      <c r="I1998" s="6">
        <f>IF('FUENTE NO BORRAR'!I2016="","",IF('FUENTE NO BORRAR'!$A2016&lt;&gt;"Resultado total",('FUENTE NO BORRAR'!I2016),""))</f>
        <v>0</v>
      </c>
    </row>
    <row r="1999" spans="1:9" x14ac:dyDescent="0.2">
      <c r="A1999" s="5" t="str">
        <f>IF('FUENTE NO BORRAR'!A2017="","",(IF('FUENTE NO BORRAR'!A2017&lt;&gt;"Resultado total",'FUENTE NO BORRAR'!A2017,"")))</f>
        <v/>
      </c>
      <c r="B1999" s="5" t="str">
        <f>IF('FUENTE NO BORRAR'!B2017="","",'FUENTE NO BORRAR'!B2017)</f>
        <v/>
      </c>
      <c r="C1999" s="5" t="str">
        <f>IF('FUENTE NO BORRAR'!C2017="","",'FUENTE NO BORRAR'!C2017)</f>
        <v/>
      </c>
      <c r="D1999" s="5" t="str">
        <f>IF('FUENTE NO BORRAR'!D2017="","",'FUENTE NO BORRAR'!D2017)</f>
        <v/>
      </c>
      <c r="E1999" s="5" t="str">
        <f>IF('FUENTE NO BORRAR'!E2017="","",'FUENTE NO BORRAR'!E2017)</f>
        <v/>
      </c>
      <c r="F1999" s="6">
        <f>IF('FUENTE NO BORRAR'!F2017="","",IF('FUENTE NO BORRAR'!$A2017&lt;&gt;"Resultado total",('FUENTE NO BORRAR'!F2017),""))</f>
        <v>123193.21</v>
      </c>
      <c r="G1999" s="6">
        <f>IF('FUENTE NO BORRAR'!G2017="","",IF('FUENTE NO BORRAR'!$A2017&lt;&gt;"Resultado total",('FUENTE NO BORRAR'!G2017),""))</f>
        <v>123193.21</v>
      </c>
      <c r="H1999" s="6">
        <f>IF('FUENTE NO BORRAR'!H2017="","",IF('FUENTE NO BORRAR'!$A2017&lt;&gt;"Resultado total",('FUENTE NO BORRAR'!H2017),""))</f>
        <v>25788.01</v>
      </c>
      <c r="I1999" s="6">
        <f>IF('FUENTE NO BORRAR'!I2017="","",IF('FUENTE NO BORRAR'!$A2017&lt;&gt;"Resultado total",('FUENTE NO BORRAR'!I2017),""))</f>
        <v>0</v>
      </c>
    </row>
    <row r="2000" spans="1:9" x14ac:dyDescent="0.2">
      <c r="A2000" s="5" t="str">
        <f>IF('FUENTE NO BORRAR'!A2018="","",(IF('FUENTE NO BORRAR'!A2018&lt;&gt;"Resultado total",'FUENTE NO BORRAR'!A2018,"")))</f>
        <v/>
      </c>
      <c r="B2000" s="5" t="str">
        <f>IF('FUENTE NO BORRAR'!B2018="","",'FUENTE NO BORRAR'!B2018)</f>
        <v/>
      </c>
      <c r="C2000" s="5" t="str">
        <f>IF('FUENTE NO BORRAR'!C2018="","",'FUENTE NO BORRAR'!C2018)</f>
        <v/>
      </c>
      <c r="D2000" s="5" t="str">
        <f>IF('FUENTE NO BORRAR'!D2018="","",'FUENTE NO BORRAR'!D2018)</f>
        <v/>
      </c>
      <c r="E2000" s="5" t="str">
        <f>IF('FUENTE NO BORRAR'!E2018="","",'FUENTE NO BORRAR'!E2018)</f>
        <v/>
      </c>
      <c r="F2000" s="6">
        <f>IF('FUENTE NO BORRAR'!F2018="","",IF('FUENTE NO BORRAR'!$A2018&lt;&gt;"Resultado total",('FUENTE NO BORRAR'!F2018),""))</f>
        <v>10488.11</v>
      </c>
      <c r="G2000" s="6">
        <f>IF('FUENTE NO BORRAR'!G2018="","",IF('FUENTE NO BORRAR'!$A2018&lt;&gt;"Resultado total",('FUENTE NO BORRAR'!G2018),""))</f>
        <v>10488.11</v>
      </c>
      <c r="H2000" s="6">
        <f>IF('FUENTE NO BORRAR'!H2018="","",IF('FUENTE NO BORRAR'!$A2018&lt;&gt;"Resultado total",('FUENTE NO BORRAR'!H2018),""))</f>
        <v>6251.79</v>
      </c>
      <c r="I2000" s="6">
        <f>IF('FUENTE NO BORRAR'!I2018="","",IF('FUENTE NO BORRAR'!$A2018&lt;&gt;"Resultado total",('FUENTE NO BORRAR'!I2018),""))</f>
        <v>0</v>
      </c>
    </row>
    <row r="2001" spans="1:9" x14ac:dyDescent="0.2">
      <c r="A2001" s="5" t="str">
        <f>IF('FUENTE NO BORRAR'!A2019="","",(IF('FUENTE NO BORRAR'!A2019&lt;&gt;"Resultado total",'FUENTE NO BORRAR'!A2019,"")))</f>
        <v/>
      </c>
      <c r="B2001" s="5" t="str">
        <f>IF('FUENTE NO BORRAR'!B2019="","",'FUENTE NO BORRAR'!B2019)</f>
        <v/>
      </c>
      <c r="C2001" s="5" t="str">
        <f>IF('FUENTE NO BORRAR'!C2019="","",'FUENTE NO BORRAR'!C2019)</f>
        <v/>
      </c>
      <c r="D2001" s="5" t="str">
        <f>IF('FUENTE NO BORRAR'!D2019="","",'FUENTE NO BORRAR'!D2019)</f>
        <v/>
      </c>
      <c r="E2001" s="5" t="str">
        <f>IF('FUENTE NO BORRAR'!E2019="","",'FUENTE NO BORRAR'!E2019)</f>
        <v/>
      </c>
      <c r="F2001" s="6">
        <f>IF('FUENTE NO BORRAR'!F2019="","",IF('FUENTE NO BORRAR'!$A2019&lt;&gt;"Resultado total",('FUENTE NO BORRAR'!F2019),""))</f>
        <v>70998.44</v>
      </c>
      <c r="G2001" s="6">
        <f>IF('FUENTE NO BORRAR'!G2019="","",IF('FUENTE NO BORRAR'!$A2019&lt;&gt;"Resultado total",('FUENTE NO BORRAR'!G2019),""))</f>
        <v>70998.44</v>
      </c>
      <c r="H2001" s="6">
        <f>IF('FUENTE NO BORRAR'!H2019="","",IF('FUENTE NO BORRAR'!$A2019&lt;&gt;"Resultado total",('FUENTE NO BORRAR'!H2019),""))</f>
        <v>70998.44</v>
      </c>
      <c r="I2001" s="6">
        <f>IF('FUENTE NO BORRAR'!I2019="","",IF('FUENTE NO BORRAR'!$A2019&lt;&gt;"Resultado total",('FUENTE NO BORRAR'!I2019),""))</f>
        <v>0</v>
      </c>
    </row>
    <row r="2002" spans="1:9" x14ac:dyDescent="0.2">
      <c r="A2002" s="5" t="str">
        <f>IF('FUENTE NO BORRAR'!A2020="","",(IF('FUENTE NO BORRAR'!A2020&lt;&gt;"Resultado total",'FUENTE NO BORRAR'!A2020,"")))</f>
        <v/>
      </c>
      <c r="B2002" s="5" t="str">
        <f>IF('FUENTE NO BORRAR'!B2020="","",'FUENTE NO BORRAR'!B2020)</f>
        <v/>
      </c>
      <c r="C2002" s="5" t="str">
        <f>IF('FUENTE NO BORRAR'!C2020="","",'FUENTE NO BORRAR'!C2020)</f>
        <v/>
      </c>
      <c r="D2002" s="5" t="str">
        <f>IF('FUENTE NO BORRAR'!D2020="","",'FUENTE NO BORRAR'!D2020)</f>
        <v/>
      </c>
      <c r="E2002" s="5" t="str">
        <f>IF('FUENTE NO BORRAR'!E2020="","",'FUENTE NO BORRAR'!E2020)</f>
        <v/>
      </c>
      <c r="F2002" s="6">
        <f>IF('FUENTE NO BORRAR'!F2020="","",IF('FUENTE NO BORRAR'!$A2020&lt;&gt;"Resultado total",('FUENTE NO BORRAR'!F2020),""))</f>
        <v>10392.08</v>
      </c>
      <c r="G2002" s="6">
        <f>IF('FUENTE NO BORRAR'!G2020="","",IF('FUENTE NO BORRAR'!$A2020&lt;&gt;"Resultado total",('FUENTE NO BORRAR'!G2020),""))</f>
        <v>10392.08</v>
      </c>
      <c r="H2002" s="6">
        <f>IF('FUENTE NO BORRAR'!H2020="","",IF('FUENTE NO BORRAR'!$A2020&lt;&gt;"Resultado total",('FUENTE NO BORRAR'!H2020),""))</f>
        <v>10392.08</v>
      </c>
      <c r="I2002" s="6">
        <f>IF('FUENTE NO BORRAR'!I2020="","",IF('FUENTE NO BORRAR'!$A2020&lt;&gt;"Resultado total",('FUENTE NO BORRAR'!I2020),""))</f>
        <v>0</v>
      </c>
    </row>
    <row r="2003" spans="1:9" x14ac:dyDescent="0.2">
      <c r="A2003" s="5" t="str">
        <f>IF('FUENTE NO BORRAR'!A2021="","",(IF('FUENTE NO BORRAR'!A2021&lt;&gt;"Resultado total",'FUENTE NO BORRAR'!A2021,"")))</f>
        <v/>
      </c>
      <c r="B2003" s="5" t="str">
        <f>IF('FUENTE NO BORRAR'!B2021="","",'FUENTE NO BORRAR'!B2021)</f>
        <v/>
      </c>
      <c r="C2003" s="5" t="str">
        <f>IF('FUENTE NO BORRAR'!C2021="","",'FUENTE NO BORRAR'!C2021)</f>
        <v/>
      </c>
      <c r="D2003" s="5" t="str">
        <f>IF('FUENTE NO BORRAR'!D2021="","",'FUENTE NO BORRAR'!D2021)</f>
        <v/>
      </c>
      <c r="E2003" s="5" t="str">
        <f>IF('FUENTE NO BORRAR'!E2021="","",'FUENTE NO BORRAR'!E2021)</f>
        <v/>
      </c>
      <c r="F2003" s="6">
        <f>IF('FUENTE NO BORRAR'!F2021="","",IF('FUENTE NO BORRAR'!$A2021&lt;&gt;"Resultado total",('FUENTE NO BORRAR'!F2021),""))</f>
        <v>8882.2000000000007</v>
      </c>
      <c r="G2003" s="6">
        <f>IF('FUENTE NO BORRAR'!G2021="","",IF('FUENTE NO BORRAR'!$A2021&lt;&gt;"Resultado total",('FUENTE NO BORRAR'!G2021),""))</f>
        <v>8882.2000000000007</v>
      </c>
      <c r="H2003" s="6">
        <f>IF('FUENTE NO BORRAR'!H2021="","",IF('FUENTE NO BORRAR'!$A2021&lt;&gt;"Resultado total",('FUENTE NO BORRAR'!H2021),""))</f>
        <v>8882.2000000000007</v>
      </c>
      <c r="I2003" s="6">
        <f>IF('FUENTE NO BORRAR'!I2021="","",IF('FUENTE NO BORRAR'!$A2021&lt;&gt;"Resultado total",('FUENTE NO BORRAR'!I2021),""))</f>
        <v>0</v>
      </c>
    </row>
    <row r="2004" spans="1:9" x14ac:dyDescent="0.2">
      <c r="A2004" s="5" t="str">
        <f>IF('FUENTE NO BORRAR'!A2022="","",(IF('FUENTE NO BORRAR'!A2022&lt;&gt;"Resultado total",'FUENTE NO BORRAR'!A2022,"")))</f>
        <v/>
      </c>
      <c r="B2004" s="5" t="str">
        <f>IF('FUENTE NO BORRAR'!B2022="","",'FUENTE NO BORRAR'!B2022)</f>
        <v/>
      </c>
      <c r="C2004" s="5" t="str">
        <f>IF('FUENTE NO BORRAR'!C2022="","",'FUENTE NO BORRAR'!C2022)</f>
        <v/>
      </c>
      <c r="D2004" s="5" t="str">
        <f>IF('FUENTE NO BORRAR'!D2022="","",'FUENTE NO BORRAR'!D2022)</f>
        <v/>
      </c>
      <c r="E2004" s="5" t="str">
        <f>IF('FUENTE NO BORRAR'!E2022="","",'FUENTE NO BORRAR'!E2022)</f>
        <v/>
      </c>
      <c r="F2004" s="6">
        <f>IF('FUENTE NO BORRAR'!F2022="","",IF('FUENTE NO BORRAR'!$A2022&lt;&gt;"Resultado total",('FUENTE NO BORRAR'!F2022),""))</f>
        <v>30390.01</v>
      </c>
      <c r="G2004" s="6">
        <f>IF('FUENTE NO BORRAR'!G2022="","",IF('FUENTE NO BORRAR'!$A2022&lt;&gt;"Resultado total",('FUENTE NO BORRAR'!G2022),""))</f>
        <v>30390.01</v>
      </c>
      <c r="H2004" s="6">
        <f>IF('FUENTE NO BORRAR'!H2022="","",IF('FUENTE NO BORRAR'!$A2022&lt;&gt;"Resultado total",('FUENTE NO BORRAR'!H2022),""))</f>
        <v>30390.01</v>
      </c>
      <c r="I2004" s="6">
        <f>IF('FUENTE NO BORRAR'!I2022="","",IF('FUENTE NO BORRAR'!$A2022&lt;&gt;"Resultado total",('FUENTE NO BORRAR'!I2022),""))</f>
        <v>0</v>
      </c>
    </row>
    <row r="2005" spans="1:9" x14ac:dyDescent="0.2">
      <c r="A2005" s="5" t="str">
        <f>IF('FUENTE NO BORRAR'!A2023="","",(IF('FUENTE NO BORRAR'!A2023&lt;&gt;"Resultado total",'FUENTE NO BORRAR'!A2023,"")))</f>
        <v/>
      </c>
      <c r="B2005" s="5" t="str">
        <f>IF('FUENTE NO BORRAR'!B2023="","",'FUENTE NO BORRAR'!B2023)</f>
        <v/>
      </c>
      <c r="C2005" s="5" t="str">
        <f>IF('FUENTE NO BORRAR'!C2023="","",'FUENTE NO BORRAR'!C2023)</f>
        <v/>
      </c>
      <c r="D2005" s="5" t="str">
        <f>IF('FUENTE NO BORRAR'!D2023="","",'FUENTE NO BORRAR'!D2023)</f>
        <v/>
      </c>
      <c r="E2005" s="5" t="str">
        <f>IF('FUENTE NO BORRAR'!E2023="","",'FUENTE NO BORRAR'!E2023)</f>
        <v/>
      </c>
      <c r="F2005" s="6">
        <f>IF('FUENTE NO BORRAR'!F2023="","",IF('FUENTE NO BORRAR'!$A2023&lt;&gt;"Resultado total",('FUENTE NO BORRAR'!F2023),""))</f>
        <v>12465</v>
      </c>
      <c r="G2005" s="6">
        <f>IF('FUENTE NO BORRAR'!G2023="","",IF('FUENTE NO BORRAR'!$A2023&lt;&gt;"Resultado total",('FUENTE NO BORRAR'!G2023),""))</f>
        <v>12465</v>
      </c>
      <c r="H2005" s="6">
        <f>IF('FUENTE NO BORRAR'!H2023="","",IF('FUENTE NO BORRAR'!$A2023&lt;&gt;"Resultado total",('FUENTE NO BORRAR'!H2023),""))</f>
        <v>3765</v>
      </c>
      <c r="I2005" s="6">
        <f>IF('FUENTE NO BORRAR'!I2023="","",IF('FUENTE NO BORRAR'!$A2023&lt;&gt;"Resultado total",('FUENTE NO BORRAR'!I2023),""))</f>
        <v>0</v>
      </c>
    </row>
    <row r="2006" spans="1:9" x14ac:dyDescent="0.2">
      <c r="A2006" s="5" t="str">
        <f>IF('FUENTE NO BORRAR'!A2024="","",(IF('FUENTE NO BORRAR'!A2024&lt;&gt;"Resultado total",'FUENTE NO BORRAR'!A2024,"")))</f>
        <v/>
      </c>
      <c r="B2006" s="5" t="str">
        <f>IF('FUENTE NO BORRAR'!B2024="","",'FUENTE NO BORRAR'!B2024)</f>
        <v/>
      </c>
      <c r="C2006" s="5" t="str">
        <f>IF('FUENTE NO BORRAR'!C2024="","",'FUENTE NO BORRAR'!C2024)</f>
        <v/>
      </c>
      <c r="D2006" s="5" t="str">
        <f>IF('FUENTE NO BORRAR'!D2024="","",'FUENTE NO BORRAR'!D2024)</f>
        <v/>
      </c>
      <c r="E2006" s="5" t="str">
        <f>IF('FUENTE NO BORRAR'!E2024="","",'FUENTE NO BORRAR'!E2024)</f>
        <v/>
      </c>
      <c r="F2006" s="6">
        <f>IF('FUENTE NO BORRAR'!F2024="","",IF('FUENTE NO BORRAR'!$A2024&lt;&gt;"Resultado total",('FUENTE NO BORRAR'!F2024),""))</f>
        <v>1452.21</v>
      </c>
      <c r="G2006" s="6">
        <f>IF('FUENTE NO BORRAR'!G2024="","",IF('FUENTE NO BORRAR'!$A2024&lt;&gt;"Resultado total",('FUENTE NO BORRAR'!G2024),""))</f>
        <v>1452.21</v>
      </c>
      <c r="H2006" s="6">
        <f>IF('FUENTE NO BORRAR'!H2024="","",IF('FUENTE NO BORRAR'!$A2024&lt;&gt;"Resultado total",('FUENTE NO BORRAR'!H2024),""))</f>
        <v>1452.21</v>
      </c>
      <c r="I2006" s="6">
        <f>IF('FUENTE NO BORRAR'!I2024="","",IF('FUENTE NO BORRAR'!$A2024&lt;&gt;"Resultado total",('FUENTE NO BORRAR'!I2024),""))</f>
        <v>0</v>
      </c>
    </row>
    <row r="2007" spans="1:9" x14ac:dyDescent="0.2">
      <c r="A2007" s="5" t="str">
        <f>IF('FUENTE NO BORRAR'!A2025="","",(IF('FUENTE NO BORRAR'!A2025&lt;&gt;"Resultado total",'FUENTE NO BORRAR'!A2025,"")))</f>
        <v/>
      </c>
      <c r="B2007" s="5" t="str">
        <f>IF('FUENTE NO BORRAR'!B2025="","",'FUENTE NO BORRAR'!B2025)</f>
        <v/>
      </c>
      <c r="C2007" s="5" t="str">
        <f>IF('FUENTE NO BORRAR'!C2025="","",'FUENTE NO BORRAR'!C2025)</f>
        <v/>
      </c>
      <c r="D2007" s="5" t="str">
        <f>IF('FUENTE NO BORRAR'!D2025="","",'FUENTE NO BORRAR'!D2025)</f>
        <v/>
      </c>
      <c r="E2007" s="5" t="str">
        <f>IF('FUENTE NO BORRAR'!E2025="","",'FUENTE NO BORRAR'!E2025)</f>
        <v/>
      </c>
      <c r="F2007" s="6">
        <f>IF('FUENTE NO BORRAR'!F2025="","",IF('FUENTE NO BORRAR'!$A2025&lt;&gt;"Resultado total",('FUENTE NO BORRAR'!F2025),""))</f>
        <v>31.8</v>
      </c>
      <c r="G2007" s="6">
        <f>IF('FUENTE NO BORRAR'!G2025="","",IF('FUENTE NO BORRAR'!$A2025&lt;&gt;"Resultado total",('FUENTE NO BORRAR'!G2025),""))</f>
        <v>31.8</v>
      </c>
      <c r="H2007" s="6">
        <f>IF('FUENTE NO BORRAR'!H2025="","",IF('FUENTE NO BORRAR'!$A2025&lt;&gt;"Resultado total",('FUENTE NO BORRAR'!H2025),""))</f>
        <v>31.8</v>
      </c>
      <c r="I2007" s="6">
        <f>IF('FUENTE NO BORRAR'!I2025="","",IF('FUENTE NO BORRAR'!$A2025&lt;&gt;"Resultado total",('FUENTE NO BORRAR'!I2025),""))</f>
        <v>0</v>
      </c>
    </row>
    <row r="2008" spans="1:9" x14ac:dyDescent="0.2">
      <c r="A2008" s="5" t="str">
        <f>IF('FUENTE NO BORRAR'!A2026="","",(IF('FUENTE NO BORRAR'!A2026&lt;&gt;"Resultado total",'FUENTE NO BORRAR'!A2026,"")))</f>
        <v/>
      </c>
      <c r="B2008" s="5" t="str">
        <f>IF('FUENTE NO BORRAR'!B2026="","",'FUENTE NO BORRAR'!B2026)</f>
        <v/>
      </c>
      <c r="C2008" s="5" t="str">
        <f>IF('FUENTE NO BORRAR'!C2026="","",'FUENTE NO BORRAR'!C2026)</f>
        <v/>
      </c>
      <c r="D2008" s="5" t="str">
        <f>IF('FUENTE NO BORRAR'!D2026="","",'FUENTE NO BORRAR'!D2026)</f>
        <v/>
      </c>
      <c r="E2008" s="5" t="str">
        <f>IF('FUENTE NO BORRAR'!E2026="","",'FUENTE NO BORRAR'!E2026)</f>
        <v/>
      </c>
      <c r="F2008" s="6">
        <f>IF('FUENTE NO BORRAR'!F2026="","",IF('FUENTE NO BORRAR'!$A2026&lt;&gt;"Resultado total",('FUENTE NO BORRAR'!F2026),""))</f>
        <v>3398.89</v>
      </c>
      <c r="G2008" s="6">
        <f>IF('FUENTE NO BORRAR'!G2026="","",IF('FUENTE NO BORRAR'!$A2026&lt;&gt;"Resultado total",('FUENTE NO BORRAR'!G2026),""))</f>
        <v>3398.89</v>
      </c>
      <c r="H2008" s="6">
        <f>IF('FUENTE NO BORRAR'!H2026="","",IF('FUENTE NO BORRAR'!$A2026&lt;&gt;"Resultado total",('FUENTE NO BORRAR'!H2026),""))</f>
        <v>3398.89</v>
      </c>
      <c r="I2008" s="6">
        <f>IF('FUENTE NO BORRAR'!I2026="","",IF('FUENTE NO BORRAR'!$A2026&lt;&gt;"Resultado total",('FUENTE NO BORRAR'!I2026),""))</f>
        <v>0</v>
      </c>
    </row>
    <row r="2009" spans="1:9" x14ac:dyDescent="0.2">
      <c r="A2009" s="5" t="str">
        <f>IF('FUENTE NO BORRAR'!A2027="","",(IF('FUENTE NO BORRAR'!A2027&lt;&gt;"Resultado total",'FUENTE NO BORRAR'!A2027,"")))</f>
        <v/>
      </c>
      <c r="B2009" s="5" t="str">
        <f>IF('FUENTE NO BORRAR'!B2027="","",'FUENTE NO BORRAR'!B2027)</f>
        <v/>
      </c>
      <c r="C2009" s="5" t="str">
        <f>IF('FUENTE NO BORRAR'!C2027="","",'FUENTE NO BORRAR'!C2027)</f>
        <v/>
      </c>
      <c r="D2009" s="5" t="str">
        <f>IF('FUENTE NO BORRAR'!D2027="","",'FUENTE NO BORRAR'!D2027)</f>
        <v/>
      </c>
      <c r="E2009" s="5" t="str">
        <f>IF('FUENTE NO BORRAR'!E2027="","",'FUENTE NO BORRAR'!E2027)</f>
        <v/>
      </c>
      <c r="F2009" s="6">
        <f>IF('FUENTE NO BORRAR'!F2027="","",IF('FUENTE NO BORRAR'!$A2027&lt;&gt;"Resultado total",('FUENTE NO BORRAR'!F2027),""))</f>
        <v>11769</v>
      </c>
      <c r="G2009" s="6">
        <f>IF('FUENTE NO BORRAR'!G2027="","",IF('FUENTE NO BORRAR'!$A2027&lt;&gt;"Resultado total",('FUENTE NO BORRAR'!G2027),""))</f>
        <v>11769</v>
      </c>
      <c r="H2009" s="6">
        <f>IF('FUENTE NO BORRAR'!H2027="","",IF('FUENTE NO BORRAR'!$A2027&lt;&gt;"Resultado total",('FUENTE NO BORRAR'!H2027),""))</f>
        <v>11769</v>
      </c>
      <c r="I2009" s="6">
        <f>IF('FUENTE NO BORRAR'!I2027="","",IF('FUENTE NO BORRAR'!$A2027&lt;&gt;"Resultado total",('FUENTE NO BORRAR'!I2027),""))</f>
        <v>0</v>
      </c>
    </row>
    <row r="2010" spans="1:9" x14ac:dyDescent="0.2">
      <c r="A2010" s="5" t="str">
        <f>IF('FUENTE NO BORRAR'!A2028="","",(IF('FUENTE NO BORRAR'!A2028&lt;&gt;"Resultado total",'FUENTE NO BORRAR'!A2028,"")))</f>
        <v/>
      </c>
      <c r="B2010" s="5" t="str">
        <f>IF('FUENTE NO BORRAR'!B2028="","",'FUENTE NO BORRAR'!B2028)</f>
        <v/>
      </c>
      <c r="C2010" s="5" t="str">
        <f>IF('FUENTE NO BORRAR'!C2028="","",'FUENTE NO BORRAR'!C2028)</f>
        <v/>
      </c>
      <c r="D2010" s="5" t="str">
        <f>IF('FUENTE NO BORRAR'!D2028="","",'FUENTE NO BORRAR'!D2028)</f>
        <v/>
      </c>
      <c r="E2010" s="5" t="str">
        <f>IF('FUENTE NO BORRAR'!E2028="","",'FUENTE NO BORRAR'!E2028)</f>
        <v/>
      </c>
      <c r="F2010" s="6">
        <f>IF('FUENTE NO BORRAR'!F2028="","",IF('FUENTE NO BORRAR'!$A2028&lt;&gt;"Resultado total",('FUENTE NO BORRAR'!F2028),""))</f>
        <v>399.08</v>
      </c>
      <c r="G2010" s="6">
        <f>IF('FUENTE NO BORRAR'!G2028="","",IF('FUENTE NO BORRAR'!$A2028&lt;&gt;"Resultado total",('FUENTE NO BORRAR'!G2028),""))</f>
        <v>399.08</v>
      </c>
      <c r="H2010" s="6">
        <f>IF('FUENTE NO BORRAR'!H2028="","",IF('FUENTE NO BORRAR'!$A2028&lt;&gt;"Resultado total",('FUENTE NO BORRAR'!H2028),""))</f>
        <v>399.08</v>
      </c>
      <c r="I2010" s="6">
        <f>IF('FUENTE NO BORRAR'!I2028="","",IF('FUENTE NO BORRAR'!$A2028&lt;&gt;"Resultado total",('FUENTE NO BORRAR'!I2028),""))</f>
        <v>0</v>
      </c>
    </row>
    <row r="2011" spans="1:9" x14ac:dyDescent="0.2">
      <c r="A2011" s="5" t="str">
        <f>IF('FUENTE NO BORRAR'!A2029="","",(IF('FUENTE NO BORRAR'!A2029&lt;&gt;"Resultado total",'FUENTE NO BORRAR'!A2029,"")))</f>
        <v/>
      </c>
      <c r="B2011" s="5" t="str">
        <f>IF('FUENTE NO BORRAR'!B2029="","",'FUENTE NO BORRAR'!B2029)</f>
        <v/>
      </c>
      <c r="C2011" s="5" t="str">
        <f>IF('FUENTE NO BORRAR'!C2029="","",'FUENTE NO BORRAR'!C2029)</f>
        <v/>
      </c>
      <c r="D2011" s="5" t="str">
        <f>IF('FUENTE NO BORRAR'!D2029="","",'FUENTE NO BORRAR'!D2029)</f>
        <v/>
      </c>
      <c r="E2011" s="5" t="str">
        <f>IF('FUENTE NO BORRAR'!E2029="","",'FUENTE NO BORRAR'!E2029)</f>
        <v/>
      </c>
      <c r="F2011" s="6">
        <f>IF('FUENTE NO BORRAR'!F2029="","",IF('FUENTE NO BORRAR'!$A2029&lt;&gt;"Resultado total",('FUENTE NO BORRAR'!F2029),""))</f>
        <v>20.88</v>
      </c>
      <c r="G2011" s="6">
        <f>IF('FUENTE NO BORRAR'!G2029="","",IF('FUENTE NO BORRAR'!$A2029&lt;&gt;"Resultado total",('FUENTE NO BORRAR'!G2029),""))</f>
        <v>20.88</v>
      </c>
      <c r="H2011" s="6">
        <f>IF('FUENTE NO BORRAR'!H2029="","",IF('FUENTE NO BORRAR'!$A2029&lt;&gt;"Resultado total",('FUENTE NO BORRAR'!H2029),""))</f>
        <v>20.88</v>
      </c>
      <c r="I2011" s="6">
        <f>IF('FUENTE NO BORRAR'!I2029="","",IF('FUENTE NO BORRAR'!$A2029&lt;&gt;"Resultado total",('FUENTE NO BORRAR'!I2029),""))</f>
        <v>0</v>
      </c>
    </row>
    <row r="2012" spans="1:9" x14ac:dyDescent="0.2">
      <c r="A2012" s="5" t="str">
        <f>IF('FUENTE NO BORRAR'!A2030="","",(IF('FUENTE NO BORRAR'!A2030&lt;&gt;"Resultado total",'FUENTE NO BORRAR'!A2030,"")))</f>
        <v/>
      </c>
      <c r="B2012" s="5" t="str">
        <f>IF('FUENTE NO BORRAR'!B2030="","",'FUENTE NO BORRAR'!B2030)</f>
        <v/>
      </c>
      <c r="C2012" s="5" t="str">
        <f>IF('FUENTE NO BORRAR'!C2030="","",'FUENTE NO BORRAR'!C2030)</f>
        <v/>
      </c>
      <c r="D2012" s="5" t="str">
        <f>IF('FUENTE NO BORRAR'!D2030="","",'FUENTE NO BORRAR'!D2030)</f>
        <v/>
      </c>
      <c r="E2012" s="5" t="str">
        <f>IF('FUENTE NO BORRAR'!E2030="","",'FUENTE NO BORRAR'!E2030)</f>
        <v/>
      </c>
      <c r="F2012" s="6">
        <f>IF('FUENTE NO BORRAR'!F2030="","",IF('FUENTE NO BORRAR'!$A2030&lt;&gt;"Resultado total",('FUENTE NO BORRAR'!F2030),""))</f>
        <v>9356.1</v>
      </c>
      <c r="G2012" s="6">
        <f>IF('FUENTE NO BORRAR'!G2030="","",IF('FUENTE NO BORRAR'!$A2030&lt;&gt;"Resultado total",('FUENTE NO BORRAR'!G2030),""))</f>
        <v>9356.1</v>
      </c>
      <c r="H2012" s="6">
        <f>IF('FUENTE NO BORRAR'!H2030="","",IF('FUENTE NO BORRAR'!$A2030&lt;&gt;"Resultado total",('FUENTE NO BORRAR'!H2030),""))</f>
        <v>9356.1</v>
      </c>
      <c r="I2012" s="6">
        <f>IF('FUENTE NO BORRAR'!I2030="","",IF('FUENTE NO BORRAR'!$A2030&lt;&gt;"Resultado total",('FUENTE NO BORRAR'!I2030),""))</f>
        <v>0</v>
      </c>
    </row>
    <row r="2013" spans="1:9" x14ac:dyDescent="0.2">
      <c r="A2013" s="5" t="str">
        <f>IF('FUENTE NO BORRAR'!A2031="","",(IF('FUENTE NO BORRAR'!A2031&lt;&gt;"Resultado total",'FUENTE NO BORRAR'!A2031,"")))</f>
        <v/>
      </c>
      <c r="B2013" s="5" t="str">
        <f>IF('FUENTE NO BORRAR'!B2031="","",'FUENTE NO BORRAR'!B2031)</f>
        <v/>
      </c>
      <c r="C2013" s="5" t="str">
        <f>IF('FUENTE NO BORRAR'!C2031="","",'FUENTE NO BORRAR'!C2031)</f>
        <v/>
      </c>
      <c r="D2013" s="5" t="str">
        <f>IF('FUENTE NO BORRAR'!D2031="","",'FUENTE NO BORRAR'!D2031)</f>
        <v/>
      </c>
      <c r="E2013" s="5" t="str">
        <f>IF('FUENTE NO BORRAR'!E2031="","",'FUENTE NO BORRAR'!E2031)</f>
        <v/>
      </c>
      <c r="F2013" s="6">
        <f>IF('FUENTE NO BORRAR'!F2031="","",IF('FUENTE NO BORRAR'!$A2031&lt;&gt;"Resultado total",('FUENTE NO BORRAR'!F2031),""))</f>
        <v>16205.2</v>
      </c>
      <c r="G2013" s="6">
        <f>IF('FUENTE NO BORRAR'!G2031="","",IF('FUENTE NO BORRAR'!$A2031&lt;&gt;"Resultado total",('FUENTE NO BORRAR'!G2031),""))</f>
        <v>16205.2</v>
      </c>
      <c r="H2013" s="6">
        <f>IF('FUENTE NO BORRAR'!H2031="","",IF('FUENTE NO BORRAR'!$A2031&lt;&gt;"Resultado total",('FUENTE NO BORRAR'!H2031),""))</f>
        <v>16205.2</v>
      </c>
      <c r="I2013" s="6">
        <f>IF('FUENTE NO BORRAR'!I2031="","",IF('FUENTE NO BORRAR'!$A2031&lt;&gt;"Resultado total",('FUENTE NO BORRAR'!I2031),""))</f>
        <v>0</v>
      </c>
    </row>
    <row r="2014" spans="1:9" x14ac:dyDescent="0.2">
      <c r="A2014" s="5" t="str">
        <f>IF('FUENTE NO BORRAR'!A2032="","",(IF('FUENTE NO BORRAR'!A2032&lt;&gt;"Resultado total",'FUENTE NO BORRAR'!A2032,"")))</f>
        <v/>
      </c>
      <c r="B2014" s="5" t="str">
        <f>IF('FUENTE NO BORRAR'!B2032="","",'FUENTE NO BORRAR'!B2032)</f>
        <v/>
      </c>
      <c r="C2014" s="5" t="str">
        <f>IF('FUENTE NO BORRAR'!C2032="","",'FUENTE NO BORRAR'!C2032)</f>
        <v/>
      </c>
      <c r="D2014" s="5" t="str">
        <f>IF('FUENTE NO BORRAR'!D2032="","",'FUENTE NO BORRAR'!D2032)</f>
        <v/>
      </c>
      <c r="E2014" s="5" t="str">
        <f>IF('FUENTE NO BORRAR'!E2032="","",'FUENTE NO BORRAR'!E2032)</f>
        <v/>
      </c>
      <c r="F2014" s="6">
        <f>IF('FUENTE NO BORRAR'!F2032="","",IF('FUENTE NO BORRAR'!$A2032&lt;&gt;"Resultado total",('FUENTE NO BORRAR'!F2032),""))</f>
        <v>8947.5</v>
      </c>
      <c r="G2014" s="6">
        <f>IF('FUENTE NO BORRAR'!G2032="","",IF('FUENTE NO BORRAR'!$A2032&lt;&gt;"Resultado total",('FUENTE NO BORRAR'!G2032),""))</f>
        <v>8947.5</v>
      </c>
      <c r="H2014" s="6">
        <f>IF('FUENTE NO BORRAR'!H2032="","",IF('FUENTE NO BORRAR'!$A2032&lt;&gt;"Resultado total",('FUENTE NO BORRAR'!H2032),""))</f>
        <v>8947.5</v>
      </c>
      <c r="I2014" s="6">
        <f>IF('FUENTE NO BORRAR'!I2032="","",IF('FUENTE NO BORRAR'!$A2032&lt;&gt;"Resultado total",('FUENTE NO BORRAR'!I2032),""))</f>
        <v>0</v>
      </c>
    </row>
    <row r="2015" spans="1:9" x14ac:dyDescent="0.2">
      <c r="A2015" s="5" t="str">
        <f>IF('FUENTE NO BORRAR'!A2033="","",(IF('FUENTE NO BORRAR'!A2033&lt;&gt;"Resultado total",'FUENTE NO BORRAR'!A2033,"")))</f>
        <v/>
      </c>
      <c r="B2015" s="5" t="str">
        <f>IF('FUENTE NO BORRAR'!B2033="","",'FUENTE NO BORRAR'!B2033)</f>
        <v/>
      </c>
      <c r="C2015" s="5" t="str">
        <f>IF('FUENTE NO BORRAR'!C2033="","",'FUENTE NO BORRAR'!C2033)</f>
        <v/>
      </c>
      <c r="D2015" s="5" t="str">
        <f>IF('FUENTE NO BORRAR'!D2033="","",'FUENTE NO BORRAR'!D2033)</f>
        <v/>
      </c>
      <c r="E2015" s="5" t="str">
        <f>IF('FUENTE NO BORRAR'!E2033="","",'FUENTE NO BORRAR'!E2033)</f>
        <v/>
      </c>
      <c r="F2015" s="6">
        <f>IF('FUENTE NO BORRAR'!F2033="","",IF('FUENTE NO BORRAR'!$A2033&lt;&gt;"Resultado total",('FUENTE NO BORRAR'!F2033),""))</f>
        <v>827.09</v>
      </c>
      <c r="G2015" s="6">
        <f>IF('FUENTE NO BORRAR'!G2033="","",IF('FUENTE NO BORRAR'!$A2033&lt;&gt;"Resultado total",('FUENTE NO BORRAR'!G2033),""))</f>
        <v>827.09</v>
      </c>
      <c r="H2015" s="6">
        <f>IF('FUENTE NO BORRAR'!H2033="","",IF('FUENTE NO BORRAR'!$A2033&lt;&gt;"Resultado total",('FUENTE NO BORRAR'!H2033),""))</f>
        <v>827.09</v>
      </c>
      <c r="I2015" s="6">
        <f>IF('FUENTE NO BORRAR'!I2033="","",IF('FUENTE NO BORRAR'!$A2033&lt;&gt;"Resultado total",('FUENTE NO BORRAR'!I2033),""))</f>
        <v>0</v>
      </c>
    </row>
    <row r="2016" spans="1:9" x14ac:dyDescent="0.2">
      <c r="A2016" s="5" t="str">
        <f>IF('FUENTE NO BORRAR'!A2034="","",(IF('FUENTE NO BORRAR'!A2034&lt;&gt;"Resultado total",'FUENTE NO BORRAR'!A2034,"")))</f>
        <v/>
      </c>
      <c r="B2016" s="5" t="str">
        <f>IF('FUENTE NO BORRAR'!B2034="","",'FUENTE NO BORRAR'!B2034)</f>
        <v/>
      </c>
      <c r="C2016" s="5" t="str">
        <f>IF('FUENTE NO BORRAR'!C2034="","",'FUENTE NO BORRAR'!C2034)</f>
        <v/>
      </c>
      <c r="D2016" s="5" t="str">
        <f>IF('FUENTE NO BORRAR'!D2034="","",'FUENTE NO BORRAR'!D2034)</f>
        <v/>
      </c>
      <c r="E2016" s="5" t="str">
        <f>IF('FUENTE NO BORRAR'!E2034="","",'FUENTE NO BORRAR'!E2034)</f>
        <v/>
      </c>
      <c r="F2016" s="6">
        <f>IF('FUENTE NO BORRAR'!F2034="","",IF('FUENTE NO BORRAR'!$A2034&lt;&gt;"Resultado total",('FUENTE NO BORRAR'!F2034),""))</f>
        <v>48</v>
      </c>
      <c r="G2016" s="6">
        <f>IF('FUENTE NO BORRAR'!G2034="","",IF('FUENTE NO BORRAR'!$A2034&lt;&gt;"Resultado total",('FUENTE NO BORRAR'!G2034),""))</f>
        <v>48</v>
      </c>
      <c r="H2016" s="6">
        <f>IF('FUENTE NO BORRAR'!H2034="","",IF('FUENTE NO BORRAR'!$A2034&lt;&gt;"Resultado total",('FUENTE NO BORRAR'!H2034),""))</f>
        <v>48</v>
      </c>
      <c r="I2016" s="6">
        <f>IF('FUENTE NO BORRAR'!I2034="","",IF('FUENTE NO BORRAR'!$A2034&lt;&gt;"Resultado total",('FUENTE NO BORRAR'!I2034),""))</f>
        <v>0</v>
      </c>
    </row>
    <row r="2017" spans="1:9" x14ac:dyDescent="0.2">
      <c r="A2017" s="5" t="str">
        <f>IF('FUENTE NO BORRAR'!A2035="","",(IF('FUENTE NO BORRAR'!A2035&lt;&gt;"Resultado total",'FUENTE NO BORRAR'!A2035,"")))</f>
        <v/>
      </c>
      <c r="B2017" s="5" t="str">
        <f>IF('FUENTE NO BORRAR'!B2035="","",'FUENTE NO BORRAR'!B2035)</f>
        <v/>
      </c>
      <c r="C2017" s="5" t="str">
        <f>IF('FUENTE NO BORRAR'!C2035="","",'FUENTE NO BORRAR'!C2035)</f>
        <v/>
      </c>
      <c r="D2017" s="5" t="str">
        <f>IF('FUENTE NO BORRAR'!D2035="","",'FUENTE NO BORRAR'!D2035)</f>
        <v/>
      </c>
      <c r="E2017" s="5" t="str">
        <f>IF('FUENTE NO BORRAR'!E2035="","",'FUENTE NO BORRAR'!E2035)</f>
        <v/>
      </c>
      <c r="F2017" s="6">
        <f>IF('FUENTE NO BORRAR'!F2035="","",IF('FUENTE NO BORRAR'!$A2035&lt;&gt;"Resultado total",('FUENTE NO BORRAR'!F2035),""))</f>
        <v>185</v>
      </c>
      <c r="G2017" s="6">
        <f>IF('FUENTE NO BORRAR'!G2035="","",IF('FUENTE NO BORRAR'!$A2035&lt;&gt;"Resultado total",('FUENTE NO BORRAR'!G2035),""))</f>
        <v>185</v>
      </c>
      <c r="H2017" s="6">
        <f>IF('FUENTE NO BORRAR'!H2035="","",IF('FUENTE NO BORRAR'!$A2035&lt;&gt;"Resultado total",('FUENTE NO BORRAR'!H2035),""))</f>
        <v>185</v>
      </c>
      <c r="I2017" s="6">
        <f>IF('FUENTE NO BORRAR'!I2035="","",IF('FUENTE NO BORRAR'!$A2035&lt;&gt;"Resultado total",('FUENTE NO BORRAR'!I2035),""))</f>
        <v>0</v>
      </c>
    </row>
    <row r="2018" spans="1:9" x14ac:dyDescent="0.2">
      <c r="A2018" s="5" t="str">
        <f>IF('FUENTE NO BORRAR'!A2036="","",(IF('FUENTE NO BORRAR'!A2036&lt;&gt;"Resultado total",'FUENTE NO BORRAR'!A2036,"")))</f>
        <v/>
      </c>
      <c r="B2018" s="5" t="str">
        <f>IF('FUENTE NO BORRAR'!B2036="","",'FUENTE NO BORRAR'!B2036)</f>
        <v/>
      </c>
      <c r="C2018" s="5" t="str">
        <f>IF('FUENTE NO BORRAR'!C2036="","",'FUENTE NO BORRAR'!C2036)</f>
        <v/>
      </c>
      <c r="D2018" s="5" t="str">
        <f>IF('FUENTE NO BORRAR'!D2036="","",'FUENTE NO BORRAR'!D2036)</f>
        <v/>
      </c>
      <c r="E2018" s="5" t="str">
        <f>IF('FUENTE NO BORRAR'!E2036="","",'FUENTE NO BORRAR'!E2036)</f>
        <v/>
      </c>
      <c r="F2018" s="6">
        <f>IF('FUENTE NO BORRAR'!F2036="","",IF('FUENTE NO BORRAR'!$A2036&lt;&gt;"Resultado total",('FUENTE NO BORRAR'!F2036),""))</f>
        <v>1078.8</v>
      </c>
      <c r="G2018" s="6">
        <f>IF('FUENTE NO BORRAR'!G2036="","",IF('FUENTE NO BORRAR'!$A2036&lt;&gt;"Resultado total",('FUENTE NO BORRAR'!G2036),""))</f>
        <v>1078.8</v>
      </c>
      <c r="H2018" s="6">
        <f>IF('FUENTE NO BORRAR'!H2036="","",IF('FUENTE NO BORRAR'!$A2036&lt;&gt;"Resultado total",('FUENTE NO BORRAR'!H2036),""))</f>
        <v>1078.8</v>
      </c>
      <c r="I2018" s="6">
        <f>IF('FUENTE NO BORRAR'!I2036="","",IF('FUENTE NO BORRAR'!$A2036&lt;&gt;"Resultado total",('FUENTE NO BORRAR'!I2036),""))</f>
        <v>0</v>
      </c>
    </row>
    <row r="2019" spans="1:9" x14ac:dyDescent="0.2">
      <c r="A2019" s="5" t="str">
        <f>IF('FUENTE NO BORRAR'!A2037="","",(IF('FUENTE NO BORRAR'!A2037&lt;&gt;"Resultado total",'FUENTE NO BORRAR'!A2037,"")))</f>
        <v/>
      </c>
      <c r="B2019" s="5" t="str">
        <f>IF('FUENTE NO BORRAR'!B2037="","",'FUENTE NO BORRAR'!B2037)</f>
        <v/>
      </c>
      <c r="C2019" s="5" t="str">
        <f>IF('FUENTE NO BORRAR'!C2037="","",'FUENTE NO BORRAR'!C2037)</f>
        <v/>
      </c>
      <c r="D2019" s="5" t="str">
        <f>IF('FUENTE NO BORRAR'!D2037="","",'FUENTE NO BORRAR'!D2037)</f>
        <v/>
      </c>
      <c r="E2019" s="5" t="str">
        <f>IF('FUENTE NO BORRAR'!E2037="","",'FUENTE NO BORRAR'!E2037)</f>
        <v/>
      </c>
      <c r="F2019" s="6">
        <f>IF('FUENTE NO BORRAR'!F2037="","",IF('FUENTE NO BORRAR'!$A2037&lt;&gt;"Resultado total",('FUENTE NO BORRAR'!F2037),""))</f>
        <v>282</v>
      </c>
      <c r="G2019" s="6">
        <f>IF('FUENTE NO BORRAR'!G2037="","",IF('FUENTE NO BORRAR'!$A2037&lt;&gt;"Resultado total",('FUENTE NO BORRAR'!G2037),""))</f>
        <v>282</v>
      </c>
      <c r="H2019" s="6">
        <f>IF('FUENTE NO BORRAR'!H2037="","",IF('FUENTE NO BORRAR'!$A2037&lt;&gt;"Resultado total",('FUENTE NO BORRAR'!H2037),""))</f>
        <v>282</v>
      </c>
      <c r="I2019" s="6">
        <f>IF('FUENTE NO BORRAR'!I2037="","",IF('FUENTE NO BORRAR'!$A2037&lt;&gt;"Resultado total",('FUENTE NO BORRAR'!I2037),""))</f>
        <v>0</v>
      </c>
    </row>
    <row r="2020" spans="1:9" x14ac:dyDescent="0.2">
      <c r="A2020" s="5" t="str">
        <f>IF('FUENTE NO BORRAR'!A2038="","",(IF('FUENTE NO BORRAR'!A2038&lt;&gt;"Resultado total",'FUENTE NO BORRAR'!A2038,"")))</f>
        <v/>
      </c>
      <c r="B2020" s="5" t="str">
        <f>IF('FUENTE NO BORRAR'!B2038="","",'FUENTE NO BORRAR'!B2038)</f>
        <v/>
      </c>
      <c r="C2020" s="5" t="str">
        <f>IF('FUENTE NO BORRAR'!C2038="","",'FUENTE NO BORRAR'!C2038)</f>
        <v/>
      </c>
      <c r="D2020" s="5" t="str">
        <f>IF('FUENTE NO BORRAR'!D2038="","",'FUENTE NO BORRAR'!D2038)</f>
        <v/>
      </c>
      <c r="E2020" s="5" t="str">
        <f>IF('FUENTE NO BORRAR'!E2038="","",'FUENTE NO BORRAR'!E2038)</f>
        <v/>
      </c>
      <c r="F2020" s="6">
        <f>IF('FUENTE NO BORRAR'!F2038="","",IF('FUENTE NO BORRAR'!$A2038&lt;&gt;"Resultado total",('FUENTE NO BORRAR'!F2038),""))</f>
        <v>0</v>
      </c>
      <c r="G2020" s="6">
        <f>IF('FUENTE NO BORRAR'!G2038="","",IF('FUENTE NO BORRAR'!$A2038&lt;&gt;"Resultado total",('FUENTE NO BORRAR'!G2038),""))</f>
        <v>0</v>
      </c>
      <c r="H2020" s="6">
        <f>IF('FUENTE NO BORRAR'!H2038="","",IF('FUENTE NO BORRAR'!$A2038&lt;&gt;"Resultado total",('FUENTE NO BORRAR'!H2038),""))</f>
        <v>0</v>
      </c>
      <c r="I2020" s="6">
        <f>IF('FUENTE NO BORRAR'!I2038="","",IF('FUENTE NO BORRAR'!$A2038&lt;&gt;"Resultado total",('FUENTE NO BORRAR'!I2038),""))</f>
        <v>0</v>
      </c>
    </row>
    <row r="2021" spans="1:9" x14ac:dyDescent="0.2">
      <c r="A2021" s="5" t="str">
        <f>IF('FUENTE NO BORRAR'!A2039="","",(IF('FUENTE NO BORRAR'!A2039&lt;&gt;"Resultado total",'FUENTE NO BORRAR'!A2039,"")))</f>
        <v/>
      </c>
      <c r="B2021" s="5" t="str">
        <f>IF('FUENTE NO BORRAR'!B2039="","",'FUENTE NO BORRAR'!B2039)</f>
        <v/>
      </c>
      <c r="C2021" s="5" t="str">
        <f>IF('FUENTE NO BORRAR'!C2039="","",'FUENTE NO BORRAR'!C2039)</f>
        <v/>
      </c>
      <c r="D2021" s="5" t="str">
        <f>IF('FUENTE NO BORRAR'!D2039="","",'FUENTE NO BORRAR'!D2039)</f>
        <v/>
      </c>
      <c r="E2021" s="5" t="str">
        <f>IF('FUENTE NO BORRAR'!E2039="","",'FUENTE NO BORRAR'!E2039)</f>
        <v/>
      </c>
      <c r="F2021" s="6">
        <f>IF('FUENTE NO BORRAR'!F2039="","",IF('FUENTE NO BORRAR'!$A2039&lt;&gt;"Resultado total",('FUENTE NO BORRAR'!F2039),""))</f>
        <v>18000</v>
      </c>
      <c r="G2021" s="6">
        <f>IF('FUENTE NO BORRAR'!G2039="","",IF('FUENTE NO BORRAR'!$A2039&lt;&gt;"Resultado total",('FUENTE NO BORRAR'!G2039),""))</f>
        <v>18000</v>
      </c>
      <c r="H2021" s="6">
        <f>IF('FUENTE NO BORRAR'!H2039="","",IF('FUENTE NO BORRAR'!$A2039&lt;&gt;"Resultado total",('FUENTE NO BORRAR'!H2039),""))</f>
        <v>18000</v>
      </c>
      <c r="I2021" s="6">
        <f>IF('FUENTE NO BORRAR'!I2039="","",IF('FUENTE NO BORRAR'!$A2039&lt;&gt;"Resultado total",('FUENTE NO BORRAR'!I2039),""))</f>
        <v>0</v>
      </c>
    </row>
    <row r="2022" spans="1:9" x14ac:dyDescent="0.2">
      <c r="A2022" s="5" t="str">
        <f>IF('FUENTE NO BORRAR'!A2040="","",(IF('FUENTE NO BORRAR'!A2040&lt;&gt;"Resultado total",'FUENTE NO BORRAR'!A2040,"")))</f>
        <v/>
      </c>
      <c r="B2022" s="5" t="str">
        <f>IF('FUENTE NO BORRAR'!B2040="","",'FUENTE NO BORRAR'!B2040)</f>
        <v/>
      </c>
      <c r="C2022" s="5" t="str">
        <f>IF('FUENTE NO BORRAR'!C2040="","",'FUENTE NO BORRAR'!C2040)</f>
        <v/>
      </c>
      <c r="D2022" s="5" t="str">
        <f>IF('FUENTE NO BORRAR'!D2040="","",'FUENTE NO BORRAR'!D2040)</f>
        <v/>
      </c>
      <c r="E2022" s="5" t="str">
        <f>IF('FUENTE NO BORRAR'!E2040="","",'FUENTE NO BORRAR'!E2040)</f>
        <v/>
      </c>
      <c r="F2022" s="6">
        <f>IF('FUENTE NO BORRAR'!F2040="","",IF('FUENTE NO BORRAR'!$A2040&lt;&gt;"Resultado total",('FUENTE NO BORRAR'!F2040),""))</f>
        <v>0</v>
      </c>
      <c r="G2022" s="6">
        <f>IF('FUENTE NO BORRAR'!G2040="","",IF('FUENTE NO BORRAR'!$A2040&lt;&gt;"Resultado total",('FUENTE NO BORRAR'!G2040),""))</f>
        <v>0</v>
      </c>
      <c r="H2022" s="6">
        <f>IF('FUENTE NO BORRAR'!H2040="","",IF('FUENTE NO BORRAR'!$A2040&lt;&gt;"Resultado total",('FUENTE NO BORRAR'!H2040),""))</f>
        <v>0</v>
      </c>
      <c r="I2022" s="6">
        <f>IF('FUENTE NO BORRAR'!I2040="","",IF('FUENTE NO BORRAR'!$A2040&lt;&gt;"Resultado total",('FUENTE NO BORRAR'!I2040),""))</f>
        <v>0</v>
      </c>
    </row>
    <row r="2023" spans="1:9" x14ac:dyDescent="0.2">
      <c r="A2023" s="5" t="str">
        <f>IF('FUENTE NO BORRAR'!A2041="","",(IF('FUENTE NO BORRAR'!A2041&lt;&gt;"Resultado total",'FUENTE NO BORRAR'!A2041,"")))</f>
        <v/>
      </c>
      <c r="B2023" s="5" t="str">
        <f>IF('FUENTE NO BORRAR'!B2041="","",'FUENTE NO BORRAR'!B2041)</f>
        <v/>
      </c>
      <c r="C2023" s="5" t="str">
        <f>IF('FUENTE NO BORRAR'!C2041="","",'FUENTE NO BORRAR'!C2041)</f>
        <v/>
      </c>
      <c r="D2023" s="5" t="str">
        <f>IF('FUENTE NO BORRAR'!D2041="","",'FUENTE NO BORRAR'!D2041)</f>
        <v/>
      </c>
      <c r="E2023" s="5" t="str">
        <f>IF('FUENTE NO BORRAR'!E2041="","",'FUENTE NO BORRAR'!E2041)</f>
        <v/>
      </c>
      <c r="F2023" s="6">
        <f>IF('FUENTE NO BORRAR'!F2041="","",IF('FUENTE NO BORRAR'!$A2041&lt;&gt;"Resultado total",('FUENTE NO BORRAR'!F2041),""))</f>
        <v>852154.63</v>
      </c>
      <c r="G2023" s="6">
        <f>IF('FUENTE NO BORRAR'!G2041="","",IF('FUENTE NO BORRAR'!$A2041&lt;&gt;"Resultado total",('FUENTE NO BORRAR'!G2041),""))</f>
        <v>852154.63</v>
      </c>
      <c r="H2023" s="6">
        <f>IF('FUENTE NO BORRAR'!H2041="","",IF('FUENTE NO BORRAR'!$A2041&lt;&gt;"Resultado total",('FUENTE NO BORRAR'!H2041),""))</f>
        <v>407234.63</v>
      </c>
      <c r="I2023" s="6">
        <f>IF('FUENTE NO BORRAR'!I2041="","",IF('FUENTE NO BORRAR'!$A2041&lt;&gt;"Resultado total",('FUENTE NO BORRAR'!I2041),""))</f>
        <v>0</v>
      </c>
    </row>
    <row r="2024" spans="1:9" x14ac:dyDescent="0.2">
      <c r="A2024" s="5" t="str">
        <f>IF('FUENTE NO BORRAR'!A2042="","",(IF('FUENTE NO BORRAR'!A2042&lt;&gt;"Resultado total",'FUENTE NO BORRAR'!A2042,"")))</f>
        <v/>
      </c>
      <c r="B2024" s="5" t="str">
        <f>IF('FUENTE NO BORRAR'!B2042="","",'FUENTE NO BORRAR'!B2042)</f>
        <v/>
      </c>
      <c r="C2024" s="5" t="str">
        <f>IF('FUENTE NO BORRAR'!C2042="","",'FUENTE NO BORRAR'!C2042)</f>
        <v/>
      </c>
      <c r="D2024" s="5" t="str">
        <f>IF('FUENTE NO BORRAR'!D2042="","",'FUENTE NO BORRAR'!D2042)</f>
        <v/>
      </c>
      <c r="E2024" s="5" t="str">
        <f>IF('FUENTE NO BORRAR'!E2042="","",'FUENTE NO BORRAR'!E2042)</f>
        <v/>
      </c>
      <c r="F2024" s="6">
        <f>IF('FUENTE NO BORRAR'!F2042="","",IF('FUENTE NO BORRAR'!$A2042&lt;&gt;"Resultado total",('FUENTE NO BORRAR'!F2042),""))</f>
        <v>0</v>
      </c>
      <c r="G2024" s="6">
        <f>IF('FUENTE NO BORRAR'!G2042="","",IF('FUENTE NO BORRAR'!$A2042&lt;&gt;"Resultado total",('FUENTE NO BORRAR'!G2042),""))</f>
        <v>0</v>
      </c>
      <c r="H2024" s="6">
        <f>IF('FUENTE NO BORRAR'!H2042="","",IF('FUENTE NO BORRAR'!$A2042&lt;&gt;"Resultado total",('FUENTE NO BORRAR'!H2042),""))</f>
        <v>0</v>
      </c>
      <c r="I2024" s="6">
        <f>IF('FUENTE NO BORRAR'!I2042="","",IF('FUENTE NO BORRAR'!$A2042&lt;&gt;"Resultado total",('FUENTE NO BORRAR'!I2042),""))</f>
        <v>0</v>
      </c>
    </row>
    <row r="2025" spans="1:9" x14ac:dyDescent="0.2">
      <c r="A2025" s="5" t="str">
        <f>IF('FUENTE NO BORRAR'!A2043="","",(IF('FUENTE NO BORRAR'!A2043&lt;&gt;"Resultado total",'FUENTE NO BORRAR'!A2043,"")))</f>
        <v/>
      </c>
      <c r="B2025" s="5" t="str">
        <f>IF('FUENTE NO BORRAR'!B2043="","",'FUENTE NO BORRAR'!B2043)</f>
        <v/>
      </c>
      <c r="C2025" s="5" t="str">
        <f>IF('FUENTE NO BORRAR'!C2043="","",'FUENTE NO BORRAR'!C2043)</f>
        <v/>
      </c>
      <c r="D2025" s="5" t="str">
        <f>IF('FUENTE NO BORRAR'!D2043="","",'FUENTE NO BORRAR'!D2043)</f>
        <v/>
      </c>
      <c r="E2025" s="5" t="str">
        <f>IF('FUENTE NO BORRAR'!E2043="","",'FUENTE NO BORRAR'!E2043)</f>
        <v/>
      </c>
      <c r="F2025" s="6">
        <f>IF('FUENTE NO BORRAR'!F2043="","",IF('FUENTE NO BORRAR'!$A2043&lt;&gt;"Resultado total",('FUENTE NO BORRAR'!F2043),""))</f>
        <v>134422.32999999999</v>
      </c>
      <c r="G2025" s="6">
        <f>IF('FUENTE NO BORRAR'!G2043="","",IF('FUENTE NO BORRAR'!$A2043&lt;&gt;"Resultado total",('FUENTE NO BORRAR'!G2043),""))</f>
        <v>134422.32999999999</v>
      </c>
      <c r="H2025" s="6">
        <f>IF('FUENTE NO BORRAR'!H2043="","",IF('FUENTE NO BORRAR'!$A2043&lt;&gt;"Resultado total",('FUENTE NO BORRAR'!H2043),""))</f>
        <v>101462.23</v>
      </c>
      <c r="I2025" s="6">
        <f>IF('FUENTE NO BORRAR'!I2043="","",IF('FUENTE NO BORRAR'!$A2043&lt;&gt;"Resultado total",('FUENTE NO BORRAR'!I2043),""))</f>
        <v>0</v>
      </c>
    </row>
    <row r="2026" spans="1:9" x14ac:dyDescent="0.2">
      <c r="A2026" s="5" t="str">
        <f>IF('FUENTE NO BORRAR'!A2044="","",(IF('FUENTE NO BORRAR'!A2044&lt;&gt;"Resultado total",'FUENTE NO BORRAR'!A2044,"")))</f>
        <v/>
      </c>
      <c r="B2026" s="5" t="str">
        <f>IF('FUENTE NO BORRAR'!B2044="","",'FUENTE NO BORRAR'!B2044)</f>
        <v/>
      </c>
      <c r="C2026" s="5" t="str">
        <f>IF('FUENTE NO BORRAR'!C2044="","",'FUENTE NO BORRAR'!C2044)</f>
        <v/>
      </c>
      <c r="D2026" s="5" t="str">
        <f>IF('FUENTE NO BORRAR'!D2044="","",'FUENTE NO BORRAR'!D2044)</f>
        <v/>
      </c>
      <c r="E2026" s="5" t="str">
        <f>IF('FUENTE NO BORRAR'!E2044="","",'FUENTE NO BORRAR'!E2044)</f>
        <v/>
      </c>
      <c r="F2026" s="6">
        <f>IF('FUENTE NO BORRAR'!F2044="","",IF('FUENTE NO BORRAR'!$A2044&lt;&gt;"Resultado total",('FUENTE NO BORRAR'!F2044),""))</f>
        <v>169711</v>
      </c>
      <c r="G2026" s="6">
        <f>IF('FUENTE NO BORRAR'!G2044="","",IF('FUENTE NO BORRAR'!$A2044&lt;&gt;"Resultado total",('FUENTE NO BORRAR'!G2044),""))</f>
        <v>169711</v>
      </c>
      <c r="H2026" s="6">
        <f>IF('FUENTE NO BORRAR'!H2044="","",IF('FUENTE NO BORRAR'!$A2044&lt;&gt;"Resultado total",('FUENTE NO BORRAR'!H2044),""))</f>
        <v>143819.79999999999</v>
      </c>
      <c r="I2026" s="6">
        <f>IF('FUENTE NO BORRAR'!I2044="","",IF('FUENTE NO BORRAR'!$A2044&lt;&gt;"Resultado total",('FUENTE NO BORRAR'!I2044),""))</f>
        <v>0</v>
      </c>
    </row>
    <row r="2027" spans="1:9" x14ac:dyDescent="0.2">
      <c r="A2027" s="5" t="str">
        <f>IF('FUENTE NO BORRAR'!A2045="","",(IF('FUENTE NO BORRAR'!A2045&lt;&gt;"Resultado total",'FUENTE NO BORRAR'!A2045,"")))</f>
        <v/>
      </c>
      <c r="B2027" s="5" t="str">
        <f>IF('FUENTE NO BORRAR'!B2045="","",'FUENTE NO BORRAR'!B2045)</f>
        <v/>
      </c>
      <c r="C2027" s="5" t="str">
        <f>IF('FUENTE NO BORRAR'!C2045="","",'FUENTE NO BORRAR'!C2045)</f>
        <v/>
      </c>
      <c r="D2027" s="5" t="str">
        <f>IF('FUENTE NO BORRAR'!D2045="","",'FUENTE NO BORRAR'!D2045)</f>
        <v/>
      </c>
      <c r="E2027" s="5" t="str">
        <f>IF('FUENTE NO BORRAR'!E2045="","",'FUENTE NO BORRAR'!E2045)</f>
        <v/>
      </c>
      <c r="F2027" s="6">
        <f>IF('FUENTE NO BORRAR'!F2045="","",IF('FUENTE NO BORRAR'!$A2045&lt;&gt;"Resultado total",('FUENTE NO BORRAR'!F2045),""))</f>
        <v>111480.01</v>
      </c>
      <c r="G2027" s="6">
        <f>IF('FUENTE NO BORRAR'!G2045="","",IF('FUENTE NO BORRAR'!$A2045&lt;&gt;"Resultado total",('FUENTE NO BORRAR'!G2045),""))</f>
        <v>111480.01</v>
      </c>
      <c r="H2027" s="6">
        <f>IF('FUENTE NO BORRAR'!H2045="","",IF('FUENTE NO BORRAR'!$A2045&lt;&gt;"Resultado total",('FUENTE NO BORRAR'!H2045),""))</f>
        <v>111480.01</v>
      </c>
      <c r="I2027" s="6">
        <f>IF('FUENTE NO BORRAR'!I2045="","",IF('FUENTE NO BORRAR'!$A2045&lt;&gt;"Resultado total",('FUENTE NO BORRAR'!I2045),""))</f>
        <v>0</v>
      </c>
    </row>
    <row r="2028" spans="1:9" x14ac:dyDescent="0.2">
      <c r="A2028" s="5" t="str">
        <f>IF('FUENTE NO BORRAR'!A2046="","",(IF('FUENTE NO BORRAR'!A2046&lt;&gt;"Resultado total",'FUENTE NO BORRAR'!A2046,"")))</f>
        <v/>
      </c>
      <c r="B2028" s="5" t="str">
        <f>IF('FUENTE NO BORRAR'!B2046="","",'FUENTE NO BORRAR'!B2046)</f>
        <v/>
      </c>
      <c r="C2028" s="5" t="str">
        <f>IF('FUENTE NO BORRAR'!C2046="","",'FUENTE NO BORRAR'!C2046)</f>
        <v/>
      </c>
      <c r="D2028" s="5" t="str">
        <f>IF('FUENTE NO BORRAR'!D2046="","",'FUENTE NO BORRAR'!D2046)</f>
        <v/>
      </c>
      <c r="E2028" s="5" t="str">
        <f>IF('FUENTE NO BORRAR'!E2046="","",'FUENTE NO BORRAR'!E2046)</f>
        <v/>
      </c>
      <c r="F2028" s="6">
        <f>IF('FUENTE NO BORRAR'!F2046="","",IF('FUENTE NO BORRAR'!$A2046&lt;&gt;"Resultado total",('FUENTE NO BORRAR'!F2046),""))</f>
        <v>638</v>
      </c>
      <c r="G2028" s="6">
        <f>IF('FUENTE NO BORRAR'!G2046="","",IF('FUENTE NO BORRAR'!$A2046&lt;&gt;"Resultado total",('FUENTE NO BORRAR'!G2046),""))</f>
        <v>638</v>
      </c>
      <c r="H2028" s="6">
        <f>IF('FUENTE NO BORRAR'!H2046="","",IF('FUENTE NO BORRAR'!$A2046&lt;&gt;"Resultado total",('FUENTE NO BORRAR'!H2046),""))</f>
        <v>638</v>
      </c>
      <c r="I2028" s="6">
        <f>IF('FUENTE NO BORRAR'!I2046="","",IF('FUENTE NO BORRAR'!$A2046&lt;&gt;"Resultado total",('FUENTE NO BORRAR'!I2046),""))</f>
        <v>0</v>
      </c>
    </row>
    <row r="2029" spans="1:9" x14ac:dyDescent="0.2">
      <c r="A2029" s="5" t="str">
        <f>IF('FUENTE NO BORRAR'!A2047="","",(IF('FUENTE NO BORRAR'!A2047&lt;&gt;"Resultado total",'FUENTE NO BORRAR'!A2047,"")))</f>
        <v/>
      </c>
      <c r="B2029" s="5" t="str">
        <f>IF('FUENTE NO BORRAR'!B2047="","",'FUENTE NO BORRAR'!B2047)</f>
        <v/>
      </c>
      <c r="C2029" s="5" t="str">
        <f>IF('FUENTE NO BORRAR'!C2047="","",'FUENTE NO BORRAR'!C2047)</f>
        <v/>
      </c>
      <c r="D2029" s="5" t="str">
        <f>IF('FUENTE NO BORRAR'!D2047="","",'FUENTE NO BORRAR'!D2047)</f>
        <v/>
      </c>
      <c r="E2029" s="5" t="str">
        <f>IF('FUENTE NO BORRAR'!E2047="","",'FUENTE NO BORRAR'!E2047)</f>
        <v/>
      </c>
      <c r="F2029" s="6">
        <f>IF('FUENTE NO BORRAR'!F2047="","",IF('FUENTE NO BORRAR'!$A2047&lt;&gt;"Resultado total",('FUENTE NO BORRAR'!F2047),""))</f>
        <v>21228</v>
      </c>
      <c r="G2029" s="6">
        <f>IF('FUENTE NO BORRAR'!G2047="","",IF('FUENTE NO BORRAR'!$A2047&lt;&gt;"Resultado total",('FUENTE NO BORRAR'!G2047),""))</f>
        <v>21228</v>
      </c>
      <c r="H2029" s="6">
        <f>IF('FUENTE NO BORRAR'!H2047="","",IF('FUENTE NO BORRAR'!$A2047&lt;&gt;"Resultado total",('FUENTE NO BORRAR'!H2047),""))</f>
        <v>21228</v>
      </c>
      <c r="I2029" s="6">
        <f>IF('FUENTE NO BORRAR'!I2047="","",IF('FUENTE NO BORRAR'!$A2047&lt;&gt;"Resultado total",('FUENTE NO BORRAR'!I2047),""))</f>
        <v>0</v>
      </c>
    </row>
    <row r="2030" spans="1:9" x14ac:dyDescent="0.2">
      <c r="A2030" s="5" t="str">
        <f>IF('FUENTE NO BORRAR'!A2048="","",(IF('FUENTE NO BORRAR'!A2048&lt;&gt;"Resultado total",'FUENTE NO BORRAR'!A2048,"")))</f>
        <v/>
      </c>
      <c r="B2030" s="5" t="str">
        <f>IF('FUENTE NO BORRAR'!B2048="","",'FUENTE NO BORRAR'!B2048)</f>
        <v/>
      </c>
      <c r="C2030" s="5" t="str">
        <f>IF('FUENTE NO BORRAR'!C2048="","",'FUENTE NO BORRAR'!C2048)</f>
        <v/>
      </c>
      <c r="D2030" s="5" t="str">
        <f>IF('FUENTE NO BORRAR'!D2048="","",'FUENTE NO BORRAR'!D2048)</f>
        <v/>
      </c>
      <c r="E2030" s="5" t="str">
        <f>IF('FUENTE NO BORRAR'!E2048="","",'FUENTE NO BORRAR'!E2048)</f>
        <v/>
      </c>
      <c r="F2030" s="6">
        <f>IF('FUENTE NO BORRAR'!F2048="","",IF('FUENTE NO BORRAR'!$A2048&lt;&gt;"Resultado total",('FUENTE NO BORRAR'!F2048),""))</f>
        <v>36308</v>
      </c>
      <c r="G2030" s="6">
        <f>IF('FUENTE NO BORRAR'!G2048="","",IF('FUENTE NO BORRAR'!$A2048&lt;&gt;"Resultado total",('FUENTE NO BORRAR'!G2048),""))</f>
        <v>36308</v>
      </c>
      <c r="H2030" s="6">
        <f>IF('FUENTE NO BORRAR'!H2048="","",IF('FUENTE NO BORRAR'!$A2048&lt;&gt;"Resultado total",('FUENTE NO BORRAR'!H2048),""))</f>
        <v>0</v>
      </c>
      <c r="I2030" s="6">
        <f>IF('FUENTE NO BORRAR'!I2048="","",IF('FUENTE NO BORRAR'!$A2048&lt;&gt;"Resultado total",('FUENTE NO BORRAR'!I2048),""))</f>
        <v>0</v>
      </c>
    </row>
    <row r="2031" spans="1:9" x14ac:dyDescent="0.2">
      <c r="A2031" s="5" t="str">
        <f>IF('FUENTE NO BORRAR'!A2049="","",(IF('FUENTE NO BORRAR'!A2049&lt;&gt;"Resultado total",'FUENTE NO BORRAR'!A2049,"")))</f>
        <v/>
      </c>
      <c r="B2031" s="5" t="str">
        <f>IF('FUENTE NO BORRAR'!B2049="","",'FUENTE NO BORRAR'!B2049)</f>
        <v/>
      </c>
      <c r="C2031" s="5" t="str">
        <f>IF('FUENTE NO BORRAR'!C2049="","",'FUENTE NO BORRAR'!C2049)</f>
        <v/>
      </c>
      <c r="D2031" s="5" t="str">
        <f>IF('FUENTE NO BORRAR'!D2049="","",'FUENTE NO BORRAR'!D2049)</f>
        <v/>
      </c>
      <c r="E2031" s="5" t="str">
        <f>IF('FUENTE NO BORRAR'!E2049="","",'FUENTE NO BORRAR'!E2049)</f>
        <v/>
      </c>
      <c r="F2031" s="6">
        <f>IF('FUENTE NO BORRAR'!F2049="","",IF('FUENTE NO BORRAR'!$A2049&lt;&gt;"Resultado total",('FUENTE NO BORRAR'!F2049),""))</f>
        <v>42495.44</v>
      </c>
      <c r="G2031" s="6">
        <f>IF('FUENTE NO BORRAR'!G2049="","",IF('FUENTE NO BORRAR'!$A2049&lt;&gt;"Resultado total",('FUENTE NO BORRAR'!G2049),""))</f>
        <v>42495.44</v>
      </c>
      <c r="H2031" s="6">
        <f>IF('FUENTE NO BORRAR'!H2049="","",IF('FUENTE NO BORRAR'!$A2049&lt;&gt;"Resultado total",('FUENTE NO BORRAR'!H2049),""))</f>
        <v>42495.44</v>
      </c>
      <c r="I2031" s="6">
        <f>IF('FUENTE NO BORRAR'!I2049="","",IF('FUENTE NO BORRAR'!$A2049&lt;&gt;"Resultado total",('FUENTE NO BORRAR'!I2049),""))</f>
        <v>0</v>
      </c>
    </row>
    <row r="2032" spans="1:9" x14ac:dyDescent="0.2">
      <c r="A2032" s="5" t="str">
        <f>IF('FUENTE NO BORRAR'!A2050="","",(IF('FUENTE NO BORRAR'!A2050&lt;&gt;"Resultado total",'FUENTE NO BORRAR'!A2050,"")))</f>
        <v/>
      </c>
      <c r="B2032" s="5" t="str">
        <f>IF('FUENTE NO BORRAR'!B2050="","",'FUENTE NO BORRAR'!B2050)</f>
        <v/>
      </c>
      <c r="C2032" s="5" t="str">
        <f>IF('FUENTE NO BORRAR'!C2050="","",'FUENTE NO BORRAR'!C2050)</f>
        <v/>
      </c>
      <c r="D2032" s="5" t="str">
        <f>IF('FUENTE NO BORRAR'!D2050="","",'FUENTE NO BORRAR'!D2050)</f>
        <v/>
      </c>
      <c r="E2032" s="5" t="str">
        <f>IF('FUENTE NO BORRAR'!E2050="","",'FUENTE NO BORRAR'!E2050)</f>
        <v/>
      </c>
      <c r="F2032" s="6">
        <f>IF('FUENTE NO BORRAR'!F2050="","",IF('FUENTE NO BORRAR'!$A2050&lt;&gt;"Resultado total",('FUENTE NO BORRAR'!F2050),""))</f>
        <v>472.12</v>
      </c>
      <c r="G2032" s="6">
        <f>IF('FUENTE NO BORRAR'!G2050="","",IF('FUENTE NO BORRAR'!$A2050&lt;&gt;"Resultado total",('FUENTE NO BORRAR'!G2050),""))</f>
        <v>472.12</v>
      </c>
      <c r="H2032" s="6">
        <f>IF('FUENTE NO BORRAR'!H2050="","",IF('FUENTE NO BORRAR'!$A2050&lt;&gt;"Resultado total",('FUENTE NO BORRAR'!H2050),""))</f>
        <v>472.12</v>
      </c>
      <c r="I2032" s="6">
        <f>IF('FUENTE NO BORRAR'!I2050="","",IF('FUENTE NO BORRAR'!$A2050&lt;&gt;"Resultado total",('FUENTE NO BORRAR'!I2050),""))</f>
        <v>0</v>
      </c>
    </row>
    <row r="2033" spans="1:9" x14ac:dyDescent="0.2">
      <c r="A2033" s="5" t="str">
        <f>IF('FUENTE NO BORRAR'!A2051="","",(IF('FUENTE NO BORRAR'!A2051&lt;&gt;"Resultado total",'FUENTE NO BORRAR'!A2051,"")))</f>
        <v/>
      </c>
      <c r="B2033" s="5" t="str">
        <f>IF('FUENTE NO BORRAR'!B2051="","",'FUENTE NO BORRAR'!B2051)</f>
        <v/>
      </c>
      <c r="C2033" s="5" t="str">
        <f>IF('FUENTE NO BORRAR'!C2051="","",'FUENTE NO BORRAR'!C2051)</f>
        <v/>
      </c>
      <c r="D2033" s="5" t="str">
        <f>IF('FUENTE NO BORRAR'!D2051="","",'FUENTE NO BORRAR'!D2051)</f>
        <v/>
      </c>
      <c r="E2033" s="5" t="str">
        <f>IF('FUENTE NO BORRAR'!E2051="","",'FUENTE NO BORRAR'!E2051)</f>
        <v/>
      </c>
      <c r="F2033" s="6">
        <f>IF('FUENTE NO BORRAR'!F2051="","",IF('FUENTE NO BORRAR'!$A2051&lt;&gt;"Resultado total",('FUENTE NO BORRAR'!F2051),""))</f>
        <v>38400.980000000003</v>
      </c>
      <c r="G2033" s="6">
        <f>IF('FUENTE NO BORRAR'!G2051="","",IF('FUENTE NO BORRAR'!$A2051&lt;&gt;"Resultado total",('FUENTE NO BORRAR'!G2051),""))</f>
        <v>38400.980000000003</v>
      </c>
      <c r="H2033" s="6">
        <f>IF('FUENTE NO BORRAR'!H2051="","",IF('FUENTE NO BORRAR'!$A2051&lt;&gt;"Resultado total",('FUENTE NO BORRAR'!H2051),""))</f>
        <v>38400.980000000003</v>
      </c>
      <c r="I2033" s="6">
        <f>IF('FUENTE NO BORRAR'!I2051="","",IF('FUENTE NO BORRAR'!$A2051&lt;&gt;"Resultado total",('FUENTE NO BORRAR'!I2051),""))</f>
        <v>0</v>
      </c>
    </row>
    <row r="2034" spans="1:9" x14ac:dyDescent="0.2">
      <c r="A2034" s="5" t="str">
        <f>IF('FUENTE NO BORRAR'!A2052="","",(IF('FUENTE NO BORRAR'!A2052&lt;&gt;"Resultado total",'FUENTE NO BORRAR'!A2052,"")))</f>
        <v/>
      </c>
      <c r="B2034" s="5" t="str">
        <f>IF('FUENTE NO BORRAR'!B2052="","",'FUENTE NO BORRAR'!B2052)</f>
        <v/>
      </c>
      <c r="C2034" s="5" t="str">
        <f>IF('FUENTE NO BORRAR'!C2052="","",'FUENTE NO BORRAR'!C2052)</f>
        <v/>
      </c>
      <c r="D2034" s="5" t="str">
        <f>IF('FUENTE NO BORRAR'!D2052="","",'FUENTE NO BORRAR'!D2052)</f>
        <v/>
      </c>
      <c r="E2034" s="5" t="str">
        <f>IF('FUENTE NO BORRAR'!E2052="","",'FUENTE NO BORRAR'!E2052)</f>
        <v/>
      </c>
      <c r="F2034" s="6">
        <f>IF('FUENTE NO BORRAR'!F2052="","",IF('FUENTE NO BORRAR'!$A2052&lt;&gt;"Resultado total",('FUENTE NO BORRAR'!F2052),""))</f>
        <v>58851.44</v>
      </c>
      <c r="G2034" s="6">
        <f>IF('FUENTE NO BORRAR'!G2052="","",IF('FUENTE NO BORRAR'!$A2052&lt;&gt;"Resultado total",('FUENTE NO BORRAR'!G2052),""))</f>
        <v>58851.44</v>
      </c>
      <c r="H2034" s="6">
        <f>IF('FUENTE NO BORRAR'!H2052="","",IF('FUENTE NO BORRAR'!$A2052&lt;&gt;"Resultado total",('FUENTE NO BORRAR'!H2052),""))</f>
        <v>58851.44</v>
      </c>
      <c r="I2034" s="6">
        <f>IF('FUENTE NO BORRAR'!I2052="","",IF('FUENTE NO BORRAR'!$A2052&lt;&gt;"Resultado total",('FUENTE NO BORRAR'!I2052),""))</f>
        <v>0</v>
      </c>
    </row>
    <row r="2035" spans="1:9" x14ac:dyDescent="0.2">
      <c r="A2035" s="5" t="str">
        <f>IF('FUENTE NO BORRAR'!A2053="","",(IF('FUENTE NO BORRAR'!A2053&lt;&gt;"Resultado total",'FUENTE NO BORRAR'!A2053,"")))</f>
        <v/>
      </c>
      <c r="B2035" s="5" t="str">
        <f>IF('FUENTE NO BORRAR'!B2053="","",'FUENTE NO BORRAR'!B2053)</f>
        <v/>
      </c>
      <c r="C2035" s="5" t="str">
        <f>IF('FUENTE NO BORRAR'!C2053="","",'FUENTE NO BORRAR'!C2053)</f>
        <v/>
      </c>
      <c r="D2035" s="5" t="str">
        <f>IF('FUENTE NO BORRAR'!D2053="","",'FUENTE NO BORRAR'!D2053)</f>
        <v/>
      </c>
      <c r="E2035" s="5" t="str">
        <f>IF('FUENTE NO BORRAR'!E2053="","",'FUENTE NO BORRAR'!E2053)</f>
        <v/>
      </c>
      <c r="F2035" s="6">
        <f>IF('FUENTE NO BORRAR'!F2053="","",IF('FUENTE NO BORRAR'!$A2053&lt;&gt;"Resultado total",('FUENTE NO BORRAR'!F2053),""))</f>
        <v>15807</v>
      </c>
      <c r="G2035" s="6">
        <f>IF('FUENTE NO BORRAR'!G2053="","",IF('FUENTE NO BORRAR'!$A2053&lt;&gt;"Resultado total",('FUENTE NO BORRAR'!G2053),""))</f>
        <v>15807</v>
      </c>
      <c r="H2035" s="6">
        <f>IF('FUENTE NO BORRAR'!H2053="","",IF('FUENTE NO BORRAR'!$A2053&lt;&gt;"Resultado total",('FUENTE NO BORRAR'!H2053),""))</f>
        <v>15807</v>
      </c>
      <c r="I2035" s="6">
        <f>IF('FUENTE NO BORRAR'!I2053="","",IF('FUENTE NO BORRAR'!$A2053&lt;&gt;"Resultado total",('FUENTE NO BORRAR'!I2053),""))</f>
        <v>0</v>
      </c>
    </row>
    <row r="2036" spans="1:9" x14ac:dyDescent="0.2">
      <c r="A2036" s="5" t="str">
        <f>IF('FUENTE NO BORRAR'!A2054="","",(IF('FUENTE NO BORRAR'!A2054&lt;&gt;"Resultado total",'FUENTE NO BORRAR'!A2054,"")))</f>
        <v/>
      </c>
      <c r="B2036" s="5" t="str">
        <f>IF('FUENTE NO BORRAR'!B2054="","",'FUENTE NO BORRAR'!B2054)</f>
        <v/>
      </c>
      <c r="C2036" s="5" t="str">
        <f>IF('FUENTE NO BORRAR'!C2054="","",'FUENTE NO BORRAR'!C2054)</f>
        <v/>
      </c>
      <c r="D2036" s="5" t="str">
        <f>IF('FUENTE NO BORRAR'!D2054="","",'FUENTE NO BORRAR'!D2054)</f>
        <v/>
      </c>
      <c r="E2036" s="5" t="str">
        <f>IF('FUENTE NO BORRAR'!E2054="","",'FUENTE NO BORRAR'!E2054)</f>
        <v/>
      </c>
      <c r="F2036" s="6">
        <f>IF('FUENTE NO BORRAR'!F2054="","",IF('FUENTE NO BORRAR'!$A2054&lt;&gt;"Resultado total",('FUENTE NO BORRAR'!F2054),""))</f>
        <v>77200</v>
      </c>
      <c r="G2036" s="6">
        <f>IF('FUENTE NO BORRAR'!G2054="","",IF('FUENTE NO BORRAR'!$A2054&lt;&gt;"Resultado total",('FUENTE NO BORRAR'!G2054),""))</f>
        <v>77200</v>
      </c>
      <c r="H2036" s="6">
        <f>IF('FUENTE NO BORRAR'!H2054="","",IF('FUENTE NO BORRAR'!$A2054&lt;&gt;"Resultado total",('FUENTE NO BORRAR'!H2054),""))</f>
        <v>72700</v>
      </c>
      <c r="I2036" s="6">
        <f>IF('FUENTE NO BORRAR'!I2054="","",IF('FUENTE NO BORRAR'!$A2054&lt;&gt;"Resultado total",('FUENTE NO BORRAR'!I2054),""))</f>
        <v>0</v>
      </c>
    </row>
    <row r="2037" spans="1:9" x14ac:dyDescent="0.2">
      <c r="A2037" s="5" t="str">
        <f>IF('FUENTE NO BORRAR'!A2055="","",(IF('FUENTE NO BORRAR'!A2055&lt;&gt;"Resultado total",'FUENTE NO BORRAR'!A2055,"")))</f>
        <v/>
      </c>
      <c r="B2037" s="5" t="str">
        <f>IF('FUENTE NO BORRAR'!B2055="","",'FUENTE NO BORRAR'!B2055)</f>
        <v/>
      </c>
      <c r="C2037" s="5" t="str">
        <f>IF('FUENTE NO BORRAR'!C2055="","",'FUENTE NO BORRAR'!C2055)</f>
        <v/>
      </c>
      <c r="D2037" s="5" t="str">
        <f>IF('FUENTE NO BORRAR'!D2055="","",'FUENTE NO BORRAR'!D2055)</f>
        <v/>
      </c>
      <c r="E2037" s="5" t="str">
        <f>IF('FUENTE NO BORRAR'!E2055="","",'FUENTE NO BORRAR'!E2055)</f>
        <v/>
      </c>
      <c r="F2037" s="6">
        <f>IF('FUENTE NO BORRAR'!F2055="","",IF('FUENTE NO BORRAR'!$A2055&lt;&gt;"Resultado total",('FUENTE NO BORRAR'!F2055),""))</f>
        <v>23987.25</v>
      </c>
      <c r="G2037" s="6">
        <f>IF('FUENTE NO BORRAR'!G2055="","",IF('FUENTE NO BORRAR'!$A2055&lt;&gt;"Resultado total",('FUENTE NO BORRAR'!G2055),""))</f>
        <v>23987.25</v>
      </c>
      <c r="H2037" s="6">
        <f>IF('FUENTE NO BORRAR'!H2055="","",IF('FUENTE NO BORRAR'!$A2055&lt;&gt;"Resultado total",('FUENTE NO BORRAR'!H2055),""))</f>
        <v>23987.25</v>
      </c>
      <c r="I2037" s="6">
        <f>IF('FUENTE NO BORRAR'!I2055="","",IF('FUENTE NO BORRAR'!$A2055&lt;&gt;"Resultado total",('FUENTE NO BORRAR'!I2055),""))</f>
        <v>0</v>
      </c>
    </row>
    <row r="2038" spans="1:9" x14ac:dyDescent="0.2">
      <c r="A2038" s="5" t="str">
        <f>IF('FUENTE NO BORRAR'!A2056="","",(IF('FUENTE NO BORRAR'!A2056&lt;&gt;"Resultado total",'FUENTE NO BORRAR'!A2056,"")))</f>
        <v/>
      </c>
      <c r="B2038" s="5" t="str">
        <f>IF('FUENTE NO BORRAR'!B2056="","",'FUENTE NO BORRAR'!B2056)</f>
        <v/>
      </c>
      <c r="C2038" s="5" t="str">
        <f>IF('FUENTE NO BORRAR'!C2056="","",'FUENTE NO BORRAR'!C2056)</f>
        <v/>
      </c>
      <c r="D2038" s="5" t="str">
        <f>IF('FUENTE NO BORRAR'!D2056="","",'FUENTE NO BORRAR'!D2056)</f>
        <v/>
      </c>
      <c r="E2038" s="5" t="str">
        <f>IF('FUENTE NO BORRAR'!E2056="","",'FUENTE NO BORRAR'!E2056)</f>
        <v/>
      </c>
      <c r="F2038" s="6">
        <f>IF('FUENTE NO BORRAR'!F2056="","",IF('FUENTE NO BORRAR'!$A2056&lt;&gt;"Resultado total",('FUENTE NO BORRAR'!F2056),""))</f>
        <v>2623523.12</v>
      </c>
      <c r="G2038" s="6">
        <f>IF('FUENTE NO BORRAR'!G2056="","",IF('FUENTE NO BORRAR'!$A2056&lt;&gt;"Resultado total",('FUENTE NO BORRAR'!G2056),""))</f>
        <v>2623523.12</v>
      </c>
      <c r="H2038" s="6">
        <f>IF('FUENTE NO BORRAR'!H2056="","",IF('FUENTE NO BORRAR'!$A2056&lt;&gt;"Resultado total",('FUENTE NO BORRAR'!H2056),""))</f>
        <v>554762.55000000005</v>
      </c>
      <c r="I2038" s="6">
        <f>IF('FUENTE NO BORRAR'!I2056="","",IF('FUENTE NO BORRAR'!$A2056&lt;&gt;"Resultado total",('FUENTE NO BORRAR'!I2056),""))</f>
        <v>0</v>
      </c>
    </row>
    <row r="2039" spans="1:9" x14ac:dyDescent="0.2">
      <c r="A2039" s="5" t="str">
        <f>IF('FUENTE NO BORRAR'!A2057="","",(IF('FUENTE NO BORRAR'!A2057&lt;&gt;"Resultado total",'FUENTE NO BORRAR'!A2057,"")))</f>
        <v/>
      </c>
      <c r="B2039" s="5" t="str">
        <f>IF('FUENTE NO BORRAR'!B2057="","",'FUENTE NO BORRAR'!B2057)</f>
        <v/>
      </c>
      <c r="C2039" s="5" t="str">
        <f>IF('FUENTE NO BORRAR'!C2057="","",'FUENTE NO BORRAR'!C2057)</f>
        <v/>
      </c>
      <c r="D2039" s="5" t="str">
        <f>IF('FUENTE NO BORRAR'!D2057="","",'FUENTE NO BORRAR'!D2057)</f>
        <v/>
      </c>
      <c r="E2039" s="5" t="str">
        <f>IF('FUENTE NO BORRAR'!E2057="","",'FUENTE NO BORRAR'!E2057)</f>
        <v/>
      </c>
      <c r="F2039" s="6">
        <f>IF('FUENTE NO BORRAR'!F2057="","",IF('FUENTE NO BORRAR'!$A2057&lt;&gt;"Resultado total",('FUENTE NO BORRAR'!F2057),""))</f>
        <v>169044.71</v>
      </c>
      <c r="G2039" s="6">
        <f>IF('FUENTE NO BORRAR'!G2057="","",IF('FUENTE NO BORRAR'!$A2057&lt;&gt;"Resultado total",('FUENTE NO BORRAR'!G2057),""))</f>
        <v>169044.71</v>
      </c>
      <c r="H2039" s="6">
        <f>IF('FUENTE NO BORRAR'!H2057="","",IF('FUENTE NO BORRAR'!$A2057&lt;&gt;"Resultado total",('FUENTE NO BORRAR'!H2057),""))</f>
        <v>129044.71</v>
      </c>
      <c r="I2039" s="6">
        <f>IF('FUENTE NO BORRAR'!I2057="","",IF('FUENTE NO BORRAR'!$A2057&lt;&gt;"Resultado total",('FUENTE NO BORRAR'!I2057),""))</f>
        <v>0</v>
      </c>
    </row>
    <row r="2040" spans="1:9" x14ac:dyDescent="0.2">
      <c r="A2040" s="5" t="str">
        <f>IF('FUENTE NO BORRAR'!A2058="","",(IF('FUENTE NO BORRAR'!A2058&lt;&gt;"Resultado total",'FUENTE NO BORRAR'!A2058,"")))</f>
        <v/>
      </c>
      <c r="B2040" s="5" t="str">
        <f>IF('FUENTE NO BORRAR'!B2058="","",'FUENTE NO BORRAR'!B2058)</f>
        <v/>
      </c>
      <c r="C2040" s="5" t="str">
        <f>IF('FUENTE NO BORRAR'!C2058="","",'FUENTE NO BORRAR'!C2058)</f>
        <v/>
      </c>
      <c r="D2040" s="5" t="str">
        <f>IF('FUENTE NO BORRAR'!D2058="","",'FUENTE NO BORRAR'!D2058)</f>
        <v/>
      </c>
      <c r="E2040" s="5" t="str">
        <f>IF('FUENTE NO BORRAR'!E2058="","",'FUENTE NO BORRAR'!E2058)</f>
        <v/>
      </c>
      <c r="F2040" s="6">
        <f>IF('FUENTE NO BORRAR'!F2058="","",IF('FUENTE NO BORRAR'!$A2058&lt;&gt;"Resultado total",('FUENTE NO BORRAR'!F2058),""))</f>
        <v>13000</v>
      </c>
      <c r="G2040" s="6">
        <f>IF('FUENTE NO BORRAR'!G2058="","",IF('FUENTE NO BORRAR'!$A2058&lt;&gt;"Resultado total",('FUENTE NO BORRAR'!G2058),""))</f>
        <v>13000</v>
      </c>
      <c r="H2040" s="6">
        <f>IF('FUENTE NO BORRAR'!H2058="","",IF('FUENTE NO BORRAR'!$A2058&lt;&gt;"Resultado total",('FUENTE NO BORRAR'!H2058),""))</f>
        <v>13000</v>
      </c>
      <c r="I2040" s="6">
        <f>IF('FUENTE NO BORRAR'!I2058="","",IF('FUENTE NO BORRAR'!$A2058&lt;&gt;"Resultado total",('FUENTE NO BORRAR'!I2058),""))</f>
        <v>0</v>
      </c>
    </row>
    <row r="2041" spans="1:9" x14ac:dyDescent="0.2">
      <c r="A2041" s="5" t="str">
        <f>IF('FUENTE NO BORRAR'!A2059="","",(IF('FUENTE NO BORRAR'!A2059&lt;&gt;"Resultado total",'FUENTE NO BORRAR'!A2059,"")))</f>
        <v/>
      </c>
      <c r="B2041" s="5" t="str">
        <f>IF('FUENTE NO BORRAR'!B2059="","",'FUENTE NO BORRAR'!B2059)</f>
        <v/>
      </c>
      <c r="C2041" s="5" t="str">
        <f>IF('FUENTE NO BORRAR'!C2059="","",'FUENTE NO BORRAR'!C2059)</f>
        <v/>
      </c>
      <c r="D2041" s="5" t="str">
        <f>IF('FUENTE NO BORRAR'!D2059="","",'FUENTE NO BORRAR'!D2059)</f>
        <v/>
      </c>
      <c r="E2041" s="5" t="str">
        <f>IF('FUENTE NO BORRAR'!E2059="","",'FUENTE NO BORRAR'!E2059)</f>
        <v/>
      </c>
      <c r="F2041" s="6">
        <f>IF('FUENTE NO BORRAR'!F2059="","",IF('FUENTE NO BORRAR'!$A2059&lt;&gt;"Resultado total",('FUENTE NO BORRAR'!F2059),""))</f>
        <v>1842</v>
      </c>
      <c r="G2041" s="6">
        <f>IF('FUENTE NO BORRAR'!G2059="","",IF('FUENTE NO BORRAR'!$A2059&lt;&gt;"Resultado total",('FUENTE NO BORRAR'!G2059),""))</f>
        <v>1842</v>
      </c>
      <c r="H2041" s="6">
        <f>IF('FUENTE NO BORRAR'!H2059="","",IF('FUENTE NO BORRAR'!$A2059&lt;&gt;"Resultado total",('FUENTE NO BORRAR'!H2059),""))</f>
        <v>1842</v>
      </c>
      <c r="I2041" s="6">
        <f>IF('FUENTE NO BORRAR'!I2059="","",IF('FUENTE NO BORRAR'!$A2059&lt;&gt;"Resultado total",('FUENTE NO BORRAR'!I2059),""))</f>
        <v>0</v>
      </c>
    </row>
    <row r="2042" spans="1:9" x14ac:dyDescent="0.2">
      <c r="A2042" s="5" t="str">
        <f>IF('FUENTE NO BORRAR'!A2060="","",(IF('FUENTE NO BORRAR'!A2060&lt;&gt;"Resultado total",'FUENTE NO BORRAR'!A2060,"")))</f>
        <v/>
      </c>
      <c r="B2042" s="5" t="str">
        <f>IF('FUENTE NO BORRAR'!B2060="","",'FUENTE NO BORRAR'!B2060)</f>
        <v/>
      </c>
      <c r="C2042" s="5" t="str">
        <f>IF('FUENTE NO BORRAR'!C2060="","",'FUENTE NO BORRAR'!C2060)</f>
        <v/>
      </c>
      <c r="D2042" s="5" t="str">
        <f>IF('FUENTE NO BORRAR'!D2060="","",'FUENTE NO BORRAR'!D2060)</f>
        <v/>
      </c>
      <c r="E2042" s="5" t="str">
        <f>IF('FUENTE NO BORRAR'!E2060="","",'FUENTE NO BORRAR'!E2060)</f>
        <v/>
      </c>
      <c r="F2042" s="6">
        <f>IF('FUENTE NO BORRAR'!F2060="","",IF('FUENTE NO BORRAR'!$A2060&lt;&gt;"Resultado total",('FUENTE NO BORRAR'!F2060),""))</f>
        <v>1305</v>
      </c>
      <c r="G2042" s="6">
        <f>IF('FUENTE NO BORRAR'!G2060="","",IF('FUENTE NO BORRAR'!$A2060&lt;&gt;"Resultado total",('FUENTE NO BORRAR'!G2060),""))</f>
        <v>1305</v>
      </c>
      <c r="H2042" s="6">
        <f>IF('FUENTE NO BORRAR'!H2060="","",IF('FUENTE NO BORRAR'!$A2060&lt;&gt;"Resultado total",('FUENTE NO BORRAR'!H2060),""))</f>
        <v>1305</v>
      </c>
      <c r="I2042" s="6">
        <f>IF('FUENTE NO BORRAR'!I2060="","",IF('FUENTE NO BORRAR'!$A2060&lt;&gt;"Resultado total",('FUENTE NO BORRAR'!I2060),""))</f>
        <v>0</v>
      </c>
    </row>
    <row r="2043" spans="1:9" x14ac:dyDescent="0.2">
      <c r="A2043" s="5" t="str">
        <f>IF('FUENTE NO BORRAR'!A2061="","",(IF('FUENTE NO BORRAR'!A2061&lt;&gt;"Resultado total",'FUENTE NO BORRAR'!A2061,"")))</f>
        <v/>
      </c>
      <c r="B2043" s="5" t="str">
        <f>IF('FUENTE NO BORRAR'!B2061="","",'FUENTE NO BORRAR'!B2061)</f>
        <v/>
      </c>
      <c r="C2043" s="5" t="str">
        <f>IF('FUENTE NO BORRAR'!C2061="","",'FUENTE NO BORRAR'!C2061)</f>
        <v/>
      </c>
      <c r="D2043" s="5" t="str">
        <f>IF('FUENTE NO BORRAR'!D2061="","",'FUENTE NO BORRAR'!D2061)</f>
        <v/>
      </c>
      <c r="E2043" s="5" t="str">
        <f>IF('FUENTE NO BORRAR'!E2061="","",'FUENTE NO BORRAR'!E2061)</f>
        <v/>
      </c>
      <c r="F2043" s="6">
        <f>IF('FUENTE NO BORRAR'!F2061="","",IF('FUENTE NO BORRAR'!$A2061&lt;&gt;"Resultado total",('FUENTE NO BORRAR'!F2061),""))</f>
        <v>449999.96</v>
      </c>
      <c r="G2043" s="6">
        <f>IF('FUENTE NO BORRAR'!G2061="","",IF('FUENTE NO BORRAR'!$A2061&lt;&gt;"Resultado total",('FUENTE NO BORRAR'!G2061),""))</f>
        <v>449999.96</v>
      </c>
      <c r="H2043" s="6">
        <f>IF('FUENTE NO BORRAR'!H2061="","",IF('FUENTE NO BORRAR'!$A2061&lt;&gt;"Resultado total",('FUENTE NO BORRAR'!H2061),""))</f>
        <v>449999.96</v>
      </c>
      <c r="I2043" s="6">
        <f>IF('FUENTE NO BORRAR'!I2061="","",IF('FUENTE NO BORRAR'!$A2061&lt;&gt;"Resultado total",('FUENTE NO BORRAR'!I2061),""))</f>
        <v>0</v>
      </c>
    </row>
    <row r="2044" spans="1:9" x14ac:dyDescent="0.2">
      <c r="A2044" s="5" t="str">
        <f>IF('FUENTE NO BORRAR'!A2062="","",(IF('FUENTE NO BORRAR'!A2062&lt;&gt;"Resultado total",'FUENTE NO BORRAR'!A2062,"")))</f>
        <v/>
      </c>
      <c r="B2044" s="5" t="str">
        <f>IF('FUENTE NO BORRAR'!B2062="","",'FUENTE NO BORRAR'!B2062)</f>
        <v/>
      </c>
      <c r="C2044" s="5" t="str">
        <f>IF('FUENTE NO BORRAR'!C2062="","",'FUENTE NO BORRAR'!C2062)</f>
        <v/>
      </c>
      <c r="D2044" s="5" t="str">
        <f>IF('FUENTE NO BORRAR'!D2062="","",'FUENTE NO BORRAR'!D2062)</f>
        <v/>
      </c>
      <c r="E2044" s="5" t="str">
        <f>IF('FUENTE NO BORRAR'!E2062="","",'FUENTE NO BORRAR'!E2062)</f>
        <v/>
      </c>
      <c r="F2044" s="6">
        <f>IF('FUENTE NO BORRAR'!F2062="","",IF('FUENTE NO BORRAR'!$A2062&lt;&gt;"Resultado total",('FUENTE NO BORRAR'!F2062),""))</f>
        <v>47096</v>
      </c>
      <c r="G2044" s="6">
        <f>IF('FUENTE NO BORRAR'!G2062="","",IF('FUENTE NO BORRAR'!$A2062&lt;&gt;"Resultado total",('FUENTE NO BORRAR'!G2062),""))</f>
        <v>47096</v>
      </c>
      <c r="H2044" s="6">
        <f>IF('FUENTE NO BORRAR'!H2062="","",IF('FUENTE NO BORRAR'!$A2062&lt;&gt;"Resultado total",('FUENTE NO BORRAR'!H2062),""))</f>
        <v>47096</v>
      </c>
      <c r="I2044" s="6">
        <f>IF('FUENTE NO BORRAR'!I2062="","",IF('FUENTE NO BORRAR'!$A2062&lt;&gt;"Resultado total",('FUENTE NO BORRAR'!I2062),""))</f>
        <v>0</v>
      </c>
    </row>
    <row r="2045" spans="1:9" x14ac:dyDescent="0.2">
      <c r="A2045" s="5" t="str">
        <f>IF('FUENTE NO BORRAR'!A2063="","",(IF('FUENTE NO BORRAR'!A2063&lt;&gt;"Resultado total",'FUENTE NO BORRAR'!A2063,"")))</f>
        <v/>
      </c>
      <c r="B2045" s="5" t="str">
        <f>IF('FUENTE NO BORRAR'!B2063="","",'FUENTE NO BORRAR'!B2063)</f>
        <v/>
      </c>
      <c r="C2045" s="5" t="str">
        <f>IF('FUENTE NO BORRAR'!C2063="","",'FUENTE NO BORRAR'!C2063)</f>
        <v>37014018F102</v>
      </c>
      <c r="D2045" s="5" t="str">
        <f>IF('FUENTE NO BORRAR'!D2063="","",'FUENTE NO BORRAR'!D2063)</f>
        <v>37014018F102</v>
      </c>
      <c r="E2045" s="5" t="str">
        <f>IF('FUENTE NO BORRAR'!E2063="","",'FUENTE NO BORRAR'!E2063)</f>
        <v/>
      </c>
      <c r="F2045" s="6">
        <f>IF('FUENTE NO BORRAR'!F2063="","",IF('FUENTE NO BORRAR'!$A2063&lt;&gt;"Resultado total",('FUENTE NO BORRAR'!F2063),""))</f>
        <v>2003434.09</v>
      </c>
      <c r="G2045" s="6">
        <f>IF('FUENTE NO BORRAR'!G2063="","",IF('FUENTE NO BORRAR'!$A2063&lt;&gt;"Resultado total",('FUENTE NO BORRAR'!G2063),""))</f>
        <v>2003434.09</v>
      </c>
      <c r="H2045" s="6">
        <f>IF('FUENTE NO BORRAR'!H2063="","",IF('FUENTE NO BORRAR'!$A2063&lt;&gt;"Resultado total",('FUENTE NO BORRAR'!H2063),""))</f>
        <v>2003434.09</v>
      </c>
      <c r="I2045" s="6">
        <f>IF('FUENTE NO BORRAR'!I2063="","",IF('FUENTE NO BORRAR'!$A2063&lt;&gt;"Resultado total",('FUENTE NO BORRAR'!I2063),""))</f>
        <v>0</v>
      </c>
    </row>
    <row r="2046" spans="1:9" x14ac:dyDescent="0.2">
      <c r="A2046" s="5" t="str">
        <f>IF('FUENTE NO BORRAR'!A2064="","",(IF('FUENTE NO BORRAR'!A2064&lt;&gt;"Resultado total",'FUENTE NO BORRAR'!A2064,"")))</f>
        <v/>
      </c>
      <c r="B2046" s="5" t="str">
        <f>IF('FUENTE NO BORRAR'!B2064="","",'FUENTE NO BORRAR'!B2064)</f>
        <v/>
      </c>
      <c r="C2046" s="5" t="str">
        <f>IF('FUENTE NO BORRAR'!C2064="","",'FUENTE NO BORRAR'!C2064)</f>
        <v/>
      </c>
      <c r="D2046" s="5" t="str">
        <f>IF('FUENTE NO BORRAR'!D2064="","",'FUENTE NO BORRAR'!D2064)</f>
        <v/>
      </c>
      <c r="E2046" s="5" t="str">
        <f>IF('FUENTE NO BORRAR'!E2064="","",'FUENTE NO BORRAR'!E2064)</f>
        <v/>
      </c>
      <c r="F2046" s="6">
        <f>IF('FUENTE NO BORRAR'!F2064="","",IF('FUENTE NO BORRAR'!$A2064&lt;&gt;"Resultado total",('FUENTE NO BORRAR'!F2064),""))</f>
        <v>1451723.81</v>
      </c>
      <c r="G2046" s="6">
        <f>IF('FUENTE NO BORRAR'!G2064="","",IF('FUENTE NO BORRAR'!$A2064&lt;&gt;"Resultado total",('FUENTE NO BORRAR'!G2064),""))</f>
        <v>1451723.81</v>
      </c>
      <c r="H2046" s="6">
        <f>IF('FUENTE NO BORRAR'!H2064="","",IF('FUENTE NO BORRAR'!$A2064&lt;&gt;"Resultado total",('FUENTE NO BORRAR'!H2064),""))</f>
        <v>1451723.81</v>
      </c>
      <c r="I2046" s="6">
        <f>IF('FUENTE NO BORRAR'!I2064="","",IF('FUENTE NO BORRAR'!$A2064&lt;&gt;"Resultado total",('FUENTE NO BORRAR'!I2064),""))</f>
        <v>0</v>
      </c>
    </row>
    <row r="2047" spans="1:9" x14ac:dyDescent="0.2">
      <c r="A2047" s="5" t="str">
        <f>IF('FUENTE NO BORRAR'!A2065="","",(IF('FUENTE NO BORRAR'!A2065&lt;&gt;"Resultado total",'FUENTE NO BORRAR'!A2065,"")))</f>
        <v/>
      </c>
      <c r="B2047" s="5" t="str">
        <f>IF('FUENTE NO BORRAR'!B2065="","",'FUENTE NO BORRAR'!B2065)</f>
        <v/>
      </c>
      <c r="C2047" s="5" t="str">
        <f>IF('FUENTE NO BORRAR'!C2065="","",'FUENTE NO BORRAR'!C2065)</f>
        <v/>
      </c>
      <c r="D2047" s="5" t="str">
        <f>IF('FUENTE NO BORRAR'!D2065="","",'FUENTE NO BORRAR'!D2065)</f>
        <v/>
      </c>
      <c r="E2047" s="5" t="str">
        <f>IF('FUENTE NO BORRAR'!E2065="","",'FUENTE NO BORRAR'!E2065)</f>
        <v/>
      </c>
      <c r="F2047" s="6">
        <f>IF('FUENTE NO BORRAR'!F2065="","",IF('FUENTE NO BORRAR'!$A2065&lt;&gt;"Resultado total",('FUENTE NO BORRAR'!F2065),""))</f>
        <v>0</v>
      </c>
      <c r="G2047" s="6">
        <f>IF('FUENTE NO BORRAR'!G2065="","",IF('FUENTE NO BORRAR'!$A2065&lt;&gt;"Resultado total",('FUENTE NO BORRAR'!G2065),""))</f>
        <v>0</v>
      </c>
      <c r="H2047" s="6">
        <f>IF('FUENTE NO BORRAR'!H2065="","",IF('FUENTE NO BORRAR'!$A2065&lt;&gt;"Resultado total",('FUENTE NO BORRAR'!H2065),""))</f>
        <v>0</v>
      </c>
      <c r="I2047" s="6">
        <f>IF('FUENTE NO BORRAR'!I2065="","",IF('FUENTE NO BORRAR'!$A2065&lt;&gt;"Resultado total",('FUENTE NO BORRAR'!I2065),""))</f>
        <v>0</v>
      </c>
    </row>
    <row r="2048" spans="1:9" x14ac:dyDescent="0.2">
      <c r="A2048" s="5" t="str">
        <f>IF('FUENTE NO BORRAR'!A2066="","",(IF('FUENTE NO BORRAR'!A2066&lt;&gt;"Resultado total",'FUENTE NO BORRAR'!A2066,"")))</f>
        <v/>
      </c>
      <c r="B2048" s="5" t="str">
        <f>IF('FUENTE NO BORRAR'!B2066="","",'FUENTE NO BORRAR'!B2066)</f>
        <v/>
      </c>
      <c r="C2048" s="5" t="str">
        <f>IF('FUENTE NO BORRAR'!C2066="","",'FUENTE NO BORRAR'!C2066)</f>
        <v/>
      </c>
      <c r="D2048" s="5" t="str">
        <f>IF('FUENTE NO BORRAR'!D2066="","",'FUENTE NO BORRAR'!D2066)</f>
        <v/>
      </c>
      <c r="E2048" s="5" t="str">
        <f>IF('FUENTE NO BORRAR'!E2066="","",'FUENTE NO BORRAR'!E2066)</f>
        <v/>
      </c>
      <c r="F2048" s="6">
        <f>IF('FUENTE NO BORRAR'!F2066="","",IF('FUENTE NO BORRAR'!$A2066&lt;&gt;"Resultado total",('FUENTE NO BORRAR'!F2066),""))</f>
        <v>493480.25</v>
      </c>
      <c r="G2048" s="6">
        <f>IF('FUENTE NO BORRAR'!G2066="","",IF('FUENTE NO BORRAR'!$A2066&lt;&gt;"Resultado total",('FUENTE NO BORRAR'!G2066),""))</f>
        <v>493480.25</v>
      </c>
      <c r="H2048" s="6">
        <f>IF('FUENTE NO BORRAR'!H2066="","",IF('FUENTE NO BORRAR'!$A2066&lt;&gt;"Resultado total",('FUENTE NO BORRAR'!H2066),""))</f>
        <v>493480.25</v>
      </c>
      <c r="I2048" s="6">
        <f>IF('FUENTE NO BORRAR'!I2066="","",IF('FUENTE NO BORRAR'!$A2066&lt;&gt;"Resultado total",('FUENTE NO BORRAR'!I2066),""))</f>
        <v>0</v>
      </c>
    </row>
    <row r="2049" spans="1:9" x14ac:dyDescent="0.2">
      <c r="A2049" s="5" t="str">
        <f>IF('FUENTE NO BORRAR'!A2067="","",(IF('FUENTE NO BORRAR'!A2067&lt;&gt;"Resultado total",'FUENTE NO BORRAR'!A2067,"")))</f>
        <v/>
      </c>
      <c r="B2049" s="5" t="str">
        <f>IF('FUENTE NO BORRAR'!B2067="","",'FUENTE NO BORRAR'!B2067)</f>
        <v/>
      </c>
      <c r="C2049" s="5" t="str">
        <f>IF('FUENTE NO BORRAR'!C2067="","",'FUENTE NO BORRAR'!C2067)</f>
        <v/>
      </c>
      <c r="D2049" s="5" t="str">
        <f>IF('FUENTE NO BORRAR'!D2067="","",'FUENTE NO BORRAR'!D2067)</f>
        <v/>
      </c>
      <c r="E2049" s="5" t="str">
        <f>IF('FUENTE NO BORRAR'!E2067="","",'FUENTE NO BORRAR'!E2067)</f>
        <v/>
      </c>
      <c r="F2049" s="6">
        <f>IF('FUENTE NO BORRAR'!F2067="","",IF('FUENTE NO BORRAR'!$A2067&lt;&gt;"Resultado total",('FUENTE NO BORRAR'!F2067),""))</f>
        <v>149141.4</v>
      </c>
      <c r="G2049" s="6">
        <f>IF('FUENTE NO BORRAR'!G2067="","",IF('FUENTE NO BORRAR'!$A2067&lt;&gt;"Resultado total",('FUENTE NO BORRAR'!G2067),""))</f>
        <v>149141.4</v>
      </c>
      <c r="H2049" s="6">
        <f>IF('FUENTE NO BORRAR'!H2067="","",IF('FUENTE NO BORRAR'!$A2067&lt;&gt;"Resultado total",('FUENTE NO BORRAR'!H2067),""))</f>
        <v>149141.4</v>
      </c>
      <c r="I2049" s="6">
        <f>IF('FUENTE NO BORRAR'!I2067="","",IF('FUENTE NO BORRAR'!$A2067&lt;&gt;"Resultado total",('FUENTE NO BORRAR'!I2067),""))</f>
        <v>0</v>
      </c>
    </row>
    <row r="2050" spans="1:9" x14ac:dyDescent="0.2">
      <c r="A2050" s="5" t="str">
        <f>IF('FUENTE NO BORRAR'!A2068="","",(IF('FUENTE NO BORRAR'!A2068&lt;&gt;"Resultado total",'FUENTE NO BORRAR'!A2068,"")))</f>
        <v/>
      </c>
      <c r="B2050" s="5" t="str">
        <f>IF('FUENTE NO BORRAR'!B2068="","",'FUENTE NO BORRAR'!B2068)</f>
        <v/>
      </c>
      <c r="C2050" s="5" t="str">
        <f>IF('FUENTE NO BORRAR'!C2068="","",'FUENTE NO BORRAR'!C2068)</f>
        <v/>
      </c>
      <c r="D2050" s="5" t="str">
        <f>IF('FUENTE NO BORRAR'!D2068="","",'FUENTE NO BORRAR'!D2068)</f>
        <v/>
      </c>
      <c r="E2050" s="5" t="str">
        <f>IF('FUENTE NO BORRAR'!E2068="","",'FUENTE NO BORRAR'!E2068)</f>
        <v/>
      </c>
      <c r="F2050" s="6">
        <f>IF('FUENTE NO BORRAR'!F2068="","",IF('FUENTE NO BORRAR'!$A2068&lt;&gt;"Resultado total",('FUENTE NO BORRAR'!F2068),""))</f>
        <v>42023.040000000001</v>
      </c>
      <c r="G2050" s="6">
        <f>IF('FUENTE NO BORRAR'!G2068="","",IF('FUENTE NO BORRAR'!$A2068&lt;&gt;"Resultado total",('FUENTE NO BORRAR'!G2068),""))</f>
        <v>42023.040000000001</v>
      </c>
      <c r="H2050" s="6">
        <f>IF('FUENTE NO BORRAR'!H2068="","",IF('FUENTE NO BORRAR'!$A2068&lt;&gt;"Resultado total",('FUENTE NO BORRAR'!H2068),""))</f>
        <v>42023.040000000001</v>
      </c>
      <c r="I2050" s="6">
        <f>IF('FUENTE NO BORRAR'!I2068="","",IF('FUENTE NO BORRAR'!$A2068&lt;&gt;"Resultado total",('FUENTE NO BORRAR'!I2068),""))</f>
        <v>0</v>
      </c>
    </row>
    <row r="2051" spans="1:9" x14ac:dyDescent="0.2">
      <c r="A2051" s="5" t="str">
        <f>IF('FUENTE NO BORRAR'!A2069="","",(IF('FUENTE NO BORRAR'!A2069&lt;&gt;"Resultado total",'FUENTE NO BORRAR'!A2069,"")))</f>
        <v/>
      </c>
      <c r="B2051" s="5" t="str">
        <f>IF('FUENTE NO BORRAR'!B2069="","",'FUENTE NO BORRAR'!B2069)</f>
        <v/>
      </c>
      <c r="C2051" s="5" t="str">
        <f>IF('FUENTE NO BORRAR'!C2069="","",'FUENTE NO BORRAR'!C2069)</f>
        <v/>
      </c>
      <c r="D2051" s="5" t="str">
        <f>IF('FUENTE NO BORRAR'!D2069="","",'FUENTE NO BORRAR'!D2069)</f>
        <v/>
      </c>
      <c r="E2051" s="5" t="str">
        <f>IF('FUENTE NO BORRAR'!E2069="","",'FUENTE NO BORRAR'!E2069)</f>
        <v/>
      </c>
      <c r="F2051" s="6">
        <f>IF('FUENTE NO BORRAR'!F2069="","",IF('FUENTE NO BORRAR'!$A2069&lt;&gt;"Resultado total",('FUENTE NO BORRAR'!F2069),""))</f>
        <v>141804.88</v>
      </c>
      <c r="G2051" s="6">
        <f>IF('FUENTE NO BORRAR'!G2069="","",IF('FUENTE NO BORRAR'!$A2069&lt;&gt;"Resultado total",('FUENTE NO BORRAR'!G2069),""))</f>
        <v>141804.88</v>
      </c>
      <c r="H2051" s="6">
        <f>IF('FUENTE NO BORRAR'!H2069="","",IF('FUENTE NO BORRAR'!$A2069&lt;&gt;"Resultado total",('FUENTE NO BORRAR'!H2069),""))</f>
        <v>141804.88</v>
      </c>
      <c r="I2051" s="6">
        <f>IF('FUENTE NO BORRAR'!I2069="","",IF('FUENTE NO BORRAR'!$A2069&lt;&gt;"Resultado total",('FUENTE NO BORRAR'!I2069),""))</f>
        <v>0</v>
      </c>
    </row>
    <row r="2052" spans="1:9" x14ac:dyDescent="0.2">
      <c r="A2052" s="5" t="str">
        <f>IF('FUENTE NO BORRAR'!A2070="","",(IF('FUENTE NO BORRAR'!A2070&lt;&gt;"Resultado total",'FUENTE NO BORRAR'!A2070,"")))</f>
        <v/>
      </c>
      <c r="B2052" s="5" t="str">
        <f>IF('FUENTE NO BORRAR'!B2070="","",'FUENTE NO BORRAR'!B2070)</f>
        <v/>
      </c>
      <c r="C2052" s="5" t="str">
        <f>IF('FUENTE NO BORRAR'!C2070="","",'FUENTE NO BORRAR'!C2070)</f>
        <v/>
      </c>
      <c r="D2052" s="5" t="str">
        <f>IF('FUENTE NO BORRAR'!D2070="","",'FUENTE NO BORRAR'!D2070)</f>
        <v/>
      </c>
      <c r="E2052" s="5" t="str">
        <f>IF('FUENTE NO BORRAR'!E2070="","",'FUENTE NO BORRAR'!E2070)</f>
        <v/>
      </c>
      <c r="F2052" s="6">
        <f>IF('FUENTE NO BORRAR'!F2070="","",IF('FUENTE NO BORRAR'!$A2070&lt;&gt;"Resultado total",('FUENTE NO BORRAR'!F2070),""))</f>
        <v>709640.98</v>
      </c>
      <c r="G2052" s="6">
        <f>IF('FUENTE NO BORRAR'!G2070="","",IF('FUENTE NO BORRAR'!$A2070&lt;&gt;"Resultado total",('FUENTE NO BORRAR'!G2070),""))</f>
        <v>709640.98</v>
      </c>
      <c r="H2052" s="6">
        <f>IF('FUENTE NO BORRAR'!H2070="","",IF('FUENTE NO BORRAR'!$A2070&lt;&gt;"Resultado total",('FUENTE NO BORRAR'!H2070),""))</f>
        <v>709640.98</v>
      </c>
      <c r="I2052" s="6">
        <f>IF('FUENTE NO BORRAR'!I2070="","",IF('FUENTE NO BORRAR'!$A2070&lt;&gt;"Resultado total",('FUENTE NO BORRAR'!I2070),""))</f>
        <v>0</v>
      </c>
    </row>
    <row r="2053" spans="1:9" x14ac:dyDescent="0.2">
      <c r="A2053" s="5" t="str">
        <f>IF('FUENTE NO BORRAR'!A2071="","",(IF('FUENTE NO BORRAR'!A2071&lt;&gt;"Resultado total",'FUENTE NO BORRAR'!A2071,"")))</f>
        <v/>
      </c>
      <c r="B2053" s="5" t="str">
        <f>IF('FUENTE NO BORRAR'!B2071="","",'FUENTE NO BORRAR'!B2071)</f>
        <v/>
      </c>
      <c r="C2053" s="5" t="str">
        <f>IF('FUENTE NO BORRAR'!C2071="","",'FUENTE NO BORRAR'!C2071)</f>
        <v/>
      </c>
      <c r="D2053" s="5" t="str">
        <f>IF('FUENTE NO BORRAR'!D2071="","",'FUENTE NO BORRAR'!D2071)</f>
        <v/>
      </c>
      <c r="E2053" s="5" t="str">
        <f>IF('FUENTE NO BORRAR'!E2071="","",'FUENTE NO BORRAR'!E2071)</f>
        <v/>
      </c>
      <c r="F2053" s="6">
        <f>IF('FUENTE NO BORRAR'!F2071="","",IF('FUENTE NO BORRAR'!$A2071&lt;&gt;"Resultado total",('FUENTE NO BORRAR'!F2071),""))</f>
        <v>3852755.02</v>
      </c>
      <c r="G2053" s="6">
        <f>IF('FUENTE NO BORRAR'!G2071="","",IF('FUENTE NO BORRAR'!$A2071&lt;&gt;"Resultado total",('FUENTE NO BORRAR'!G2071),""))</f>
        <v>3852755.02</v>
      </c>
      <c r="H2053" s="6">
        <f>IF('FUENTE NO BORRAR'!H2071="","",IF('FUENTE NO BORRAR'!$A2071&lt;&gt;"Resultado total",('FUENTE NO BORRAR'!H2071),""))</f>
        <v>3915739.68</v>
      </c>
      <c r="I2053" s="6">
        <f>IF('FUENTE NO BORRAR'!I2071="","",IF('FUENTE NO BORRAR'!$A2071&lt;&gt;"Resultado total",('FUENTE NO BORRAR'!I2071),""))</f>
        <v>-2.0000000000000001E-9</v>
      </c>
    </row>
    <row r="2054" spans="1:9" x14ac:dyDescent="0.2">
      <c r="A2054" s="5" t="str">
        <f>IF('FUENTE NO BORRAR'!A2072="","",(IF('FUENTE NO BORRAR'!A2072&lt;&gt;"Resultado total",'FUENTE NO BORRAR'!A2072,"")))</f>
        <v/>
      </c>
      <c r="B2054" s="5" t="str">
        <f>IF('FUENTE NO BORRAR'!B2072="","",'FUENTE NO BORRAR'!B2072)</f>
        <v/>
      </c>
      <c r="C2054" s="5" t="str">
        <f>IF('FUENTE NO BORRAR'!C2072="","",'FUENTE NO BORRAR'!C2072)</f>
        <v/>
      </c>
      <c r="D2054" s="5" t="str">
        <f>IF('FUENTE NO BORRAR'!D2072="","",'FUENTE NO BORRAR'!D2072)</f>
        <v/>
      </c>
      <c r="E2054" s="5" t="str">
        <f>IF('FUENTE NO BORRAR'!E2072="","",'FUENTE NO BORRAR'!E2072)</f>
        <v/>
      </c>
      <c r="F2054" s="6">
        <f>IF('FUENTE NO BORRAR'!F2072="","",IF('FUENTE NO BORRAR'!$A2072&lt;&gt;"Resultado total",('FUENTE NO BORRAR'!F2072),""))</f>
        <v>2570536.85</v>
      </c>
      <c r="G2054" s="6">
        <f>IF('FUENTE NO BORRAR'!G2072="","",IF('FUENTE NO BORRAR'!$A2072&lt;&gt;"Resultado total",('FUENTE NO BORRAR'!G2072),""))</f>
        <v>2570536.85</v>
      </c>
      <c r="H2054" s="6">
        <f>IF('FUENTE NO BORRAR'!H2072="","",IF('FUENTE NO BORRAR'!$A2072&lt;&gt;"Resultado total",('FUENTE NO BORRAR'!H2072),""))</f>
        <v>2570536.85</v>
      </c>
      <c r="I2054" s="6">
        <f>IF('FUENTE NO BORRAR'!I2072="","",IF('FUENTE NO BORRAR'!$A2072&lt;&gt;"Resultado total",('FUENTE NO BORRAR'!I2072),""))</f>
        <v>0</v>
      </c>
    </row>
    <row r="2055" spans="1:9" x14ac:dyDescent="0.2">
      <c r="A2055" s="5" t="str">
        <f>IF('FUENTE NO BORRAR'!A2073="","",(IF('FUENTE NO BORRAR'!A2073&lt;&gt;"Resultado total",'FUENTE NO BORRAR'!A2073,"")))</f>
        <v/>
      </c>
      <c r="B2055" s="5" t="str">
        <f>IF('FUENTE NO BORRAR'!B2073="","",'FUENTE NO BORRAR'!B2073)</f>
        <v/>
      </c>
      <c r="C2055" s="5" t="str">
        <f>IF('FUENTE NO BORRAR'!C2073="","",'FUENTE NO BORRAR'!C2073)</f>
        <v/>
      </c>
      <c r="D2055" s="5" t="str">
        <f>IF('FUENTE NO BORRAR'!D2073="","",'FUENTE NO BORRAR'!D2073)</f>
        <v/>
      </c>
      <c r="E2055" s="5" t="str">
        <f>IF('FUENTE NO BORRAR'!E2073="","",'FUENTE NO BORRAR'!E2073)</f>
        <v/>
      </c>
      <c r="F2055" s="6">
        <f>IF('FUENTE NO BORRAR'!F2073="","",IF('FUENTE NO BORRAR'!$A2073&lt;&gt;"Resultado total",('FUENTE NO BORRAR'!F2073),""))</f>
        <v>750514.63</v>
      </c>
      <c r="G2055" s="6">
        <f>IF('FUENTE NO BORRAR'!G2073="","",IF('FUENTE NO BORRAR'!$A2073&lt;&gt;"Resultado total",('FUENTE NO BORRAR'!G2073),""))</f>
        <v>750514.63</v>
      </c>
      <c r="H2055" s="6">
        <f>IF('FUENTE NO BORRAR'!H2073="","",IF('FUENTE NO BORRAR'!$A2073&lt;&gt;"Resultado total",('FUENTE NO BORRAR'!H2073),""))</f>
        <v>750514.63</v>
      </c>
      <c r="I2055" s="6">
        <f>IF('FUENTE NO BORRAR'!I2073="","",IF('FUENTE NO BORRAR'!$A2073&lt;&gt;"Resultado total",('FUENTE NO BORRAR'!I2073),""))</f>
        <v>0</v>
      </c>
    </row>
    <row r="2056" spans="1:9" x14ac:dyDescent="0.2">
      <c r="A2056" s="5" t="str">
        <f>IF('FUENTE NO BORRAR'!A2074="","",(IF('FUENTE NO BORRAR'!A2074&lt;&gt;"Resultado total",'FUENTE NO BORRAR'!A2074,"")))</f>
        <v/>
      </c>
      <c r="B2056" s="5" t="str">
        <f>IF('FUENTE NO BORRAR'!B2074="","",'FUENTE NO BORRAR'!B2074)</f>
        <v/>
      </c>
      <c r="C2056" s="5" t="str">
        <f>IF('FUENTE NO BORRAR'!C2074="","",'FUENTE NO BORRAR'!C2074)</f>
        <v/>
      </c>
      <c r="D2056" s="5" t="str">
        <f>IF('FUENTE NO BORRAR'!D2074="","",'FUENTE NO BORRAR'!D2074)</f>
        <v/>
      </c>
      <c r="E2056" s="5" t="str">
        <f>IF('FUENTE NO BORRAR'!E2074="","",'FUENTE NO BORRAR'!E2074)</f>
        <v/>
      </c>
      <c r="F2056" s="6">
        <f>IF('FUENTE NO BORRAR'!F2074="","",IF('FUENTE NO BORRAR'!$A2074&lt;&gt;"Resultado total",('FUENTE NO BORRAR'!F2074),""))</f>
        <v>245375</v>
      </c>
      <c r="G2056" s="6">
        <f>IF('FUENTE NO BORRAR'!G2074="","",IF('FUENTE NO BORRAR'!$A2074&lt;&gt;"Resultado total",('FUENTE NO BORRAR'!G2074),""))</f>
        <v>245375</v>
      </c>
      <c r="H2056" s="6">
        <f>IF('FUENTE NO BORRAR'!H2074="","",IF('FUENTE NO BORRAR'!$A2074&lt;&gt;"Resultado total",('FUENTE NO BORRAR'!H2074),""))</f>
        <v>245375</v>
      </c>
      <c r="I2056" s="6">
        <f>IF('FUENTE NO BORRAR'!I2074="","",IF('FUENTE NO BORRAR'!$A2074&lt;&gt;"Resultado total",('FUENTE NO BORRAR'!I2074),""))</f>
        <v>0</v>
      </c>
    </row>
    <row r="2057" spans="1:9" x14ac:dyDescent="0.2">
      <c r="A2057" s="5" t="str">
        <f>IF('FUENTE NO BORRAR'!A2075="","",(IF('FUENTE NO BORRAR'!A2075&lt;&gt;"Resultado total",'FUENTE NO BORRAR'!A2075,"")))</f>
        <v/>
      </c>
      <c r="B2057" s="5" t="str">
        <f>IF('FUENTE NO BORRAR'!B2075="","",'FUENTE NO BORRAR'!B2075)</f>
        <v/>
      </c>
      <c r="C2057" s="5" t="str">
        <f>IF('FUENTE NO BORRAR'!C2075="","",'FUENTE NO BORRAR'!C2075)</f>
        <v/>
      </c>
      <c r="D2057" s="5" t="str">
        <f>IF('FUENTE NO BORRAR'!D2075="","",'FUENTE NO BORRAR'!D2075)</f>
        <v/>
      </c>
      <c r="E2057" s="5" t="str">
        <f>IF('FUENTE NO BORRAR'!E2075="","",'FUENTE NO BORRAR'!E2075)</f>
        <v/>
      </c>
      <c r="F2057" s="6">
        <f>IF('FUENTE NO BORRAR'!F2075="","",IF('FUENTE NO BORRAR'!$A2075&lt;&gt;"Resultado total",('FUENTE NO BORRAR'!F2075),""))</f>
        <v>115564.46</v>
      </c>
      <c r="G2057" s="6">
        <f>IF('FUENTE NO BORRAR'!G2075="","",IF('FUENTE NO BORRAR'!$A2075&lt;&gt;"Resultado total",('FUENTE NO BORRAR'!G2075),""))</f>
        <v>115564.46</v>
      </c>
      <c r="H2057" s="6">
        <f>IF('FUENTE NO BORRAR'!H2075="","",IF('FUENTE NO BORRAR'!$A2075&lt;&gt;"Resultado total",('FUENTE NO BORRAR'!H2075),""))</f>
        <v>115564.46</v>
      </c>
      <c r="I2057" s="6">
        <f>IF('FUENTE NO BORRAR'!I2075="","",IF('FUENTE NO BORRAR'!$A2075&lt;&gt;"Resultado total",('FUENTE NO BORRAR'!I2075),""))</f>
        <v>0</v>
      </c>
    </row>
    <row r="2058" spans="1:9" x14ac:dyDescent="0.2">
      <c r="A2058" s="5" t="str">
        <f>IF('FUENTE NO BORRAR'!A2076="","",(IF('FUENTE NO BORRAR'!A2076&lt;&gt;"Resultado total",'FUENTE NO BORRAR'!A2076,"")))</f>
        <v/>
      </c>
      <c r="B2058" s="5" t="str">
        <f>IF('FUENTE NO BORRAR'!B2076="","",'FUENTE NO BORRAR'!B2076)</f>
        <v/>
      </c>
      <c r="C2058" s="5" t="str">
        <f>IF('FUENTE NO BORRAR'!C2076="","",'FUENTE NO BORRAR'!C2076)</f>
        <v/>
      </c>
      <c r="D2058" s="5" t="str">
        <f>IF('FUENTE NO BORRAR'!D2076="","",'FUENTE NO BORRAR'!D2076)</f>
        <v/>
      </c>
      <c r="E2058" s="5" t="str">
        <f>IF('FUENTE NO BORRAR'!E2076="","",'FUENTE NO BORRAR'!E2076)</f>
        <v/>
      </c>
      <c r="F2058" s="6">
        <f>IF('FUENTE NO BORRAR'!F2076="","",IF('FUENTE NO BORRAR'!$A2076&lt;&gt;"Resultado total",('FUENTE NO BORRAR'!F2076),""))</f>
        <v>414941.16</v>
      </c>
      <c r="G2058" s="6">
        <f>IF('FUENTE NO BORRAR'!G2076="","",IF('FUENTE NO BORRAR'!$A2076&lt;&gt;"Resultado total",('FUENTE NO BORRAR'!G2076),""))</f>
        <v>414941.16</v>
      </c>
      <c r="H2058" s="6">
        <f>IF('FUENTE NO BORRAR'!H2076="","",IF('FUENTE NO BORRAR'!$A2076&lt;&gt;"Resultado total",('FUENTE NO BORRAR'!H2076),""))</f>
        <v>414941.16</v>
      </c>
      <c r="I2058" s="6">
        <f>IF('FUENTE NO BORRAR'!I2076="","",IF('FUENTE NO BORRAR'!$A2076&lt;&gt;"Resultado total",('FUENTE NO BORRAR'!I2076),""))</f>
        <v>0</v>
      </c>
    </row>
    <row r="2059" spans="1:9" x14ac:dyDescent="0.2">
      <c r="A2059" s="5" t="str">
        <f>IF('FUENTE NO BORRAR'!A2077="","",(IF('FUENTE NO BORRAR'!A2077&lt;&gt;"Resultado total",'FUENTE NO BORRAR'!A2077,"")))</f>
        <v/>
      </c>
      <c r="B2059" s="5" t="str">
        <f>IF('FUENTE NO BORRAR'!B2077="","",'FUENTE NO BORRAR'!B2077)</f>
        <v/>
      </c>
      <c r="C2059" s="5" t="str">
        <f>IF('FUENTE NO BORRAR'!C2077="","",'FUENTE NO BORRAR'!C2077)</f>
        <v/>
      </c>
      <c r="D2059" s="5" t="str">
        <f>IF('FUENTE NO BORRAR'!D2077="","",'FUENTE NO BORRAR'!D2077)</f>
        <v/>
      </c>
      <c r="E2059" s="5" t="str">
        <f>IF('FUENTE NO BORRAR'!E2077="","",'FUENTE NO BORRAR'!E2077)</f>
        <v/>
      </c>
      <c r="F2059" s="6">
        <f>IF('FUENTE NO BORRAR'!F2077="","",IF('FUENTE NO BORRAR'!$A2077&lt;&gt;"Resultado total",('FUENTE NO BORRAR'!F2077),""))</f>
        <v>1810058.66</v>
      </c>
      <c r="G2059" s="6">
        <f>IF('FUENTE NO BORRAR'!G2077="","",IF('FUENTE NO BORRAR'!$A2077&lt;&gt;"Resultado total",('FUENTE NO BORRAR'!G2077),""))</f>
        <v>1810058.66</v>
      </c>
      <c r="H2059" s="6">
        <f>IF('FUENTE NO BORRAR'!H2077="","",IF('FUENTE NO BORRAR'!$A2077&lt;&gt;"Resultado total",('FUENTE NO BORRAR'!H2077),""))</f>
        <v>1810058.66</v>
      </c>
      <c r="I2059" s="6">
        <f>IF('FUENTE NO BORRAR'!I2077="","",IF('FUENTE NO BORRAR'!$A2077&lt;&gt;"Resultado total",('FUENTE NO BORRAR'!I2077),""))</f>
        <v>0</v>
      </c>
    </row>
    <row r="2060" spans="1:9" x14ac:dyDescent="0.2">
      <c r="A2060" s="5" t="str">
        <f>IF('FUENTE NO BORRAR'!A2078="","",(IF('FUENTE NO BORRAR'!A2078&lt;&gt;"Resultado total",'FUENTE NO BORRAR'!A2078,"")))</f>
        <v/>
      </c>
      <c r="B2060" s="5" t="str">
        <f>IF('FUENTE NO BORRAR'!B2078="","",'FUENTE NO BORRAR'!B2078)</f>
        <v/>
      </c>
      <c r="C2060" s="5" t="str">
        <f>IF('FUENTE NO BORRAR'!C2078="","",'FUENTE NO BORRAR'!C2078)</f>
        <v/>
      </c>
      <c r="D2060" s="5" t="str">
        <f>IF('FUENTE NO BORRAR'!D2078="","",'FUENTE NO BORRAR'!D2078)</f>
        <v/>
      </c>
      <c r="E2060" s="5" t="str">
        <f>IF('FUENTE NO BORRAR'!E2078="","",'FUENTE NO BORRAR'!E2078)</f>
        <v/>
      </c>
      <c r="F2060" s="6">
        <f>IF('FUENTE NO BORRAR'!F2078="","",IF('FUENTE NO BORRAR'!$A2078&lt;&gt;"Resultado total",('FUENTE NO BORRAR'!F2078),""))</f>
        <v>74389.37</v>
      </c>
      <c r="G2060" s="6">
        <f>IF('FUENTE NO BORRAR'!G2078="","",IF('FUENTE NO BORRAR'!$A2078&lt;&gt;"Resultado total",('FUENTE NO BORRAR'!G2078),""))</f>
        <v>74389.37</v>
      </c>
      <c r="H2060" s="6">
        <f>IF('FUENTE NO BORRAR'!H2078="","",IF('FUENTE NO BORRAR'!$A2078&lt;&gt;"Resultado total",('FUENTE NO BORRAR'!H2078),""))</f>
        <v>74389.37</v>
      </c>
      <c r="I2060" s="6">
        <f>IF('FUENTE NO BORRAR'!I2078="","",IF('FUENTE NO BORRAR'!$A2078&lt;&gt;"Resultado total",('FUENTE NO BORRAR'!I2078),""))</f>
        <v>0</v>
      </c>
    </row>
    <row r="2061" spans="1:9" x14ac:dyDescent="0.2">
      <c r="A2061" s="5" t="str">
        <f>IF('FUENTE NO BORRAR'!A2079="","",(IF('FUENTE NO BORRAR'!A2079&lt;&gt;"Resultado total",'FUENTE NO BORRAR'!A2079,"")))</f>
        <v/>
      </c>
      <c r="B2061" s="5" t="str">
        <f>IF('FUENTE NO BORRAR'!B2079="","",'FUENTE NO BORRAR'!B2079)</f>
        <v/>
      </c>
      <c r="C2061" s="5" t="str">
        <f>IF('FUENTE NO BORRAR'!C2079="","",'FUENTE NO BORRAR'!C2079)</f>
        <v/>
      </c>
      <c r="D2061" s="5" t="str">
        <f>IF('FUENTE NO BORRAR'!D2079="","",'FUENTE NO BORRAR'!D2079)</f>
        <v/>
      </c>
      <c r="E2061" s="5" t="str">
        <f>IF('FUENTE NO BORRAR'!E2079="","",'FUENTE NO BORRAR'!E2079)</f>
        <v/>
      </c>
      <c r="F2061" s="6">
        <f>IF('FUENTE NO BORRAR'!F2079="","",IF('FUENTE NO BORRAR'!$A2079&lt;&gt;"Resultado total",('FUENTE NO BORRAR'!F2079),""))</f>
        <v>315.01</v>
      </c>
      <c r="G2061" s="6">
        <f>IF('FUENTE NO BORRAR'!G2079="","",IF('FUENTE NO BORRAR'!$A2079&lt;&gt;"Resultado total",('FUENTE NO BORRAR'!G2079),""))</f>
        <v>315.01</v>
      </c>
      <c r="H2061" s="6">
        <f>IF('FUENTE NO BORRAR'!H2079="","",IF('FUENTE NO BORRAR'!$A2079&lt;&gt;"Resultado total",('FUENTE NO BORRAR'!H2079),""))</f>
        <v>315.01</v>
      </c>
      <c r="I2061" s="6">
        <f>IF('FUENTE NO BORRAR'!I2079="","",IF('FUENTE NO BORRAR'!$A2079&lt;&gt;"Resultado total",('FUENTE NO BORRAR'!I2079),""))</f>
        <v>0</v>
      </c>
    </row>
    <row r="2062" spans="1:9" x14ac:dyDescent="0.2">
      <c r="A2062" s="5" t="str">
        <f>IF('FUENTE NO BORRAR'!A2080="","",(IF('FUENTE NO BORRAR'!A2080&lt;&gt;"Resultado total",'FUENTE NO BORRAR'!A2080,"")))</f>
        <v/>
      </c>
      <c r="B2062" s="5" t="str">
        <f>IF('FUENTE NO BORRAR'!B2080="","",'FUENTE NO BORRAR'!B2080)</f>
        <v/>
      </c>
      <c r="C2062" s="5" t="str">
        <f>IF('FUENTE NO BORRAR'!C2080="","",'FUENTE NO BORRAR'!C2080)</f>
        <v/>
      </c>
      <c r="D2062" s="5" t="str">
        <f>IF('FUENTE NO BORRAR'!D2080="","",'FUENTE NO BORRAR'!D2080)</f>
        <v/>
      </c>
      <c r="E2062" s="5" t="str">
        <f>IF('FUENTE NO BORRAR'!E2080="","",'FUENTE NO BORRAR'!E2080)</f>
        <v/>
      </c>
      <c r="F2062" s="6">
        <f>IF('FUENTE NO BORRAR'!F2080="","",IF('FUENTE NO BORRAR'!$A2080&lt;&gt;"Resultado total",('FUENTE NO BORRAR'!F2080),""))</f>
        <v>5762.3</v>
      </c>
      <c r="G2062" s="6">
        <f>IF('FUENTE NO BORRAR'!G2080="","",IF('FUENTE NO BORRAR'!$A2080&lt;&gt;"Resultado total",('FUENTE NO BORRAR'!G2080),""))</f>
        <v>5762.3</v>
      </c>
      <c r="H2062" s="6">
        <f>IF('FUENTE NO BORRAR'!H2080="","",IF('FUENTE NO BORRAR'!$A2080&lt;&gt;"Resultado total",('FUENTE NO BORRAR'!H2080),""))</f>
        <v>5762.3</v>
      </c>
      <c r="I2062" s="6">
        <f>IF('FUENTE NO BORRAR'!I2080="","",IF('FUENTE NO BORRAR'!$A2080&lt;&gt;"Resultado total",('FUENTE NO BORRAR'!I2080),""))</f>
        <v>0</v>
      </c>
    </row>
    <row r="2063" spans="1:9" x14ac:dyDescent="0.2">
      <c r="A2063" s="5" t="str">
        <f>IF('FUENTE NO BORRAR'!A2081="","",(IF('FUENTE NO BORRAR'!A2081&lt;&gt;"Resultado total",'FUENTE NO BORRAR'!A2081,"")))</f>
        <v/>
      </c>
      <c r="B2063" s="5" t="str">
        <f>IF('FUENTE NO BORRAR'!B2081="","",'FUENTE NO BORRAR'!B2081)</f>
        <v/>
      </c>
      <c r="C2063" s="5" t="str">
        <f>IF('FUENTE NO BORRAR'!C2081="","",'FUENTE NO BORRAR'!C2081)</f>
        <v/>
      </c>
      <c r="D2063" s="5" t="str">
        <f>IF('FUENTE NO BORRAR'!D2081="","",'FUENTE NO BORRAR'!D2081)</f>
        <v/>
      </c>
      <c r="E2063" s="5" t="str">
        <f>IF('FUENTE NO BORRAR'!E2081="","",'FUENTE NO BORRAR'!E2081)</f>
        <v/>
      </c>
      <c r="F2063" s="6">
        <f>IF('FUENTE NO BORRAR'!F2081="","",IF('FUENTE NO BORRAR'!$A2081&lt;&gt;"Resultado total",('FUENTE NO BORRAR'!F2081),""))</f>
        <v>0</v>
      </c>
      <c r="G2063" s="6">
        <f>IF('FUENTE NO BORRAR'!G2081="","",IF('FUENTE NO BORRAR'!$A2081&lt;&gt;"Resultado total",('FUENTE NO BORRAR'!G2081),""))</f>
        <v>0</v>
      </c>
      <c r="H2063" s="6">
        <f>IF('FUENTE NO BORRAR'!H2081="","",IF('FUENTE NO BORRAR'!$A2081&lt;&gt;"Resultado total",('FUENTE NO BORRAR'!H2081),""))</f>
        <v>0</v>
      </c>
      <c r="I2063" s="6">
        <f>IF('FUENTE NO BORRAR'!I2081="","",IF('FUENTE NO BORRAR'!$A2081&lt;&gt;"Resultado total",('FUENTE NO BORRAR'!I2081),""))</f>
        <v>0</v>
      </c>
    </row>
    <row r="2064" spans="1:9" x14ac:dyDescent="0.2">
      <c r="A2064" s="5" t="str">
        <f>IF('FUENTE NO BORRAR'!A2082="","",(IF('FUENTE NO BORRAR'!A2082&lt;&gt;"Resultado total",'FUENTE NO BORRAR'!A2082,"")))</f>
        <v/>
      </c>
      <c r="B2064" s="5" t="str">
        <f>IF('FUENTE NO BORRAR'!B2082="","",'FUENTE NO BORRAR'!B2082)</f>
        <v/>
      </c>
      <c r="C2064" s="5" t="str">
        <f>IF('FUENTE NO BORRAR'!C2082="","",'FUENTE NO BORRAR'!C2082)</f>
        <v/>
      </c>
      <c r="D2064" s="5" t="str">
        <f>IF('FUENTE NO BORRAR'!D2082="","",'FUENTE NO BORRAR'!D2082)</f>
        <v/>
      </c>
      <c r="E2064" s="5" t="str">
        <f>IF('FUENTE NO BORRAR'!E2082="","",'FUENTE NO BORRAR'!E2082)</f>
        <v/>
      </c>
      <c r="F2064" s="6">
        <f>IF('FUENTE NO BORRAR'!F2082="","",IF('FUENTE NO BORRAR'!$A2082&lt;&gt;"Resultado total",('FUENTE NO BORRAR'!F2082),""))</f>
        <v>3955.6</v>
      </c>
      <c r="G2064" s="6">
        <f>IF('FUENTE NO BORRAR'!G2082="","",IF('FUENTE NO BORRAR'!$A2082&lt;&gt;"Resultado total",('FUENTE NO BORRAR'!G2082),""))</f>
        <v>3955.6</v>
      </c>
      <c r="H2064" s="6">
        <f>IF('FUENTE NO BORRAR'!H2082="","",IF('FUENTE NO BORRAR'!$A2082&lt;&gt;"Resultado total",('FUENTE NO BORRAR'!H2082),""))</f>
        <v>3955.6</v>
      </c>
      <c r="I2064" s="6">
        <f>IF('FUENTE NO BORRAR'!I2082="","",IF('FUENTE NO BORRAR'!$A2082&lt;&gt;"Resultado total",('FUENTE NO BORRAR'!I2082),""))</f>
        <v>0</v>
      </c>
    </row>
    <row r="2065" spans="1:9" x14ac:dyDescent="0.2">
      <c r="A2065" s="5" t="str">
        <f>IF('FUENTE NO BORRAR'!A2083="","",(IF('FUENTE NO BORRAR'!A2083&lt;&gt;"Resultado total",'FUENTE NO BORRAR'!A2083,"")))</f>
        <v/>
      </c>
      <c r="B2065" s="5" t="str">
        <f>IF('FUENTE NO BORRAR'!B2083="","",'FUENTE NO BORRAR'!B2083)</f>
        <v/>
      </c>
      <c r="C2065" s="5" t="str">
        <f>IF('FUENTE NO BORRAR'!C2083="","",'FUENTE NO BORRAR'!C2083)</f>
        <v/>
      </c>
      <c r="D2065" s="5" t="str">
        <f>IF('FUENTE NO BORRAR'!D2083="","",'FUENTE NO BORRAR'!D2083)</f>
        <v/>
      </c>
      <c r="E2065" s="5" t="str">
        <f>IF('FUENTE NO BORRAR'!E2083="","",'FUENTE NO BORRAR'!E2083)</f>
        <v/>
      </c>
      <c r="F2065" s="6">
        <f>IF('FUENTE NO BORRAR'!F2083="","",IF('FUENTE NO BORRAR'!$A2083&lt;&gt;"Resultado total",('FUENTE NO BORRAR'!F2083),""))</f>
        <v>2050</v>
      </c>
      <c r="G2065" s="6">
        <f>IF('FUENTE NO BORRAR'!G2083="","",IF('FUENTE NO BORRAR'!$A2083&lt;&gt;"Resultado total",('FUENTE NO BORRAR'!G2083),""))</f>
        <v>2050</v>
      </c>
      <c r="H2065" s="6">
        <f>IF('FUENTE NO BORRAR'!H2083="","",IF('FUENTE NO BORRAR'!$A2083&lt;&gt;"Resultado total",('FUENTE NO BORRAR'!H2083),""))</f>
        <v>2050</v>
      </c>
      <c r="I2065" s="6">
        <f>IF('FUENTE NO BORRAR'!I2083="","",IF('FUENTE NO BORRAR'!$A2083&lt;&gt;"Resultado total",('FUENTE NO BORRAR'!I2083),""))</f>
        <v>0</v>
      </c>
    </row>
    <row r="2066" spans="1:9" x14ac:dyDescent="0.2">
      <c r="A2066" s="5" t="str">
        <f>IF('FUENTE NO BORRAR'!A2084="","",(IF('FUENTE NO BORRAR'!A2084&lt;&gt;"Resultado total",'FUENTE NO BORRAR'!A2084,"")))</f>
        <v/>
      </c>
      <c r="B2066" s="5" t="str">
        <f>IF('FUENTE NO BORRAR'!B2084="","",'FUENTE NO BORRAR'!B2084)</f>
        <v/>
      </c>
      <c r="C2066" s="5" t="str">
        <f>IF('FUENTE NO BORRAR'!C2084="","",'FUENTE NO BORRAR'!C2084)</f>
        <v/>
      </c>
      <c r="D2066" s="5" t="str">
        <f>IF('FUENTE NO BORRAR'!D2084="","",'FUENTE NO BORRAR'!D2084)</f>
        <v/>
      </c>
      <c r="E2066" s="5" t="str">
        <f>IF('FUENTE NO BORRAR'!E2084="","",'FUENTE NO BORRAR'!E2084)</f>
        <v/>
      </c>
      <c r="F2066" s="6">
        <f>IF('FUENTE NO BORRAR'!F2084="","",IF('FUENTE NO BORRAR'!$A2084&lt;&gt;"Resultado total",('FUENTE NO BORRAR'!F2084),""))</f>
        <v>370</v>
      </c>
      <c r="G2066" s="6">
        <f>IF('FUENTE NO BORRAR'!G2084="","",IF('FUENTE NO BORRAR'!$A2084&lt;&gt;"Resultado total",('FUENTE NO BORRAR'!G2084),""))</f>
        <v>370</v>
      </c>
      <c r="H2066" s="6">
        <f>IF('FUENTE NO BORRAR'!H2084="","",IF('FUENTE NO BORRAR'!$A2084&lt;&gt;"Resultado total",('FUENTE NO BORRAR'!H2084),""))</f>
        <v>370</v>
      </c>
      <c r="I2066" s="6">
        <f>IF('FUENTE NO BORRAR'!I2084="","",IF('FUENTE NO BORRAR'!$A2084&lt;&gt;"Resultado total",('FUENTE NO BORRAR'!I2084),""))</f>
        <v>0</v>
      </c>
    </row>
    <row r="2067" spans="1:9" x14ac:dyDescent="0.2">
      <c r="A2067" s="5" t="str">
        <f>IF('FUENTE NO BORRAR'!A2085="","",(IF('FUENTE NO BORRAR'!A2085&lt;&gt;"Resultado total",'FUENTE NO BORRAR'!A2085,"")))</f>
        <v/>
      </c>
      <c r="B2067" s="5" t="str">
        <f>IF('FUENTE NO BORRAR'!B2085="","",'FUENTE NO BORRAR'!B2085)</f>
        <v/>
      </c>
      <c r="C2067" s="5" t="str">
        <f>IF('FUENTE NO BORRAR'!C2085="","",'FUENTE NO BORRAR'!C2085)</f>
        <v/>
      </c>
      <c r="D2067" s="5" t="str">
        <f>IF('FUENTE NO BORRAR'!D2085="","",'FUENTE NO BORRAR'!D2085)</f>
        <v/>
      </c>
      <c r="E2067" s="5" t="str">
        <f>IF('FUENTE NO BORRAR'!E2085="","",'FUENTE NO BORRAR'!E2085)</f>
        <v/>
      </c>
      <c r="F2067" s="6">
        <f>IF('FUENTE NO BORRAR'!F2085="","",IF('FUENTE NO BORRAR'!$A2085&lt;&gt;"Resultado total",('FUENTE NO BORRAR'!F2085),""))</f>
        <v>105196.59</v>
      </c>
      <c r="G2067" s="6">
        <f>IF('FUENTE NO BORRAR'!G2085="","",IF('FUENTE NO BORRAR'!$A2085&lt;&gt;"Resultado total",('FUENTE NO BORRAR'!G2085),""))</f>
        <v>105196.59</v>
      </c>
      <c r="H2067" s="6">
        <f>IF('FUENTE NO BORRAR'!H2085="","",IF('FUENTE NO BORRAR'!$A2085&lt;&gt;"Resultado total",('FUENTE NO BORRAR'!H2085),""))</f>
        <v>93496</v>
      </c>
      <c r="I2067" s="6">
        <f>IF('FUENTE NO BORRAR'!I2085="","",IF('FUENTE NO BORRAR'!$A2085&lt;&gt;"Resultado total",('FUENTE NO BORRAR'!I2085),""))</f>
        <v>0</v>
      </c>
    </row>
    <row r="2068" spans="1:9" x14ac:dyDescent="0.2">
      <c r="A2068" s="5" t="str">
        <f>IF('FUENTE NO BORRAR'!A2086="","",(IF('FUENTE NO BORRAR'!A2086&lt;&gt;"Resultado total",'FUENTE NO BORRAR'!A2086,"")))</f>
        <v/>
      </c>
      <c r="B2068" s="5" t="str">
        <f>IF('FUENTE NO BORRAR'!B2086="","",'FUENTE NO BORRAR'!B2086)</f>
        <v/>
      </c>
      <c r="C2068" s="5" t="str">
        <f>IF('FUENTE NO BORRAR'!C2086="","",'FUENTE NO BORRAR'!C2086)</f>
        <v/>
      </c>
      <c r="D2068" s="5" t="str">
        <f>IF('FUENTE NO BORRAR'!D2086="","",'FUENTE NO BORRAR'!D2086)</f>
        <v/>
      </c>
      <c r="E2068" s="5" t="str">
        <f>IF('FUENTE NO BORRAR'!E2086="","",'FUENTE NO BORRAR'!E2086)</f>
        <v/>
      </c>
      <c r="F2068" s="6">
        <f>IF('FUENTE NO BORRAR'!F2086="","",IF('FUENTE NO BORRAR'!$A2086&lt;&gt;"Resultado total",('FUENTE NO BORRAR'!F2086),""))</f>
        <v>9498.2099999999991</v>
      </c>
      <c r="G2068" s="6">
        <f>IF('FUENTE NO BORRAR'!G2086="","",IF('FUENTE NO BORRAR'!$A2086&lt;&gt;"Resultado total",('FUENTE NO BORRAR'!G2086),""))</f>
        <v>9498.2099999999991</v>
      </c>
      <c r="H2068" s="6">
        <f>IF('FUENTE NO BORRAR'!H2086="","",IF('FUENTE NO BORRAR'!$A2086&lt;&gt;"Resultado total",('FUENTE NO BORRAR'!H2086),""))</f>
        <v>2494.77</v>
      </c>
      <c r="I2068" s="6">
        <f>IF('FUENTE NO BORRAR'!I2086="","",IF('FUENTE NO BORRAR'!$A2086&lt;&gt;"Resultado total",('FUENTE NO BORRAR'!I2086),""))</f>
        <v>0</v>
      </c>
    </row>
    <row r="2069" spans="1:9" x14ac:dyDescent="0.2">
      <c r="A2069" s="5" t="str">
        <f>IF('FUENTE NO BORRAR'!A2087="","",(IF('FUENTE NO BORRAR'!A2087&lt;&gt;"Resultado total",'FUENTE NO BORRAR'!A2087,"")))</f>
        <v/>
      </c>
      <c r="B2069" s="5" t="str">
        <f>IF('FUENTE NO BORRAR'!B2087="","",'FUENTE NO BORRAR'!B2087)</f>
        <v/>
      </c>
      <c r="C2069" s="5" t="str">
        <f>IF('FUENTE NO BORRAR'!C2087="","",'FUENTE NO BORRAR'!C2087)</f>
        <v/>
      </c>
      <c r="D2069" s="5" t="str">
        <f>IF('FUENTE NO BORRAR'!D2087="","",'FUENTE NO BORRAR'!D2087)</f>
        <v/>
      </c>
      <c r="E2069" s="5" t="str">
        <f>IF('FUENTE NO BORRAR'!E2087="","",'FUENTE NO BORRAR'!E2087)</f>
        <v/>
      </c>
      <c r="F2069" s="6">
        <f>IF('FUENTE NO BORRAR'!F2087="","",IF('FUENTE NO BORRAR'!$A2087&lt;&gt;"Resultado total",('FUENTE NO BORRAR'!F2087),""))</f>
        <v>312.39999999999998</v>
      </c>
      <c r="G2069" s="6">
        <f>IF('FUENTE NO BORRAR'!G2087="","",IF('FUENTE NO BORRAR'!$A2087&lt;&gt;"Resultado total",('FUENTE NO BORRAR'!G2087),""))</f>
        <v>312.39999999999998</v>
      </c>
      <c r="H2069" s="6">
        <f>IF('FUENTE NO BORRAR'!H2087="","",IF('FUENTE NO BORRAR'!$A2087&lt;&gt;"Resultado total",('FUENTE NO BORRAR'!H2087),""))</f>
        <v>312.39999999999998</v>
      </c>
      <c r="I2069" s="6">
        <f>IF('FUENTE NO BORRAR'!I2087="","",IF('FUENTE NO BORRAR'!$A2087&lt;&gt;"Resultado total",('FUENTE NO BORRAR'!I2087),""))</f>
        <v>0</v>
      </c>
    </row>
    <row r="2070" spans="1:9" x14ac:dyDescent="0.2">
      <c r="A2070" s="5" t="str">
        <f>IF('FUENTE NO BORRAR'!A2088="","",(IF('FUENTE NO BORRAR'!A2088&lt;&gt;"Resultado total",'FUENTE NO BORRAR'!A2088,"")))</f>
        <v/>
      </c>
      <c r="B2070" s="5" t="str">
        <f>IF('FUENTE NO BORRAR'!B2088="","",'FUENTE NO BORRAR'!B2088)</f>
        <v/>
      </c>
      <c r="C2070" s="5" t="str">
        <f>IF('FUENTE NO BORRAR'!C2088="","",'FUENTE NO BORRAR'!C2088)</f>
        <v/>
      </c>
      <c r="D2070" s="5" t="str">
        <f>IF('FUENTE NO BORRAR'!D2088="","",'FUENTE NO BORRAR'!D2088)</f>
        <v/>
      </c>
      <c r="E2070" s="5" t="str">
        <f>IF('FUENTE NO BORRAR'!E2088="","",'FUENTE NO BORRAR'!E2088)</f>
        <v/>
      </c>
      <c r="F2070" s="6">
        <f>IF('FUENTE NO BORRAR'!F2088="","",IF('FUENTE NO BORRAR'!$A2088&lt;&gt;"Resultado total",('FUENTE NO BORRAR'!F2088),""))</f>
        <v>25360.17</v>
      </c>
      <c r="G2070" s="6">
        <f>IF('FUENTE NO BORRAR'!G2088="","",IF('FUENTE NO BORRAR'!$A2088&lt;&gt;"Resultado total",('FUENTE NO BORRAR'!G2088),""))</f>
        <v>25360.17</v>
      </c>
      <c r="H2070" s="6">
        <f>IF('FUENTE NO BORRAR'!H2088="","",IF('FUENTE NO BORRAR'!$A2088&lt;&gt;"Resultado total",('FUENTE NO BORRAR'!H2088),""))</f>
        <v>19358.330000000002</v>
      </c>
      <c r="I2070" s="6">
        <f>IF('FUENTE NO BORRAR'!I2088="","",IF('FUENTE NO BORRAR'!$A2088&lt;&gt;"Resultado total",('FUENTE NO BORRAR'!I2088),""))</f>
        <v>0</v>
      </c>
    </row>
    <row r="2071" spans="1:9" x14ac:dyDescent="0.2">
      <c r="A2071" s="5" t="str">
        <f>IF('FUENTE NO BORRAR'!A2089="","",(IF('FUENTE NO BORRAR'!A2089&lt;&gt;"Resultado total",'FUENTE NO BORRAR'!A2089,"")))</f>
        <v/>
      </c>
      <c r="B2071" s="5" t="str">
        <f>IF('FUENTE NO BORRAR'!B2089="","",'FUENTE NO BORRAR'!B2089)</f>
        <v/>
      </c>
      <c r="C2071" s="5" t="str">
        <f>IF('FUENTE NO BORRAR'!C2089="","",'FUENTE NO BORRAR'!C2089)</f>
        <v/>
      </c>
      <c r="D2071" s="5" t="str">
        <f>IF('FUENTE NO BORRAR'!D2089="","",'FUENTE NO BORRAR'!D2089)</f>
        <v/>
      </c>
      <c r="E2071" s="5" t="str">
        <f>IF('FUENTE NO BORRAR'!E2089="","",'FUENTE NO BORRAR'!E2089)</f>
        <v/>
      </c>
      <c r="F2071" s="6">
        <f>IF('FUENTE NO BORRAR'!F2089="","",IF('FUENTE NO BORRAR'!$A2089&lt;&gt;"Resultado total",('FUENTE NO BORRAR'!F2089),""))</f>
        <v>5466.38</v>
      </c>
      <c r="G2071" s="6">
        <f>IF('FUENTE NO BORRAR'!G2089="","",IF('FUENTE NO BORRAR'!$A2089&lt;&gt;"Resultado total",('FUENTE NO BORRAR'!G2089),""))</f>
        <v>5466.38</v>
      </c>
      <c r="H2071" s="6">
        <f>IF('FUENTE NO BORRAR'!H2089="","",IF('FUENTE NO BORRAR'!$A2089&lt;&gt;"Resultado total",('FUENTE NO BORRAR'!H2089),""))</f>
        <v>5466.38</v>
      </c>
      <c r="I2071" s="6">
        <f>IF('FUENTE NO BORRAR'!I2089="","",IF('FUENTE NO BORRAR'!$A2089&lt;&gt;"Resultado total",('FUENTE NO BORRAR'!I2089),""))</f>
        <v>0</v>
      </c>
    </row>
    <row r="2072" spans="1:9" x14ac:dyDescent="0.2">
      <c r="A2072" s="5" t="str">
        <f>IF('FUENTE NO BORRAR'!A2090="","",(IF('FUENTE NO BORRAR'!A2090&lt;&gt;"Resultado total",'FUENTE NO BORRAR'!A2090,"")))</f>
        <v/>
      </c>
      <c r="B2072" s="5" t="str">
        <f>IF('FUENTE NO BORRAR'!B2090="","",'FUENTE NO BORRAR'!B2090)</f>
        <v/>
      </c>
      <c r="C2072" s="5" t="str">
        <f>IF('FUENTE NO BORRAR'!C2090="","",'FUENTE NO BORRAR'!C2090)</f>
        <v/>
      </c>
      <c r="D2072" s="5" t="str">
        <f>IF('FUENTE NO BORRAR'!D2090="","",'FUENTE NO BORRAR'!D2090)</f>
        <v/>
      </c>
      <c r="E2072" s="5" t="str">
        <f>IF('FUENTE NO BORRAR'!E2090="","",'FUENTE NO BORRAR'!E2090)</f>
        <v/>
      </c>
      <c r="F2072" s="6">
        <f>IF('FUENTE NO BORRAR'!F2090="","",IF('FUENTE NO BORRAR'!$A2090&lt;&gt;"Resultado total",('FUENTE NO BORRAR'!F2090),""))</f>
        <v>499</v>
      </c>
      <c r="G2072" s="6">
        <f>IF('FUENTE NO BORRAR'!G2090="","",IF('FUENTE NO BORRAR'!$A2090&lt;&gt;"Resultado total",('FUENTE NO BORRAR'!G2090),""))</f>
        <v>499</v>
      </c>
      <c r="H2072" s="6">
        <f>IF('FUENTE NO BORRAR'!H2090="","",IF('FUENTE NO BORRAR'!$A2090&lt;&gt;"Resultado total",('FUENTE NO BORRAR'!H2090),""))</f>
        <v>499</v>
      </c>
      <c r="I2072" s="6">
        <f>IF('FUENTE NO BORRAR'!I2090="","",IF('FUENTE NO BORRAR'!$A2090&lt;&gt;"Resultado total",('FUENTE NO BORRAR'!I2090),""))</f>
        <v>0</v>
      </c>
    </row>
    <row r="2073" spans="1:9" x14ac:dyDescent="0.2">
      <c r="A2073" s="5" t="str">
        <f>IF('FUENTE NO BORRAR'!A2091="","",(IF('FUENTE NO BORRAR'!A2091&lt;&gt;"Resultado total",'FUENTE NO BORRAR'!A2091,"")))</f>
        <v/>
      </c>
      <c r="B2073" s="5" t="str">
        <f>IF('FUENTE NO BORRAR'!B2091="","",'FUENTE NO BORRAR'!B2091)</f>
        <v/>
      </c>
      <c r="C2073" s="5" t="str">
        <f>IF('FUENTE NO BORRAR'!C2091="","",'FUENTE NO BORRAR'!C2091)</f>
        <v/>
      </c>
      <c r="D2073" s="5" t="str">
        <f>IF('FUENTE NO BORRAR'!D2091="","",'FUENTE NO BORRAR'!D2091)</f>
        <v/>
      </c>
      <c r="E2073" s="5" t="str">
        <f>IF('FUENTE NO BORRAR'!E2091="","",'FUENTE NO BORRAR'!E2091)</f>
        <v/>
      </c>
      <c r="F2073" s="6">
        <f>IF('FUENTE NO BORRAR'!F2091="","",IF('FUENTE NO BORRAR'!$A2091&lt;&gt;"Resultado total",('FUENTE NO BORRAR'!F2091),""))</f>
        <v>154.6</v>
      </c>
      <c r="G2073" s="6">
        <f>IF('FUENTE NO BORRAR'!G2091="","",IF('FUENTE NO BORRAR'!$A2091&lt;&gt;"Resultado total",('FUENTE NO BORRAR'!G2091),""))</f>
        <v>154.6</v>
      </c>
      <c r="H2073" s="6">
        <f>IF('FUENTE NO BORRAR'!H2091="","",IF('FUENTE NO BORRAR'!$A2091&lt;&gt;"Resultado total",('FUENTE NO BORRAR'!H2091),""))</f>
        <v>154.6</v>
      </c>
      <c r="I2073" s="6">
        <f>IF('FUENTE NO BORRAR'!I2091="","",IF('FUENTE NO BORRAR'!$A2091&lt;&gt;"Resultado total",('FUENTE NO BORRAR'!I2091),""))</f>
        <v>0</v>
      </c>
    </row>
    <row r="2074" spans="1:9" x14ac:dyDescent="0.2">
      <c r="A2074" s="5" t="str">
        <f>IF('FUENTE NO BORRAR'!A2092="","",(IF('FUENTE NO BORRAR'!A2092&lt;&gt;"Resultado total",'FUENTE NO BORRAR'!A2092,"")))</f>
        <v/>
      </c>
      <c r="B2074" s="5" t="str">
        <f>IF('FUENTE NO BORRAR'!B2092="","",'FUENTE NO BORRAR'!B2092)</f>
        <v/>
      </c>
      <c r="C2074" s="5" t="str">
        <f>IF('FUENTE NO BORRAR'!C2092="","",'FUENTE NO BORRAR'!C2092)</f>
        <v/>
      </c>
      <c r="D2074" s="5" t="str">
        <f>IF('FUENTE NO BORRAR'!D2092="","",'FUENTE NO BORRAR'!D2092)</f>
        <v/>
      </c>
      <c r="E2074" s="5" t="str">
        <f>IF('FUENTE NO BORRAR'!E2092="","",'FUENTE NO BORRAR'!E2092)</f>
        <v/>
      </c>
      <c r="F2074" s="6">
        <f>IF('FUENTE NO BORRAR'!F2092="","",IF('FUENTE NO BORRAR'!$A2092&lt;&gt;"Resultado total",('FUENTE NO BORRAR'!F2092),""))</f>
        <v>245231.35</v>
      </c>
      <c r="G2074" s="6">
        <f>IF('FUENTE NO BORRAR'!G2092="","",IF('FUENTE NO BORRAR'!$A2092&lt;&gt;"Resultado total",('FUENTE NO BORRAR'!G2092),""))</f>
        <v>245231.35</v>
      </c>
      <c r="H2074" s="6">
        <f>IF('FUENTE NO BORRAR'!H2092="","",IF('FUENTE NO BORRAR'!$A2092&lt;&gt;"Resultado total",('FUENTE NO BORRAR'!H2092),""))</f>
        <v>245231.35</v>
      </c>
      <c r="I2074" s="6">
        <f>IF('FUENTE NO BORRAR'!I2092="","",IF('FUENTE NO BORRAR'!$A2092&lt;&gt;"Resultado total",('FUENTE NO BORRAR'!I2092),""))</f>
        <v>0</v>
      </c>
    </row>
    <row r="2075" spans="1:9" x14ac:dyDescent="0.2">
      <c r="A2075" s="5" t="str">
        <f>IF('FUENTE NO BORRAR'!A2093="","",(IF('FUENTE NO BORRAR'!A2093&lt;&gt;"Resultado total",'FUENTE NO BORRAR'!A2093,"")))</f>
        <v/>
      </c>
      <c r="B2075" s="5" t="str">
        <f>IF('FUENTE NO BORRAR'!B2093="","",'FUENTE NO BORRAR'!B2093)</f>
        <v/>
      </c>
      <c r="C2075" s="5" t="str">
        <f>IF('FUENTE NO BORRAR'!C2093="","",'FUENTE NO BORRAR'!C2093)</f>
        <v/>
      </c>
      <c r="D2075" s="5" t="str">
        <f>IF('FUENTE NO BORRAR'!D2093="","",'FUENTE NO BORRAR'!D2093)</f>
        <v/>
      </c>
      <c r="E2075" s="5" t="str">
        <f>IF('FUENTE NO BORRAR'!E2093="","",'FUENTE NO BORRAR'!E2093)</f>
        <v/>
      </c>
      <c r="F2075" s="6">
        <f>IF('FUENTE NO BORRAR'!F2093="","",IF('FUENTE NO BORRAR'!$A2093&lt;&gt;"Resultado total",('FUENTE NO BORRAR'!F2093),""))</f>
        <v>18102.2</v>
      </c>
      <c r="G2075" s="6">
        <f>IF('FUENTE NO BORRAR'!G2093="","",IF('FUENTE NO BORRAR'!$A2093&lt;&gt;"Resultado total",('FUENTE NO BORRAR'!G2093),""))</f>
        <v>18102.2</v>
      </c>
      <c r="H2075" s="6">
        <f>IF('FUENTE NO BORRAR'!H2093="","",IF('FUENTE NO BORRAR'!$A2093&lt;&gt;"Resultado total",('FUENTE NO BORRAR'!H2093),""))</f>
        <v>18102.2</v>
      </c>
      <c r="I2075" s="6">
        <f>IF('FUENTE NO BORRAR'!I2093="","",IF('FUENTE NO BORRAR'!$A2093&lt;&gt;"Resultado total",('FUENTE NO BORRAR'!I2093),""))</f>
        <v>0</v>
      </c>
    </row>
    <row r="2076" spans="1:9" x14ac:dyDescent="0.2">
      <c r="A2076" s="5" t="str">
        <f>IF('FUENTE NO BORRAR'!A2094="","",(IF('FUENTE NO BORRAR'!A2094&lt;&gt;"Resultado total",'FUENTE NO BORRAR'!A2094,"")))</f>
        <v/>
      </c>
      <c r="B2076" s="5" t="str">
        <f>IF('FUENTE NO BORRAR'!B2094="","",'FUENTE NO BORRAR'!B2094)</f>
        <v/>
      </c>
      <c r="C2076" s="5" t="str">
        <f>IF('FUENTE NO BORRAR'!C2094="","",'FUENTE NO BORRAR'!C2094)</f>
        <v/>
      </c>
      <c r="D2076" s="5" t="str">
        <f>IF('FUENTE NO BORRAR'!D2094="","",'FUENTE NO BORRAR'!D2094)</f>
        <v/>
      </c>
      <c r="E2076" s="5" t="str">
        <f>IF('FUENTE NO BORRAR'!E2094="","",'FUENTE NO BORRAR'!E2094)</f>
        <v/>
      </c>
      <c r="F2076" s="6">
        <f>IF('FUENTE NO BORRAR'!F2094="","",IF('FUENTE NO BORRAR'!$A2094&lt;&gt;"Resultado total",('FUENTE NO BORRAR'!F2094),""))</f>
        <v>1805.45</v>
      </c>
      <c r="G2076" s="6">
        <f>IF('FUENTE NO BORRAR'!G2094="","",IF('FUENTE NO BORRAR'!$A2094&lt;&gt;"Resultado total",('FUENTE NO BORRAR'!G2094),""))</f>
        <v>1805.45</v>
      </c>
      <c r="H2076" s="6">
        <f>IF('FUENTE NO BORRAR'!H2094="","",IF('FUENTE NO BORRAR'!$A2094&lt;&gt;"Resultado total",('FUENTE NO BORRAR'!H2094),""))</f>
        <v>819.45</v>
      </c>
      <c r="I2076" s="6">
        <f>IF('FUENTE NO BORRAR'!I2094="","",IF('FUENTE NO BORRAR'!$A2094&lt;&gt;"Resultado total",('FUENTE NO BORRAR'!I2094),""))</f>
        <v>0</v>
      </c>
    </row>
    <row r="2077" spans="1:9" x14ac:dyDescent="0.2">
      <c r="A2077" s="5" t="str">
        <f>IF('FUENTE NO BORRAR'!A2095="","",(IF('FUENTE NO BORRAR'!A2095&lt;&gt;"Resultado total",'FUENTE NO BORRAR'!A2095,"")))</f>
        <v/>
      </c>
      <c r="B2077" s="5" t="str">
        <f>IF('FUENTE NO BORRAR'!B2095="","",'FUENTE NO BORRAR'!B2095)</f>
        <v/>
      </c>
      <c r="C2077" s="5" t="str">
        <f>IF('FUENTE NO BORRAR'!C2095="","",'FUENTE NO BORRAR'!C2095)</f>
        <v/>
      </c>
      <c r="D2077" s="5" t="str">
        <f>IF('FUENTE NO BORRAR'!D2095="","",'FUENTE NO BORRAR'!D2095)</f>
        <v/>
      </c>
      <c r="E2077" s="5" t="str">
        <f>IF('FUENTE NO BORRAR'!E2095="","",'FUENTE NO BORRAR'!E2095)</f>
        <v/>
      </c>
      <c r="F2077" s="6">
        <f>IF('FUENTE NO BORRAR'!F2095="","",IF('FUENTE NO BORRAR'!$A2095&lt;&gt;"Resultado total",('FUENTE NO BORRAR'!F2095),""))</f>
        <v>0</v>
      </c>
      <c r="G2077" s="6">
        <f>IF('FUENTE NO BORRAR'!G2095="","",IF('FUENTE NO BORRAR'!$A2095&lt;&gt;"Resultado total",('FUENTE NO BORRAR'!G2095),""))</f>
        <v>0</v>
      </c>
      <c r="H2077" s="6">
        <f>IF('FUENTE NO BORRAR'!H2095="","",IF('FUENTE NO BORRAR'!$A2095&lt;&gt;"Resultado total",('FUENTE NO BORRAR'!H2095),""))</f>
        <v>0</v>
      </c>
      <c r="I2077" s="6">
        <f>IF('FUENTE NO BORRAR'!I2095="","",IF('FUENTE NO BORRAR'!$A2095&lt;&gt;"Resultado total",('FUENTE NO BORRAR'!I2095),""))</f>
        <v>0</v>
      </c>
    </row>
    <row r="2078" spans="1:9" x14ac:dyDescent="0.2">
      <c r="A2078" s="5" t="str">
        <f>IF('FUENTE NO BORRAR'!A2096="","",(IF('FUENTE NO BORRAR'!A2096&lt;&gt;"Resultado total",'FUENTE NO BORRAR'!A2096,"")))</f>
        <v/>
      </c>
      <c r="B2078" s="5" t="str">
        <f>IF('FUENTE NO BORRAR'!B2096="","",'FUENTE NO BORRAR'!B2096)</f>
        <v/>
      </c>
      <c r="C2078" s="5" t="str">
        <f>IF('FUENTE NO BORRAR'!C2096="","",'FUENTE NO BORRAR'!C2096)</f>
        <v/>
      </c>
      <c r="D2078" s="5" t="str">
        <f>IF('FUENTE NO BORRAR'!D2096="","",'FUENTE NO BORRAR'!D2096)</f>
        <v/>
      </c>
      <c r="E2078" s="5" t="str">
        <f>IF('FUENTE NO BORRAR'!E2096="","",'FUENTE NO BORRAR'!E2096)</f>
        <v/>
      </c>
      <c r="F2078" s="6">
        <f>IF('FUENTE NO BORRAR'!F2096="","",IF('FUENTE NO BORRAR'!$A2096&lt;&gt;"Resultado total",('FUENTE NO BORRAR'!F2096),""))</f>
        <v>151</v>
      </c>
      <c r="G2078" s="6">
        <f>IF('FUENTE NO BORRAR'!G2096="","",IF('FUENTE NO BORRAR'!$A2096&lt;&gt;"Resultado total",('FUENTE NO BORRAR'!G2096),""))</f>
        <v>151</v>
      </c>
      <c r="H2078" s="6">
        <f>IF('FUENTE NO BORRAR'!H2096="","",IF('FUENTE NO BORRAR'!$A2096&lt;&gt;"Resultado total",('FUENTE NO BORRAR'!H2096),""))</f>
        <v>122</v>
      </c>
      <c r="I2078" s="6">
        <f>IF('FUENTE NO BORRAR'!I2096="","",IF('FUENTE NO BORRAR'!$A2096&lt;&gt;"Resultado total",('FUENTE NO BORRAR'!I2096),""))</f>
        <v>0</v>
      </c>
    </row>
    <row r="2079" spans="1:9" x14ac:dyDescent="0.2">
      <c r="A2079" s="5" t="str">
        <f>IF('FUENTE NO BORRAR'!A2097="","",(IF('FUENTE NO BORRAR'!A2097&lt;&gt;"Resultado total",'FUENTE NO BORRAR'!A2097,"")))</f>
        <v/>
      </c>
      <c r="B2079" s="5" t="str">
        <f>IF('FUENTE NO BORRAR'!B2097="","",'FUENTE NO BORRAR'!B2097)</f>
        <v/>
      </c>
      <c r="C2079" s="5" t="str">
        <f>IF('FUENTE NO BORRAR'!C2097="","",'FUENTE NO BORRAR'!C2097)</f>
        <v/>
      </c>
      <c r="D2079" s="5" t="str">
        <f>IF('FUENTE NO BORRAR'!D2097="","",'FUENTE NO BORRAR'!D2097)</f>
        <v/>
      </c>
      <c r="E2079" s="5" t="str">
        <f>IF('FUENTE NO BORRAR'!E2097="","",'FUENTE NO BORRAR'!E2097)</f>
        <v/>
      </c>
      <c r="F2079" s="6">
        <f>IF('FUENTE NO BORRAR'!F2097="","",IF('FUENTE NO BORRAR'!$A2097&lt;&gt;"Resultado total",('FUENTE NO BORRAR'!F2097),""))</f>
        <v>66.97</v>
      </c>
      <c r="G2079" s="6">
        <f>IF('FUENTE NO BORRAR'!G2097="","",IF('FUENTE NO BORRAR'!$A2097&lt;&gt;"Resultado total",('FUENTE NO BORRAR'!G2097),""))</f>
        <v>66.97</v>
      </c>
      <c r="H2079" s="6">
        <f>IF('FUENTE NO BORRAR'!H2097="","",IF('FUENTE NO BORRAR'!$A2097&lt;&gt;"Resultado total",('FUENTE NO BORRAR'!H2097),""))</f>
        <v>66.97</v>
      </c>
      <c r="I2079" s="6">
        <f>IF('FUENTE NO BORRAR'!I2097="","",IF('FUENTE NO BORRAR'!$A2097&lt;&gt;"Resultado total",('FUENTE NO BORRAR'!I2097),""))</f>
        <v>0</v>
      </c>
    </row>
    <row r="2080" spans="1:9" x14ac:dyDescent="0.2">
      <c r="A2080" s="5" t="str">
        <f>IF('FUENTE NO BORRAR'!A2098="","",(IF('FUENTE NO BORRAR'!A2098&lt;&gt;"Resultado total",'FUENTE NO BORRAR'!A2098,"")))</f>
        <v/>
      </c>
      <c r="B2080" s="5" t="str">
        <f>IF('FUENTE NO BORRAR'!B2098="","",'FUENTE NO BORRAR'!B2098)</f>
        <v/>
      </c>
      <c r="C2080" s="5" t="str">
        <f>IF('FUENTE NO BORRAR'!C2098="","",'FUENTE NO BORRAR'!C2098)</f>
        <v/>
      </c>
      <c r="D2080" s="5" t="str">
        <f>IF('FUENTE NO BORRAR'!D2098="","",'FUENTE NO BORRAR'!D2098)</f>
        <v/>
      </c>
      <c r="E2080" s="5" t="str">
        <f>IF('FUENTE NO BORRAR'!E2098="","",'FUENTE NO BORRAR'!E2098)</f>
        <v/>
      </c>
      <c r="F2080" s="6">
        <f>IF('FUENTE NO BORRAR'!F2098="","",IF('FUENTE NO BORRAR'!$A2098&lt;&gt;"Resultado total",('FUENTE NO BORRAR'!F2098),""))</f>
        <v>3480</v>
      </c>
      <c r="G2080" s="6">
        <f>IF('FUENTE NO BORRAR'!G2098="","",IF('FUENTE NO BORRAR'!$A2098&lt;&gt;"Resultado total",('FUENTE NO BORRAR'!G2098),""))</f>
        <v>3480</v>
      </c>
      <c r="H2080" s="6">
        <f>IF('FUENTE NO BORRAR'!H2098="","",IF('FUENTE NO BORRAR'!$A2098&lt;&gt;"Resultado total",('FUENTE NO BORRAR'!H2098),""))</f>
        <v>0</v>
      </c>
      <c r="I2080" s="6">
        <f>IF('FUENTE NO BORRAR'!I2098="","",IF('FUENTE NO BORRAR'!$A2098&lt;&gt;"Resultado total",('FUENTE NO BORRAR'!I2098),""))</f>
        <v>0</v>
      </c>
    </row>
    <row r="2081" spans="1:9" x14ac:dyDescent="0.2">
      <c r="A2081" s="5" t="str">
        <f>IF('FUENTE NO BORRAR'!A2099="","",(IF('FUENTE NO BORRAR'!A2099&lt;&gt;"Resultado total",'FUENTE NO BORRAR'!A2099,"")))</f>
        <v/>
      </c>
      <c r="B2081" s="5" t="str">
        <f>IF('FUENTE NO BORRAR'!B2099="","",'FUENTE NO BORRAR'!B2099)</f>
        <v/>
      </c>
      <c r="C2081" s="5" t="str">
        <f>IF('FUENTE NO BORRAR'!C2099="","",'FUENTE NO BORRAR'!C2099)</f>
        <v/>
      </c>
      <c r="D2081" s="5" t="str">
        <f>IF('FUENTE NO BORRAR'!D2099="","",'FUENTE NO BORRAR'!D2099)</f>
        <v/>
      </c>
      <c r="E2081" s="5" t="str">
        <f>IF('FUENTE NO BORRAR'!E2099="","",'FUENTE NO BORRAR'!E2099)</f>
        <v/>
      </c>
      <c r="F2081" s="6">
        <f>IF('FUENTE NO BORRAR'!F2099="","",IF('FUENTE NO BORRAR'!$A2099&lt;&gt;"Resultado total",('FUENTE NO BORRAR'!F2099),""))</f>
        <v>348.99</v>
      </c>
      <c r="G2081" s="6">
        <f>IF('FUENTE NO BORRAR'!G2099="","",IF('FUENTE NO BORRAR'!$A2099&lt;&gt;"Resultado total",('FUENTE NO BORRAR'!G2099),""))</f>
        <v>348.99</v>
      </c>
      <c r="H2081" s="6">
        <f>IF('FUENTE NO BORRAR'!H2099="","",IF('FUENTE NO BORRAR'!$A2099&lt;&gt;"Resultado total",('FUENTE NO BORRAR'!H2099),""))</f>
        <v>348.99</v>
      </c>
      <c r="I2081" s="6">
        <f>IF('FUENTE NO BORRAR'!I2099="","",IF('FUENTE NO BORRAR'!$A2099&lt;&gt;"Resultado total",('FUENTE NO BORRAR'!I2099),""))</f>
        <v>0</v>
      </c>
    </row>
    <row r="2082" spans="1:9" x14ac:dyDescent="0.2">
      <c r="A2082" s="5" t="str">
        <f>IF('FUENTE NO BORRAR'!A2100="","",(IF('FUENTE NO BORRAR'!A2100&lt;&gt;"Resultado total",'FUENTE NO BORRAR'!A2100,"")))</f>
        <v/>
      </c>
      <c r="B2082" s="5" t="str">
        <f>IF('FUENTE NO BORRAR'!B2100="","",'FUENTE NO BORRAR'!B2100)</f>
        <v/>
      </c>
      <c r="C2082" s="5" t="str">
        <f>IF('FUENTE NO BORRAR'!C2100="","",'FUENTE NO BORRAR'!C2100)</f>
        <v/>
      </c>
      <c r="D2082" s="5" t="str">
        <f>IF('FUENTE NO BORRAR'!D2100="","",'FUENTE NO BORRAR'!D2100)</f>
        <v/>
      </c>
      <c r="E2082" s="5" t="str">
        <f>IF('FUENTE NO BORRAR'!E2100="","",'FUENTE NO BORRAR'!E2100)</f>
        <v/>
      </c>
      <c r="F2082" s="6">
        <f>IF('FUENTE NO BORRAR'!F2100="","",IF('FUENTE NO BORRAR'!$A2100&lt;&gt;"Resultado total",('FUENTE NO BORRAR'!F2100),""))</f>
        <v>40789.64</v>
      </c>
      <c r="G2082" s="6">
        <f>IF('FUENTE NO BORRAR'!G2100="","",IF('FUENTE NO BORRAR'!$A2100&lt;&gt;"Resultado total",('FUENTE NO BORRAR'!G2100),""))</f>
        <v>40789.64</v>
      </c>
      <c r="H2082" s="6">
        <f>IF('FUENTE NO BORRAR'!H2100="","",IF('FUENTE NO BORRAR'!$A2100&lt;&gt;"Resultado total",('FUENTE NO BORRAR'!H2100),""))</f>
        <v>34286.639999999999</v>
      </c>
      <c r="I2082" s="6">
        <f>IF('FUENTE NO BORRAR'!I2100="","",IF('FUENTE NO BORRAR'!$A2100&lt;&gt;"Resultado total",('FUENTE NO BORRAR'!I2100),""))</f>
        <v>0</v>
      </c>
    </row>
    <row r="2083" spans="1:9" x14ac:dyDescent="0.2">
      <c r="A2083" s="5" t="str">
        <f>IF('FUENTE NO BORRAR'!A2101="","",(IF('FUENTE NO BORRAR'!A2101&lt;&gt;"Resultado total",'FUENTE NO BORRAR'!A2101,"")))</f>
        <v/>
      </c>
      <c r="B2083" s="5" t="str">
        <f>IF('FUENTE NO BORRAR'!B2101="","",'FUENTE NO BORRAR'!B2101)</f>
        <v/>
      </c>
      <c r="C2083" s="5" t="str">
        <f>IF('FUENTE NO BORRAR'!C2101="","",'FUENTE NO BORRAR'!C2101)</f>
        <v/>
      </c>
      <c r="D2083" s="5" t="str">
        <f>IF('FUENTE NO BORRAR'!D2101="","",'FUENTE NO BORRAR'!D2101)</f>
        <v/>
      </c>
      <c r="E2083" s="5" t="str">
        <f>IF('FUENTE NO BORRAR'!E2101="","",'FUENTE NO BORRAR'!E2101)</f>
        <v/>
      </c>
      <c r="F2083" s="6">
        <f>IF('FUENTE NO BORRAR'!F2101="","",IF('FUENTE NO BORRAR'!$A2101&lt;&gt;"Resultado total",('FUENTE NO BORRAR'!F2101),""))</f>
        <v>5552.35</v>
      </c>
      <c r="G2083" s="6">
        <f>IF('FUENTE NO BORRAR'!G2101="","",IF('FUENTE NO BORRAR'!$A2101&lt;&gt;"Resultado total",('FUENTE NO BORRAR'!G2101),""))</f>
        <v>5552.35</v>
      </c>
      <c r="H2083" s="6">
        <f>IF('FUENTE NO BORRAR'!H2101="","",IF('FUENTE NO BORRAR'!$A2101&lt;&gt;"Resultado total",('FUENTE NO BORRAR'!H2101),""))</f>
        <v>5552.35</v>
      </c>
      <c r="I2083" s="6">
        <f>IF('FUENTE NO BORRAR'!I2101="","",IF('FUENTE NO BORRAR'!$A2101&lt;&gt;"Resultado total",('FUENTE NO BORRAR'!I2101),""))</f>
        <v>0</v>
      </c>
    </row>
    <row r="2084" spans="1:9" x14ac:dyDescent="0.2">
      <c r="A2084" s="5" t="str">
        <f>IF('FUENTE NO BORRAR'!A2102="","",(IF('FUENTE NO BORRAR'!A2102&lt;&gt;"Resultado total",'FUENTE NO BORRAR'!A2102,"")))</f>
        <v/>
      </c>
      <c r="B2084" s="5" t="str">
        <f>IF('FUENTE NO BORRAR'!B2102="","",'FUENTE NO BORRAR'!B2102)</f>
        <v/>
      </c>
      <c r="C2084" s="5" t="str">
        <f>IF('FUENTE NO BORRAR'!C2102="","",'FUENTE NO BORRAR'!C2102)</f>
        <v/>
      </c>
      <c r="D2084" s="5" t="str">
        <f>IF('FUENTE NO BORRAR'!D2102="","",'FUENTE NO BORRAR'!D2102)</f>
        <v/>
      </c>
      <c r="E2084" s="5" t="str">
        <f>IF('FUENTE NO BORRAR'!E2102="","",'FUENTE NO BORRAR'!E2102)</f>
        <v/>
      </c>
      <c r="F2084" s="6">
        <f>IF('FUENTE NO BORRAR'!F2102="","",IF('FUENTE NO BORRAR'!$A2102&lt;&gt;"Resultado total",('FUENTE NO BORRAR'!F2102),""))</f>
        <v>21372</v>
      </c>
      <c r="G2084" s="6">
        <f>IF('FUENTE NO BORRAR'!G2102="","",IF('FUENTE NO BORRAR'!$A2102&lt;&gt;"Resultado total",('FUENTE NO BORRAR'!G2102),""))</f>
        <v>21372</v>
      </c>
      <c r="H2084" s="6">
        <f>IF('FUENTE NO BORRAR'!H2102="","",IF('FUENTE NO BORRAR'!$A2102&lt;&gt;"Resultado total",('FUENTE NO BORRAR'!H2102),""))</f>
        <v>21372</v>
      </c>
      <c r="I2084" s="6">
        <f>IF('FUENTE NO BORRAR'!I2102="","",IF('FUENTE NO BORRAR'!$A2102&lt;&gt;"Resultado total",('FUENTE NO BORRAR'!I2102),""))</f>
        <v>0</v>
      </c>
    </row>
    <row r="2085" spans="1:9" x14ac:dyDescent="0.2">
      <c r="A2085" s="5" t="str">
        <f>IF('FUENTE NO BORRAR'!A2103="","",(IF('FUENTE NO BORRAR'!A2103&lt;&gt;"Resultado total",'FUENTE NO BORRAR'!A2103,"")))</f>
        <v/>
      </c>
      <c r="B2085" s="5" t="str">
        <f>IF('FUENTE NO BORRAR'!B2103="","",'FUENTE NO BORRAR'!B2103)</f>
        <v/>
      </c>
      <c r="C2085" s="5" t="str">
        <f>IF('FUENTE NO BORRAR'!C2103="","",'FUENTE NO BORRAR'!C2103)</f>
        <v/>
      </c>
      <c r="D2085" s="5" t="str">
        <f>IF('FUENTE NO BORRAR'!D2103="","",'FUENTE NO BORRAR'!D2103)</f>
        <v/>
      </c>
      <c r="E2085" s="5" t="str">
        <f>IF('FUENTE NO BORRAR'!E2103="","",'FUENTE NO BORRAR'!E2103)</f>
        <v/>
      </c>
      <c r="F2085" s="6">
        <f>IF('FUENTE NO BORRAR'!F2103="","",IF('FUENTE NO BORRAR'!$A2103&lt;&gt;"Resultado total",('FUENTE NO BORRAR'!F2103),""))</f>
        <v>47525.09</v>
      </c>
      <c r="G2085" s="6">
        <f>IF('FUENTE NO BORRAR'!G2103="","",IF('FUENTE NO BORRAR'!$A2103&lt;&gt;"Resultado total",('FUENTE NO BORRAR'!G2103),""))</f>
        <v>47525.09</v>
      </c>
      <c r="H2085" s="6">
        <f>IF('FUENTE NO BORRAR'!H2103="","",IF('FUENTE NO BORRAR'!$A2103&lt;&gt;"Resultado total",('FUENTE NO BORRAR'!H2103),""))</f>
        <v>47525.09</v>
      </c>
      <c r="I2085" s="6">
        <f>IF('FUENTE NO BORRAR'!I2103="","",IF('FUENTE NO BORRAR'!$A2103&lt;&gt;"Resultado total",('FUENTE NO BORRAR'!I2103),""))</f>
        <v>0</v>
      </c>
    </row>
    <row r="2086" spans="1:9" x14ac:dyDescent="0.2">
      <c r="A2086" s="5" t="str">
        <f>IF('FUENTE NO BORRAR'!A2104="","",(IF('FUENTE NO BORRAR'!A2104&lt;&gt;"Resultado total",'FUENTE NO BORRAR'!A2104,"")))</f>
        <v/>
      </c>
      <c r="B2086" s="5" t="str">
        <f>IF('FUENTE NO BORRAR'!B2104="","",'FUENTE NO BORRAR'!B2104)</f>
        <v/>
      </c>
      <c r="C2086" s="5" t="str">
        <f>IF('FUENTE NO BORRAR'!C2104="","",'FUENTE NO BORRAR'!C2104)</f>
        <v/>
      </c>
      <c r="D2086" s="5" t="str">
        <f>IF('FUENTE NO BORRAR'!D2104="","",'FUENTE NO BORRAR'!D2104)</f>
        <v/>
      </c>
      <c r="E2086" s="5" t="str">
        <f>IF('FUENTE NO BORRAR'!E2104="","",'FUENTE NO BORRAR'!E2104)</f>
        <v/>
      </c>
      <c r="F2086" s="6">
        <f>IF('FUENTE NO BORRAR'!F2104="","",IF('FUENTE NO BORRAR'!$A2104&lt;&gt;"Resultado total",('FUENTE NO BORRAR'!F2104),""))</f>
        <v>0</v>
      </c>
      <c r="G2086" s="6">
        <f>IF('FUENTE NO BORRAR'!G2104="","",IF('FUENTE NO BORRAR'!$A2104&lt;&gt;"Resultado total",('FUENTE NO BORRAR'!G2104),""))</f>
        <v>0</v>
      </c>
      <c r="H2086" s="6">
        <f>IF('FUENTE NO BORRAR'!H2104="","",IF('FUENTE NO BORRAR'!$A2104&lt;&gt;"Resultado total",('FUENTE NO BORRAR'!H2104),""))</f>
        <v>0</v>
      </c>
      <c r="I2086" s="6">
        <f>IF('FUENTE NO BORRAR'!I2104="","",IF('FUENTE NO BORRAR'!$A2104&lt;&gt;"Resultado total",('FUENTE NO BORRAR'!I2104),""))</f>
        <v>0</v>
      </c>
    </row>
    <row r="2087" spans="1:9" x14ac:dyDescent="0.2">
      <c r="A2087" s="5" t="str">
        <f>IF('FUENTE NO BORRAR'!A2105="","",(IF('FUENTE NO BORRAR'!A2105&lt;&gt;"Resultado total",'FUENTE NO BORRAR'!A2105,"")))</f>
        <v/>
      </c>
      <c r="B2087" s="5" t="str">
        <f>IF('FUENTE NO BORRAR'!B2105="","",'FUENTE NO BORRAR'!B2105)</f>
        <v/>
      </c>
      <c r="C2087" s="5" t="str">
        <f>IF('FUENTE NO BORRAR'!C2105="","",'FUENTE NO BORRAR'!C2105)</f>
        <v/>
      </c>
      <c r="D2087" s="5" t="str">
        <f>IF('FUENTE NO BORRAR'!D2105="","",'FUENTE NO BORRAR'!D2105)</f>
        <v/>
      </c>
      <c r="E2087" s="5" t="str">
        <f>IF('FUENTE NO BORRAR'!E2105="","",'FUENTE NO BORRAR'!E2105)</f>
        <v/>
      </c>
      <c r="F2087" s="6">
        <f>IF('FUENTE NO BORRAR'!F2105="","",IF('FUENTE NO BORRAR'!$A2105&lt;&gt;"Resultado total",('FUENTE NO BORRAR'!F2105),""))</f>
        <v>0</v>
      </c>
      <c r="G2087" s="6">
        <f>IF('FUENTE NO BORRAR'!G2105="","",IF('FUENTE NO BORRAR'!$A2105&lt;&gt;"Resultado total",('FUENTE NO BORRAR'!G2105),""))</f>
        <v>0</v>
      </c>
      <c r="H2087" s="6">
        <f>IF('FUENTE NO BORRAR'!H2105="","",IF('FUENTE NO BORRAR'!$A2105&lt;&gt;"Resultado total",('FUENTE NO BORRAR'!H2105),""))</f>
        <v>0</v>
      </c>
      <c r="I2087" s="6">
        <f>IF('FUENTE NO BORRAR'!I2105="","",IF('FUENTE NO BORRAR'!$A2105&lt;&gt;"Resultado total",('FUENTE NO BORRAR'!I2105),""))</f>
        <v>0</v>
      </c>
    </row>
    <row r="2088" spans="1:9" x14ac:dyDescent="0.2">
      <c r="A2088" s="5" t="str">
        <f>IF('FUENTE NO BORRAR'!A2106="","",(IF('FUENTE NO BORRAR'!A2106&lt;&gt;"Resultado total",'FUENTE NO BORRAR'!A2106,"")))</f>
        <v/>
      </c>
      <c r="B2088" s="5" t="str">
        <f>IF('FUENTE NO BORRAR'!B2106="","",'FUENTE NO BORRAR'!B2106)</f>
        <v/>
      </c>
      <c r="C2088" s="5" t="str">
        <f>IF('FUENTE NO BORRAR'!C2106="","",'FUENTE NO BORRAR'!C2106)</f>
        <v/>
      </c>
      <c r="D2088" s="5" t="str">
        <f>IF('FUENTE NO BORRAR'!D2106="","",'FUENTE NO BORRAR'!D2106)</f>
        <v/>
      </c>
      <c r="E2088" s="5" t="str">
        <f>IF('FUENTE NO BORRAR'!E2106="","",'FUENTE NO BORRAR'!E2106)</f>
        <v/>
      </c>
      <c r="F2088" s="6">
        <f>IF('FUENTE NO BORRAR'!F2106="","",IF('FUENTE NO BORRAR'!$A2106&lt;&gt;"Resultado total",('FUENTE NO BORRAR'!F2106),""))</f>
        <v>0</v>
      </c>
      <c r="G2088" s="6">
        <f>IF('FUENTE NO BORRAR'!G2106="","",IF('FUENTE NO BORRAR'!$A2106&lt;&gt;"Resultado total",('FUENTE NO BORRAR'!G2106),""))</f>
        <v>0</v>
      </c>
      <c r="H2088" s="6">
        <f>IF('FUENTE NO BORRAR'!H2106="","",IF('FUENTE NO BORRAR'!$A2106&lt;&gt;"Resultado total",('FUENTE NO BORRAR'!H2106),""))</f>
        <v>0</v>
      </c>
      <c r="I2088" s="6">
        <f>IF('FUENTE NO BORRAR'!I2106="","",IF('FUENTE NO BORRAR'!$A2106&lt;&gt;"Resultado total",('FUENTE NO BORRAR'!I2106),""))</f>
        <v>0</v>
      </c>
    </row>
    <row r="2089" spans="1:9" x14ac:dyDescent="0.2">
      <c r="A2089" s="5" t="str">
        <f>IF('FUENTE NO BORRAR'!A2107="","",(IF('FUENTE NO BORRAR'!A2107&lt;&gt;"Resultado total",'FUENTE NO BORRAR'!A2107,"")))</f>
        <v/>
      </c>
      <c r="B2089" s="5" t="str">
        <f>IF('FUENTE NO BORRAR'!B2107="","",'FUENTE NO BORRAR'!B2107)</f>
        <v/>
      </c>
      <c r="C2089" s="5" t="str">
        <f>IF('FUENTE NO BORRAR'!C2107="","",'FUENTE NO BORRAR'!C2107)</f>
        <v/>
      </c>
      <c r="D2089" s="5" t="str">
        <f>IF('FUENTE NO BORRAR'!D2107="","",'FUENTE NO BORRAR'!D2107)</f>
        <v/>
      </c>
      <c r="E2089" s="5" t="str">
        <f>IF('FUENTE NO BORRAR'!E2107="","",'FUENTE NO BORRAR'!E2107)</f>
        <v/>
      </c>
      <c r="F2089" s="6">
        <f>IF('FUENTE NO BORRAR'!F2107="","",IF('FUENTE NO BORRAR'!$A2107&lt;&gt;"Resultado total",('FUENTE NO BORRAR'!F2107),""))</f>
        <v>123864.8</v>
      </c>
      <c r="G2089" s="6">
        <f>IF('FUENTE NO BORRAR'!G2107="","",IF('FUENTE NO BORRAR'!$A2107&lt;&gt;"Resultado total",('FUENTE NO BORRAR'!G2107),""))</f>
        <v>123864.8</v>
      </c>
      <c r="H2089" s="6">
        <f>IF('FUENTE NO BORRAR'!H2107="","",IF('FUENTE NO BORRAR'!$A2107&lt;&gt;"Resultado total",('FUENTE NO BORRAR'!H2107),""))</f>
        <v>118644.8</v>
      </c>
      <c r="I2089" s="6">
        <f>IF('FUENTE NO BORRAR'!I2107="","",IF('FUENTE NO BORRAR'!$A2107&lt;&gt;"Resultado total",('FUENTE NO BORRAR'!I2107),""))</f>
        <v>0</v>
      </c>
    </row>
    <row r="2090" spans="1:9" x14ac:dyDescent="0.2">
      <c r="A2090" s="5" t="str">
        <f>IF('FUENTE NO BORRAR'!A2108="","",(IF('FUENTE NO BORRAR'!A2108&lt;&gt;"Resultado total",'FUENTE NO BORRAR'!A2108,"")))</f>
        <v/>
      </c>
      <c r="B2090" s="5" t="str">
        <f>IF('FUENTE NO BORRAR'!B2108="","",'FUENTE NO BORRAR'!B2108)</f>
        <v/>
      </c>
      <c r="C2090" s="5" t="str">
        <f>IF('FUENTE NO BORRAR'!C2108="","",'FUENTE NO BORRAR'!C2108)</f>
        <v/>
      </c>
      <c r="D2090" s="5" t="str">
        <f>IF('FUENTE NO BORRAR'!D2108="","",'FUENTE NO BORRAR'!D2108)</f>
        <v/>
      </c>
      <c r="E2090" s="5" t="str">
        <f>IF('FUENTE NO BORRAR'!E2108="","",'FUENTE NO BORRAR'!E2108)</f>
        <v/>
      </c>
      <c r="F2090" s="6">
        <f>IF('FUENTE NO BORRAR'!F2108="","",IF('FUENTE NO BORRAR'!$A2108&lt;&gt;"Resultado total",('FUENTE NO BORRAR'!F2108),""))</f>
        <v>9860</v>
      </c>
      <c r="G2090" s="6">
        <f>IF('FUENTE NO BORRAR'!G2108="","",IF('FUENTE NO BORRAR'!$A2108&lt;&gt;"Resultado total",('FUENTE NO BORRAR'!G2108),""))</f>
        <v>9860</v>
      </c>
      <c r="H2090" s="6">
        <f>IF('FUENTE NO BORRAR'!H2108="","",IF('FUENTE NO BORRAR'!$A2108&lt;&gt;"Resultado total",('FUENTE NO BORRAR'!H2108),""))</f>
        <v>9860</v>
      </c>
      <c r="I2090" s="6">
        <f>IF('FUENTE NO BORRAR'!I2108="","",IF('FUENTE NO BORRAR'!$A2108&lt;&gt;"Resultado total",('FUENTE NO BORRAR'!I2108),""))</f>
        <v>0</v>
      </c>
    </row>
    <row r="2091" spans="1:9" x14ac:dyDescent="0.2">
      <c r="A2091" s="5" t="str">
        <f>IF('FUENTE NO BORRAR'!A2109="","",(IF('FUENTE NO BORRAR'!A2109&lt;&gt;"Resultado total",'FUENTE NO BORRAR'!A2109,"")))</f>
        <v/>
      </c>
      <c r="B2091" s="5" t="str">
        <f>IF('FUENTE NO BORRAR'!B2109="","",'FUENTE NO BORRAR'!B2109)</f>
        <v/>
      </c>
      <c r="C2091" s="5" t="str">
        <f>IF('FUENTE NO BORRAR'!C2109="","",'FUENTE NO BORRAR'!C2109)</f>
        <v/>
      </c>
      <c r="D2091" s="5" t="str">
        <f>IF('FUENTE NO BORRAR'!D2109="","",'FUENTE NO BORRAR'!D2109)</f>
        <v/>
      </c>
      <c r="E2091" s="5" t="str">
        <f>IF('FUENTE NO BORRAR'!E2109="","",'FUENTE NO BORRAR'!E2109)</f>
        <v/>
      </c>
      <c r="F2091" s="6">
        <f>IF('FUENTE NO BORRAR'!F2109="","",IF('FUENTE NO BORRAR'!$A2109&lt;&gt;"Resultado total",('FUENTE NO BORRAR'!F2109),""))</f>
        <v>11600</v>
      </c>
      <c r="G2091" s="6">
        <f>IF('FUENTE NO BORRAR'!G2109="","",IF('FUENTE NO BORRAR'!$A2109&lt;&gt;"Resultado total",('FUENTE NO BORRAR'!G2109),""))</f>
        <v>11600</v>
      </c>
      <c r="H2091" s="6">
        <f>IF('FUENTE NO BORRAR'!H2109="","",IF('FUENTE NO BORRAR'!$A2109&lt;&gt;"Resultado total",('FUENTE NO BORRAR'!H2109),""))</f>
        <v>11600</v>
      </c>
      <c r="I2091" s="6">
        <f>IF('FUENTE NO BORRAR'!I2109="","",IF('FUENTE NO BORRAR'!$A2109&lt;&gt;"Resultado total",('FUENTE NO BORRAR'!I2109),""))</f>
        <v>0</v>
      </c>
    </row>
    <row r="2092" spans="1:9" x14ac:dyDescent="0.2">
      <c r="A2092" s="5" t="str">
        <f>IF('FUENTE NO BORRAR'!A2110="","",(IF('FUENTE NO BORRAR'!A2110&lt;&gt;"Resultado total",'FUENTE NO BORRAR'!A2110,"")))</f>
        <v/>
      </c>
      <c r="B2092" s="5" t="str">
        <f>IF('FUENTE NO BORRAR'!B2110="","",'FUENTE NO BORRAR'!B2110)</f>
        <v/>
      </c>
      <c r="C2092" s="5" t="str">
        <f>IF('FUENTE NO BORRAR'!C2110="","",'FUENTE NO BORRAR'!C2110)</f>
        <v/>
      </c>
      <c r="D2092" s="5" t="str">
        <f>IF('FUENTE NO BORRAR'!D2110="","",'FUENTE NO BORRAR'!D2110)</f>
        <v/>
      </c>
      <c r="E2092" s="5" t="str">
        <f>IF('FUENTE NO BORRAR'!E2110="","",'FUENTE NO BORRAR'!E2110)</f>
        <v/>
      </c>
      <c r="F2092" s="6">
        <f>IF('FUENTE NO BORRAR'!F2110="","",IF('FUENTE NO BORRAR'!$A2110&lt;&gt;"Resultado total",('FUENTE NO BORRAR'!F2110),""))</f>
        <v>203833.36</v>
      </c>
      <c r="G2092" s="6">
        <f>IF('FUENTE NO BORRAR'!G2110="","",IF('FUENTE NO BORRAR'!$A2110&lt;&gt;"Resultado total",('FUENTE NO BORRAR'!G2110),""))</f>
        <v>203833.36</v>
      </c>
      <c r="H2092" s="6">
        <f>IF('FUENTE NO BORRAR'!H2110="","",IF('FUENTE NO BORRAR'!$A2110&lt;&gt;"Resultado total",('FUENTE NO BORRAR'!H2110),""))</f>
        <v>172748.4</v>
      </c>
      <c r="I2092" s="6">
        <f>IF('FUENTE NO BORRAR'!I2110="","",IF('FUENTE NO BORRAR'!$A2110&lt;&gt;"Resultado total",('FUENTE NO BORRAR'!I2110),""))</f>
        <v>0</v>
      </c>
    </row>
    <row r="2093" spans="1:9" x14ac:dyDescent="0.2">
      <c r="A2093" s="5" t="str">
        <f>IF('FUENTE NO BORRAR'!A2111="","",(IF('FUENTE NO BORRAR'!A2111&lt;&gt;"Resultado total",'FUENTE NO BORRAR'!A2111,"")))</f>
        <v/>
      </c>
      <c r="B2093" s="5" t="str">
        <f>IF('FUENTE NO BORRAR'!B2111="","",'FUENTE NO BORRAR'!B2111)</f>
        <v/>
      </c>
      <c r="C2093" s="5" t="str">
        <f>IF('FUENTE NO BORRAR'!C2111="","",'FUENTE NO BORRAR'!C2111)</f>
        <v/>
      </c>
      <c r="D2093" s="5" t="str">
        <f>IF('FUENTE NO BORRAR'!D2111="","",'FUENTE NO BORRAR'!D2111)</f>
        <v/>
      </c>
      <c r="E2093" s="5" t="str">
        <f>IF('FUENTE NO BORRAR'!E2111="","",'FUENTE NO BORRAR'!E2111)</f>
        <v/>
      </c>
      <c r="F2093" s="6">
        <f>IF('FUENTE NO BORRAR'!F2111="","",IF('FUENTE NO BORRAR'!$A2111&lt;&gt;"Resultado total",('FUENTE NO BORRAR'!F2111),""))</f>
        <v>68092</v>
      </c>
      <c r="G2093" s="6">
        <f>IF('FUENTE NO BORRAR'!G2111="","",IF('FUENTE NO BORRAR'!$A2111&lt;&gt;"Resultado total",('FUENTE NO BORRAR'!G2111),""))</f>
        <v>68092</v>
      </c>
      <c r="H2093" s="6">
        <f>IF('FUENTE NO BORRAR'!H2111="","",IF('FUENTE NO BORRAR'!$A2111&lt;&gt;"Resultado total",('FUENTE NO BORRAR'!H2111),""))</f>
        <v>68092</v>
      </c>
      <c r="I2093" s="6">
        <f>IF('FUENTE NO BORRAR'!I2111="","",IF('FUENTE NO BORRAR'!$A2111&lt;&gt;"Resultado total",('FUENTE NO BORRAR'!I2111),""))</f>
        <v>0</v>
      </c>
    </row>
    <row r="2094" spans="1:9" x14ac:dyDescent="0.2">
      <c r="A2094" s="5" t="str">
        <f>IF('FUENTE NO BORRAR'!A2112="","",(IF('FUENTE NO BORRAR'!A2112&lt;&gt;"Resultado total",'FUENTE NO BORRAR'!A2112,"")))</f>
        <v/>
      </c>
      <c r="B2094" s="5" t="str">
        <f>IF('FUENTE NO BORRAR'!B2112="","",'FUENTE NO BORRAR'!B2112)</f>
        <v/>
      </c>
      <c r="C2094" s="5" t="str">
        <f>IF('FUENTE NO BORRAR'!C2112="","",'FUENTE NO BORRAR'!C2112)</f>
        <v/>
      </c>
      <c r="D2094" s="5" t="str">
        <f>IF('FUENTE NO BORRAR'!D2112="","",'FUENTE NO BORRAR'!D2112)</f>
        <v/>
      </c>
      <c r="E2094" s="5" t="str">
        <f>IF('FUENTE NO BORRAR'!E2112="","",'FUENTE NO BORRAR'!E2112)</f>
        <v/>
      </c>
      <c r="F2094" s="6">
        <f>IF('FUENTE NO BORRAR'!F2112="","",IF('FUENTE NO BORRAR'!$A2112&lt;&gt;"Resultado total",('FUENTE NO BORRAR'!F2112),""))</f>
        <v>25752</v>
      </c>
      <c r="G2094" s="6">
        <f>IF('FUENTE NO BORRAR'!G2112="","",IF('FUENTE NO BORRAR'!$A2112&lt;&gt;"Resultado total",('FUENTE NO BORRAR'!G2112),""))</f>
        <v>25752</v>
      </c>
      <c r="H2094" s="6">
        <f>IF('FUENTE NO BORRAR'!H2112="","",IF('FUENTE NO BORRAR'!$A2112&lt;&gt;"Resultado total",('FUENTE NO BORRAR'!H2112),""))</f>
        <v>25752</v>
      </c>
      <c r="I2094" s="6">
        <f>IF('FUENTE NO BORRAR'!I2112="","",IF('FUENTE NO BORRAR'!$A2112&lt;&gt;"Resultado total",('FUENTE NO BORRAR'!I2112),""))</f>
        <v>0</v>
      </c>
    </row>
    <row r="2095" spans="1:9" x14ac:dyDescent="0.2">
      <c r="A2095" s="5" t="str">
        <f>IF('FUENTE NO BORRAR'!A2113="","",(IF('FUENTE NO BORRAR'!A2113&lt;&gt;"Resultado total",'FUENTE NO BORRAR'!A2113,"")))</f>
        <v/>
      </c>
      <c r="B2095" s="5" t="str">
        <f>IF('FUENTE NO BORRAR'!B2113="","",'FUENTE NO BORRAR'!B2113)</f>
        <v/>
      </c>
      <c r="C2095" s="5" t="str">
        <f>IF('FUENTE NO BORRAR'!C2113="","",'FUENTE NO BORRAR'!C2113)</f>
        <v/>
      </c>
      <c r="D2095" s="5" t="str">
        <f>IF('FUENTE NO BORRAR'!D2113="","",'FUENTE NO BORRAR'!D2113)</f>
        <v/>
      </c>
      <c r="E2095" s="5" t="str">
        <f>IF('FUENTE NO BORRAR'!E2113="","",'FUENTE NO BORRAR'!E2113)</f>
        <v/>
      </c>
      <c r="F2095" s="6">
        <f>IF('FUENTE NO BORRAR'!F2113="","",IF('FUENTE NO BORRAR'!$A2113&lt;&gt;"Resultado total",('FUENTE NO BORRAR'!F2113),""))</f>
        <v>3132</v>
      </c>
      <c r="G2095" s="6">
        <f>IF('FUENTE NO BORRAR'!G2113="","",IF('FUENTE NO BORRAR'!$A2113&lt;&gt;"Resultado total",('FUENTE NO BORRAR'!G2113),""))</f>
        <v>3132</v>
      </c>
      <c r="H2095" s="6">
        <f>IF('FUENTE NO BORRAR'!H2113="","",IF('FUENTE NO BORRAR'!$A2113&lt;&gt;"Resultado total",('FUENTE NO BORRAR'!H2113),""))</f>
        <v>3132</v>
      </c>
      <c r="I2095" s="6">
        <f>IF('FUENTE NO BORRAR'!I2113="","",IF('FUENTE NO BORRAR'!$A2113&lt;&gt;"Resultado total",('FUENTE NO BORRAR'!I2113),""))</f>
        <v>0</v>
      </c>
    </row>
    <row r="2096" spans="1:9" x14ac:dyDescent="0.2">
      <c r="A2096" s="5" t="str">
        <f>IF('FUENTE NO BORRAR'!A2114="","",(IF('FUENTE NO BORRAR'!A2114&lt;&gt;"Resultado total",'FUENTE NO BORRAR'!A2114,"")))</f>
        <v/>
      </c>
      <c r="B2096" s="5" t="str">
        <f>IF('FUENTE NO BORRAR'!B2114="","",'FUENTE NO BORRAR'!B2114)</f>
        <v/>
      </c>
      <c r="C2096" s="5" t="str">
        <f>IF('FUENTE NO BORRAR'!C2114="","",'FUENTE NO BORRAR'!C2114)</f>
        <v/>
      </c>
      <c r="D2096" s="5" t="str">
        <f>IF('FUENTE NO BORRAR'!D2114="","",'FUENTE NO BORRAR'!D2114)</f>
        <v/>
      </c>
      <c r="E2096" s="5" t="str">
        <f>IF('FUENTE NO BORRAR'!E2114="","",'FUENTE NO BORRAR'!E2114)</f>
        <v/>
      </c>
      <c r="F2096" s="6">
        <f>IF('FUENTE NO BORRAR'!F2114="","",IF('FUENTE NO BORRAR'!$A2114&lt;&gt;"Resultado total",('FUENTE NO BORRAR'!F2114),""))</f>
        <v>12199.99</v>
      </c>
      <c r="G2096" s="6">
        <f>IF('FUENTE NO BORRAR'!G2114="","",IF('FUENTE NO BORRAR'!$A2114&lt;&gt;"Resultado total",('FUENTE NO BORRAR'!G2114),""))</f>
        <v>12199.99</v>
      </c>
      <c r="H2096" s="6">
        <f>IF('FUENTE NO BORRAR'!H2114="","",IF('FUENTE NO BORRAR'!$A2114&lt;&gt;"Resultado total",('FUENTE NO BORRAR'!H2114),""))</f>
        <v>7200</v>
      </c>
      <c r="I2096" s="6">
        <f>IF('FUENTE NO BORRAR'!I2114="","",IF('FUENTE NO BORRAR'!$A2114&lt;&gt;"Resultado total",('FUENTE NO BORRAR'!I2114),""))</f>
        <v>0</v>
      </c>
    </row>
    <row r="2097" spans="1:9" x14ac:dyDescent="0.2">
      <c r="A2097" s="5" t="str">
        <f>IF('FUENTE NO BORRAR'!A2115="","",(IF('FUENTE NO BORRAR'!A2115&lt;&gt;"Resultado total",'FUENTE NO BORRAR'!A2115,"")))</f>
        <v/>
      </c>
      <c r="B2097" s="5" t="str">
        <f>IF('FUENTE NO BORRAR'!B2115="","",'FUENTE NO BORRAR'!B2115)</f>
        <v/>
      </c>
      <c r="C2097" s="5" t="str">
        <f>IF('FUENTE NO BORRAR'!C2115="","",'FUENTE NO BORRAR'!C2115)</f>
        <v/>
      </c>
      <c r="D2097" s="5" t="str">
        <f>IF('FUENTE NO BORRAR'!D2115="","",'FUENTE NO BORRAR'!D2115)</f>
        <v/>
      </c>
      <c r="E2097" s="5" t="str">
        <f>IF('FUENTE NO BORRAR'!E2115="","",'FUENTE NO BORRAR'!E2115)</f>
        <v/>
      </c>
      <c r="F2097" s="6">
        <f>IF('FUENTE NO BORRAR'!F2115="","",IF('FUENTE NO BORRAR'!$A2115&lt;&gt;"Resultado total",('FUENTE NO BORRAR'!F2115),""))</f>
        <v>0</v>
      </c>
      <c r="G2097" s="6">
        <f>IF('FUENTE NO BORRAR'!G2115="","",IF('FUENTE NO BORRAR'!$A2115&lt;&gt;"Resultado total",('FUENTE NO BORRAR'!G2115),""))</f>
        <v>0</v>
      </c>
      <c r="H2097" s="6">
        <f>IF('FUENTE NO BORRAR'!H2115="","",IF('FUENTE NO BORRAR'!$A2115&lt;&gt;"Resultado total",('FUENTE NO BORRAR'!H2115),""))</f>
        <v>0</v>
      </c>
      <c r="I2097" s="6">
        <f>IF('FUENTE NO BORRAR'!I2115="","",IF('FUENTE NO BORRAR'!$A2115&lt;&gt;"Resultado total",('FUENTE NO BORRAR'!I2115),""))</f>
        <v>0</v>
      </c>
    </row>
    <row r="2098" spans="1:9" x14ac:dyDescent="0.2">
      <c r="A2098" s="5" t="str">
        <f>IF('FUENTE NO BORRAR'!A2116="","",(IF('FUENTE NO BORRAR'!A2116&lt;&gt;"Resultado total",'FUENTE NO BORRAR'!A2116,"")))</f>
        <v/>
      </c>
      <c r="B2098" s="5" t="str">
        <f>IF('FUENTE NO BORRAR'!B2116="","",'FUENTE NO BORRAR'!B2116)</f>
        <v/>
      </c>
      <c r="C2098" s="5" t="str">
        <f>IF('FUENTE NO BORRAR'!C2116="","",'FUENTE NO BORRAR'!C2116)</f>
        <v/>
      </c>
      <c r="D2098" s="5" t="str">
        <f>IF('FUENTE NO BORRAR'!D2116="","",'FUENTE NO BORRAR'!D2116)</f>
        <v/>
      </c>
      <c r="E2098" s="5" t="str">
        <f>IF('FUENTE NO BORRAR'!E2116="","",'FUENTE NO BORRAR'!E2116)</f>
        <v/>
      </c>
      <c r="F2098" s="6">
        <f>IF('FUENTE NO BORRAR'!F2116="","",IF('FUENTE NO BORRAR'!$A2116&lt;&gt;"Resultado total",('FUENTE NO BORRAR'!F2116),""))</f>
        <v>450</v>
      </c>
      <c r="G2098" s="6">
        <f>IF('FUENTE NO BORRAR'!G2116="","",IF('FUENTE NO BORRAR'!$A2116&lt;&gt;"Resultado total",('FUENTE NO BORRAR'!G2116),""))</f>
        <v>450</v>
      </c>
      <c r="H2098" s="6">
        <f>IF('FUENTE NO BORRAR'!H2116="","",IF('FUENTE NO BORRAR'!$A2116&lt;&gt;"Resultado total",('FUENTE NO BORRAR'!H2116),""))</f>
        <v>450</v>
      </c>
      <c r="I2098" s="6">
        <f>IF('FUENTE NO BORRAR'!I2116="","",IF('FUENTE NO BORRAR'!$A2116&lt;&gt;"Resultado total",('FUENTE NO BORRAR'!I2116),""))</f>
        <v>0</v>
      </c>
    </row>
    <row r="2099" spans="1:9" x14ac:dyDescent="0.2">
      <c r="A2099" s="5" t="str">
        <f>IF('FUENTE NO BORRAR'!A2117="","",(IF('FUENTE NO BORRAR'!A2117&lt;&gt;"Resultado total",'FUENTE NO BORRAR'!A2117,"")))</f>
        <v/>
      </c>
      <c r="B2099" s="5" t="str">
        <f>IF('FUENTE NO BORRAR'!B2117="","",'FUENTE NO BORRAR'!B2117)</f>
        <v/>
      </c>
      <c r="C2099" s="5" t="str">
        <f>IF('FUENTE NO BORRAR'!C2117="","",'FUENTE NO BORRAR'!C2117)</f>
        <v/>
      </c>
      <c r="D2099" s="5" t="str">
        <f>IF('FUENTE NO BORRAR'!D2117="","",'FUENTE NO BORRAR'!D2117)</f>
        <v/>
      </c>
      <c r="E2099" s="5" t="str">
        <f>IF('FUENTE NO BORRAR'!E2117="","",'FUENTE NO BORRAR'!E2117)</f>
        <v/>
      </c>
      <c r="F2099" s="6">
        <f>IF('FUENTE NO BORRAR'!F2117="","",IF('FUENTE NO BORRAR'!$A2117&lt;&gt;"Resultado total",('FUENTE NO BORRAR'!F2117),""))</f>
        <v>23200</v>
      </c>
      <c r="G2099" s="6">
        <f>IF('FUENTE NO BORRAR'!G2117="","",IF('FUENTE NO BORRAR'!$A2117&lt;&gt;"Resultado total",('FUENTE NO BORRAR'!G2117),""))</f>
        <v>23200</v>
      </c>
      <c r="H2099" s="6">
        <f>IF('FUENTE NO BORRAR'!H2117="","",IF('FUENTE NO BORRAR'!$A2117&lt;&gt;"Resultado total",('FUENTE NO BORRAR'!H2117),""))</f>
        <v>23200</v>
      </c>
      <c r="I2099" s="6">
        <f>IF('FUENTE NO BORRAR'!I2117="","",IF('FUENTE NO BORRAR'!$A2117&lt;&gt;"Resultado total",('FUENTE NO BORRAR'!I2117),""))</f>
        <v>0</v>
      </c>
    </row>
    <row r="2100" spans="1:9" x14ac:dyDescent="0.2">
      <c r="A2100" s="5" t="str">
        <f>IF('FUENTE NO BORRAR'!A2118="","",(IF('FUENTE NO BORRAR'!A2118&lt;&gt;"Resultado total",'FUENTE NO BORRAR'!A2118,"")))</f>
        <v/>
      </c>
      <c r="B2100" s="5" t="str">
        <f>IF('FUENTE NO BORRAR'!B2118="","",'FUENTE NO BORRAR'!B2118)</f>
        <v/>
      </c>
      <c r="C2100" s="5" t="str">
        <f>IF('FUENTE NO BORRAR'!C2118="","",'FUENTE NO BORRAR'!C2118)</f>
        <v/>
      </c>
      <c r="D2100" s="5" t="str">
        <f>IF('FUENTE NO BORRAR'!D2118="","",'FUENTE NO BORRAR'!D2118)</f>
        <v/>
      </c>
      <c r="E2100" s="5" t="str">
        <f>IF('FUENTE NO BORRAR'!E2118="","",'FUENTE NO BORRAR'!E2118)</f>
        <v/>
      </c>
      <c r="F2100" s="6">
        <f>IF('FUENTE NO BORRAR'!F2118="","",IF('FUENTE NO BORRAR'!$A2118&lt;&gt;"Resultado total",('FUENTE NO BORRAR'!F2118),""))</f>
        <v>20000</v>
      </c>
      <c r="G2100" s="6">
        <f>IF('FUENTE NO BORRAR'!G2118="","",IF('FUENTE NO BORRAR'!$A2118&lt;&gt;"Resultado total",('FUENTE NO BORRAR'!G2118),""))</f>
        <v>20000</v>
      </c>
      <c r="H2100" s="6">
        <f>IF('FUENTE NO BORRAR'!H2118="","",IF('FUENTE NO BORRAR'!$A2118&lt;&gt;"Resultado total",('FUENTE NO BORRAR'!H2118),""))</f>
        <v>20000</v>
      </c>
      <c r="I2100" s="6">
        <f>IF('FUENTE NO BORRAR'!I2118="","",IF('FUENTE NO BORRAR'!$A2118&lt;&gt;"Resultado total",('FUENTE NO BORRAR'!I2118),""))</f>
        <v>0</v>
      </c>
    </row>
    <row r="2101" spans="1:9" x14ac:dyDescent="0.2">
      <c r="A2101" s="5" t="str">
        <f>IF('FUENTE NO BORRAR'!A2119="","",(IF('FUENTE NO BORRAR'!A2119&lt;&gt;"Resultado total",'FUENTE NO BORRAR'!A2119,"")))</f>
        <v/>
      </c>
      <c r="B2101" s="5" t="str">
        <f>IF('FUENTE NO BORRAR'!B2119="","",'FUENTE NO BORRAR'!B2119)</f>
        <v/>
      </c>
      <c r="C2101" s="5" t="str">
        <f>IF('FUENTE NO BORRAR'!C2119="","",'FUENTE NO BORRAR'!C2119)</f>
        <v/>
      </c>
      <c r="D2101" s="5" t="str">
        <f>IF('FUENTE NO BORRAR'!D2119="","",'FUENTE NO BORRAR'!D2119)</f>
        <v/>
      </c>
      <c r="E2101" s="5" t="str">
        <f>IF('FUENTE NO BORRAR'!E2119="","",'FUENTE NO BORRAR'!E2119)</f>
        <v/>
      </c>
      <c r="F2101" s="6">
        <f>IF('FUENTE NO BORRAR'!F2119="","",IF('FUENTE NO BORRAR'!$A2119&lt;&gt;"Resultado total",('FUENTE NO BORRAR'!F2119),""))</f>
        <v>15193.22</v>
      </c>
      <c r="G2101" s="6">
        <f>IF('FUENTE NO BORRAR'!G2119="","",IF('FUENTE NO BORRAR'!$A2119&lt;&gt;"Resultado total",('FUENTE NO BORRAR'!G2119),""))</f>
        <v>15193.22</v>
      </c>
      <c r="H2101" s="6">
        <f>IF('FUENTE NO BORRAR'!H2119="","",IF('FUENTE NO BORRAR'!$A2119&lt;&gt;"Resultado total",('FUENTE NO BORRAR'!H2119),""))</f>
        <v>15193.22</v>
      </c>
      <c r="I2101" s="6">
        <f>IF('FUENTE NO BORRAR'!I2119="","",IF('FUENTE NO BORRAR'!$A2119&lt;&gt;"Resultado total",('FUENTE NO BORRAR'!I2119),""))</f>
        <v>0</v>
      </c>
    </row>
    <row r="2102" spans="1:9" x14ac:dyDescent="0.2">
      <c r="A2102" s="5" t="str">
        <f>IF('FUENTE NO BORRAR'!A2120="","",(IF('FUENTE NO BORRAR'!A2120&lt;&gt;"Resultado total",'FUENTE NO BORRAR'!A2120,"")))</f>
        <v/>
      </c>
      <c r="B2102" s="5" t="str">
        <f>IF('FUENTE NO BORRAR'!B2120="","",'FUENTE NO BORRAR'!B2120)</f>
        <v/>
      </c>
      <c r="C2102" s="5" t="str">
        <f>IF('FUENTE NO BORRAR'!C2120="","",'FUENTE NO BORRAR'!C2120)</f>
        <v/>
      </c>
      <c r="D2102" s="5" t="str">
        <f>IF('FUENTE NO BORRAR'!D2120="","",'FUENTE NO BORRAR'!D2120)</f>
        <v/>
      </c>
      <c r="E2102" s="5" t="str">
        <f>IF('FUENTE NO BORRAR'!E2120="","",'FUENTE NO BORRAR'!E2120)</f>
        <v/>
      </c>
      <c r="F2102" s="6">
        <f>IF('FUENTE NO BORRAR'!F2120="","",IF('FUENTE NO BORRAR'!$A2120&lt;&gt;"Resultado total",('FUENTE NO BORRAR'!F2120),""))</f>
        <v>3123825.5</v>
      </c>
      <c r="G2102" s="6">
        <f>IF('FUENTE NO BORRAR'!G2120="","",IF('FUENTE NO BORRAR'!$A2120&lt;&gt;"Resultado total",('FUENTE NO BORRAR'!G2120),""))</f>
        <v>3123825</v>
      </c>
      <c r="H2102" s="6">
        <f>IF('FUENTE NO BORRAR'!H2120="","",IF('FUENTE NO BORRAR'!$A2120&lt;&gt;"Resultado total",('FUENTE NO BORRAR'!H2120),""))</f>
        <v>2054912.5</v>
      </c>
      <c r="I2102" s="6">
        <f>IF('FUENTE NO BORRAR'!I2120="","",IF('FUENTE NO BORRAR'!$A2120&lt;&gt;"Resultado total",('FUENTE NO BORRAR'!I2120),""))</f>
        <v>0.5</v>
      </c>
    </row>
    <row r="2103" spans="1:9" x14ac:dyDescent="0.2">
      <c r="A2103" s="5" t="str">
        <f>IF('FUENTE NO BORRAR'!A2121="","",(IF('FUENTE NO BORRAR'!A2121&lt;&gt;"Resultado total",'FUENTE NO BORRAR'!A2121,"")))</f>
        <v/>
      </c>
      <c r="B2103" s="5" t="str">
        <f>IF('FUENTE NO BORRAR'!B2121="","",'FUENTE NO BORRAR'!B2121)</f>
        <v/>
      </c>
      <c r="C2103" s="5" t="str">
        <f>IF('FUENTE NO BORRAR'!C2121="","",'FUENTE NO BORRAR'!C2121)</f>
        <v/>
      </c>
      <c r="D2103" s="5" t="str">
        <f>IF('FUENTE NO BORRAR'!D2121="","",'FUENTE NO BORRAR'!D2121)</f>
        <v/>
      </c>
      <c r="E2103" s="5" t="str">
        <f>IF('FUENTE NO BORRAR'!E2121="","",'FUENTE NO BORRAR'!E2121)</f>
        <v/>
      </c>
      <c r="F2103" s="6">
        <f>IF('FUENTE NO BORRAR'!F2121="","",IF('FUENTE NO BORRAR'!$A2121&lt;&gt;"Resultado total",('FUENTE NO BORRAR'!F2121),""))</f>
        <v>39125.519999999997</v>
      </c>
      <c r="G2103" s="6">
        <f>IF('FUENTE NO BORRAR'!G2121="","",IF('FUENTE NO BORRAR'!$A2121&lt;&gt;"Resultado total",('FUENTE NO BORRAR'!G2121),""))</f>
        <v>39125.519999999997</v>
      </c>
      <c r="H2103" s="6">
        <f>IF('FUENTE NO BORRAR'!H2121="","",IF('FUENTE NO BORRAR'!$A2121&lt;&gt;"Resultado total",('FUENTE NO BORRAR'!H2121),""))</f>
        <v>39125.519999999997</v>
      </c>
      <c r="I2103" s="6">
        <f>IF('FUENTE NO BORRAR'!I2121="","",IF('FUENTE NO BORRAR'!$A2121&lt;&gt;"Resultado total",('FUENTE NO BORRAR'!I2121),""))</f>
        <v>0</v>
      </c>
    </row>
    <row r="2104" spans="1:9" x14ac:dyDescent="0.2">
      <c r="A2104" s="5" t="str">
        <f>IF('FUENTE NO BORRAR'!A2122="","",(IF('FUENTE NO BORRAR'!A2122&lt;&gt;"Resultado total",'FUENTE NO BORRAR'!A2122,"")))</f>
        <v/>
      </c>
      <c r="B2104" s="5" t="str">
        <f>IF('FUENTE NO BORRAR'!B2122="","",'FUENTE NO BORRAR'!B2122)</f>
        <v/>
      </c>
      <c r="C2104" s="5" t="str">
        <f>IF('FUENTE NO BORRAR'!C2122="","",'FUENTE NO BORRAR'!C2122)</f>
        <v/>
      </c>
      <c r="D2104" s="5" t="str">
        <f>IF('FUENTE NO BORRAR'!D2122="","",'FUENTE NO BORRAR'!D2122)</f>
        <v/>
      </c>
      <c r="E2104" s="5" t="str">
        <f>IF('FUENTE NO BORRAR'!E2122="","",'FUENTE NO BORRAR'!E2122)</f>
        <v/>
      </c>
      <c r="F2104" s="6">
        <f>IF('FUENTE NO BORRAR'!F2122="","",IF('FUENTE NO BORRAR'!$A2122&lt;&gt;"Resultado total",('FUENTE NO BORRAR'!F2122),""))</f>
        <v>69633.2</v>
      </c>
      <c r="G2104" s="6">
        <f>IF('FUENTE NO BORRAR'!G2122="","",IF('FUENTE NO BORRAR'!$A2122&lt;&gt;"Resultado total",('FUENTE NO BORRAR'!G2122),""))</f>
        <v>69633.2</v>
      </c>
      <c r="H2104" s="6">
        <f>IF('FUENTE NO BORRAR'!H2122="","",IF('FUENTE NO BORRAR'!$A2122&lt;&gt;"Resultado total",('FUENTE NO BORRAR'!H2122),""))</f>
        <v>50773.2</v>
      </c>
      <c r="I2104" s="6">
        <f>IF('FUENTE NO BORRAR'!I2122="","",IF('FUENTE NO BORRAR'!$A2122&lt;&gt;"Resultado total",('FUENTE NO BORRAR'!I2122),""))</f>
        <v>0</v>
      </c>
    </row>
    <row r="2105" spans="1:9" x14ac:dyDescent="0.2">
      <c r="A2105" s="5" t="str">
        <f>IF('FUENTE NO BORRAR'!A2123="","",(IF('FUENTE NO BORRAR'!A2123&lt;&gt;"Resultado total",'FUENTE NO BORRAR'!A2123,"")))</f>
        <v/>
      </c>
      <c r="B2105" s="5" t="str">
        <f>IF('FUENTE NO BORRAR'!B2123="","",'FUENTE NO BORRAR'!B2123)</f>
        <v/>
      </c>
      <c r="C2105" s="5" t="str">
        <f>IF('FUENTE NO BORRAR'!C2123="","",'FUENTE NO BORRAR'!C2123)</f>
        <v/>
      </c>
      <c r="D2105" s="5" t="str">
        <f>IF('FUENTE NO BORRAR'!D2123="","",'FUENTE NO BORRAR'!D2123)</f>
        <v/>
      </c>
      <c r="E2105" s="5" t="str">
        <f>IF('FUENTE NO BORRAR'!E2123="","",'FUENTE NO BORRAR'!E2123)</f>
        <v/>
      </c>
      <c r="F2105" s="6">
        <f>IF('FUENTE NO BORRAR'!F2123="","",IF('FUENTE NO BORRAR'!$A2123&lt;&gt;"Resultado total",('FUENTE NO BORRAR'!F2123),""))</f>
        <v>35433.5</v>
      </c>
      <c r="G2105" s="6">
        <f>IF('FUENTE NO BORRAR'!G2123="","",IF('FUENTE NO BORRAR'!$A2123&lt;&gt;"Resultado total",('FUENTE NO BORRAR'!G2123),""))</f>
        <v>35433.5</v>
      </c>
      <c r="H2105" s="6">
        <f>IF('FUENTE NO BORRAR'!H2123="","",IF('FUENTE NO BORRAR'!$A2123&lt;&gt;"Resultado total",('FUENTE NO BORRAR'!H2123),""))</f>
        <v>35433.5</v>
      </c>
      <c r="I2105" s="6">
        <f>IF('FUENTE NO BORRAR'!I2123="","",IF('FUENTE NO BORRAR'!$A2123&lt;&gt;"Resultado total",('FUENTE NO BORRAR'!I2123),""))</f>
        <v>0</v>
      </c>
    </row>
    <row r="2106" spans="1:9" x14ac:dyDescent="0.2">
      <c r="A2106" s="5" t="str">
        <f>IF('FUENTE NO BORRAR'!A2124="","",(IF('FUENTE NO BORRAR'!A2124&lt;&gt;"Resultado total",'FUENTE NO BORRAR'!A2124,"")))</f>
        <v/>
      </c>
      <c r="B2106" s="5" t="str">
        <f>IF('FUENTE NO BORRAR'!B2124="","",'FUENTE NO BORRAR'!B2124)</f>
        <v/>
      </c>
      <c r="C2106" s="5" t="str">
        <f>IF('FUENTE NO BORRAR'!C2124="","",'FUENTE NO BORRAR'!C2124)</f>
        <v/>
      </c>
      <c r="D2106" s="5" t="str">
        <f>IF('FUENTE NO BORRAR'!D2124="","",'FUENTE NO BORRAR'!D2124)</f>
        <v/>
      </c>
      <c r="E2106" s="5" t="str">
        <f>IF('FUENTE NO BORRAR'!E2124="","",'FUENTE NO BORRAR'!E2124)</f>
        <v/>
      </c>
      <c r="F2106" s="6">
        <f>IF('FUENTE NO BORRAR'!F2124="","",IF('FUENTE NO BORRAR'!$A2124&lt;&gt;"Resultado total",('FUENTE NO BORRAR'!F2124),""))</f>
        <v>11800</v>
      </c>
      <c r="G2106" s="6">
        <f>IF('FUENTE NO BORRAR'!G2124="","",IF('FUENTE NO BORRAR'!$A2124&lt;&gt;"Resultado total",('FUENTE NO BORRAR'!G2124),""))</f>
        <v>11800</v>
      </c>
      <c r="H2106" s="6">
        <f>IF('FUENTE NO BORRAR'!H2124="","",IF('FUENTE NO BORRAR'!$A2124&lt;&gt;"Resultado total",('FUENTE NO BORRAR'!H2124),""))</f>
        <v>11800</v>
      </c>
      <c r="I2106" s="6">
        <f>IF('FUENTE NO BORRAR'!I2124="","",IF('FUENTE NO BORRAR'!$A2124&lt;&gt;"Resultado total",('FUENTE NO BORRAR'!I2124),""))</f>
        <v>0</v>
      </c>
    </row>
    <row r="2107" spans="1:9" x14ac:dyDescent="0.2">
      <c r="A2107" s="5" t="str">
        <f>IF('FUENTE NO BORRAR'!A2125="","",(IF('FUENTE NO BORRAR'!A2125&lt;&gt;"Resultado total",'FUENTE NO BORRAR'!A2125,"")))</f>
        <v/>
      </c>
      <c r="B2107" s="5" t="str">
        <f>IF('FUENTE NO BORRAR'!B2125="","",'FUENTE NO BORRAR'!B2125)</f>
        <v/>
      </c>
      <c r="C2107" s="5" t="str">
        <f>IF('FUENTE NO BORRAR'!C2125="","",'FUENTE NO BORRAR'!C2125)</f>
        <v/>
      </c>
      <c r="D2107" s="5" t="str">
        <f>IF('FUENTE NO BORRAR'!D2125="","",'FUENTE NO BORRAR'!D2125)</f>
        <v/>
      </c>
      <c r="E2107" s="5" t="str">
        <f>IF('FUENTE NO BORRAR'!E2125="","",'FUENTE NO BORRAR'!E2125)</f>
        <v/>
      </c>
      <c r="F2107" s="6">
        <f>IF('FUENTE NO BORRAR'!F2125="","",IF('FUENTE NO BORRAR'!$A2125&lt;&gt;"Resultado total",('FUENTE NO BORRAR'!F2125),""))</f>
        <v>58280</v>
      </c>
      <c r="G2107" s="6">
        <f>IF('FUENTE NO BORRAR'!G2125="","",IF('FUENTE NO BORRAR'!$A2125&lt;&gt;"Resultado total",('FUENTE NO BORRAR'!G2125),""))</f>
        <v>58280</v>
      </c>
      <c r="H2107" s="6">
        <f>IF('FUENTE NO BORRAR'!H2125="","",IF('FUENTE NO BORRAR'!$A2125&lt;&gt;"Resultado total",('FUENTE NO BORRAR'!H2125),""))</f>
        <v>58280</v>
      </c>
      <c r="I2107" s="6">
        <f>IF('FUENTE NO BORRAR'!I2125="","",IF('FUENTE NO BORRAR'!$A2125&lt;&gt;"Resultado total",('FUENTE NO BORRAR'!I2125),""))</f>
        <v>0</v>
      </c>
    </row>
    <row r="2108" spans="1:9" x14ac:dyDescent="0.2">
      <c r="A2108" s="5" t="str">
        <f>IF('FUENTE NO BORRAR'!A2126="","",(IF('FUENTE NO BORRAR'!A2126&lt;&gt;"Resultado total",'FUENTE NO BORRAR'!A2126,"")))</f>
        <v/>
      </c>
      <c r="B2108" s="5" t="str">
        <f>IF('FUENTE NO BORRAR'!B2126="","",'FUENTE NO BORRAR'!B2126)</f>
        <v/>
      </c>
      <c r="C2108" s="5" t="str">
        <f>IF('FUENTE NO BORRAR'!C2126="","",'FUENTE NO BORRAR'!C2126)</f>
        <v/>
      </c>
      <c r="D2108" s="5" t="str">
        <f>IF('FUENTE NO BORRAR'!D2126="","",'FUENTE NO BORRAR'!D2126)</f>
        <v/>
      </c>
      <c r="E2108" s="5" t="str">
        <f>IF('FUENTE NO BORRAR'!E2126="","",'FUENTE NO BORRAR'!E2126)</f>
        <v/>
      </c>
      <c r="F2108" s="6">
        <f>IF('FUENTE NO BORRAR'!F2126="","",IF('FUENTE NO BORRAR'!$A2126&lt;&gt;"Resultado total",('FUENTE NO BORRAR'!F2126),""))</f>
        <v>2195610.2000000002</v>
      </c>
      <c r="G2108" s="6">
        <f>IF('FUENTE NO BORRAR'!G2126="","",IF('FUENTE NO BORRAR'!$A2126&lt;&gt;"Resultado total",('FUENTE NO BORRAR'!G2126),""))</f>
        <v>2195610.2000000002</v>
      </c>
      <c r="H2108" s="6">
        <f>IF('FUENTE NO BORRAR'!H2126="","",IF('FUENTE NO BORRAR'!$A2126&lt;&gt;"Resultado total",('FUENTE NO BORRAR'!H2126),""))</f>
        <v>2195610.2000000002</v>
      </c>
      <c r="I2108" s="6">
        <f>IF('FUENTE NO BORRAR'!I2126="","",IF('FUENTE NO BORRAR'!$A2126&lt;&gt;"Resultado total",('FUENTE NO BORRAR'!I2126),""))</f>
        <v>0</v>
      </c>
    </row>
    <row r="2109" spans="1:9" x14ac:dyDescent="0.2">
      <c r="A2109" s="5" t="str">
        <f>IF('FUENTE NO BORRAR'!A2127="","",(IF('FUENTE NO BORRAR'!A2127&lt;&gt;"Resultado total",'FUENTE NO BORRAR'!A2127,"")))</f>
        <v/>
      </c>
      <c r="B2109" s="5" t="str">
        <f>IF('FUENTE NO BORRAR'!B2127="","",'FUENTE NO BORRAR'!B2127)</f>
        <v/>
      </c>
      <c r="C2109" s="5" t="str">
        <f>IF('FUENTE NO BORRAR'!C2127="","",'FUENTE NO BORRAR'!C2127)</f>
        <v/>
      </c>
      <c r="D2109" s="5" t="str">
        <f>IF('FUENTE NO BORRAR'!D2127="","",'FUENTE NO BORRAR'!D2127)</f>
        <v/>
      </c>
      <c r="E2109" s="5" t="str">
        <f>IF('FUENTE NO BORRAR'!E2127="","",'FUENTE NO BORRAR'!E2127)</f>
        <v/>
      </c>
      <c r="F2109" s="6">
        <f>IF('FUENTE NO BORRAR'!F2127="","",IF('FUENTE NO BORRAR'!$A2127&lt;&gt;"Resultado total",('FUENTE NO BORRAR'!F2127),""))</f>
        <v>60490.239999999998</v>
      </c>
      <c r="G2109" s="6">
        <f>IF('FUENTE NO BORRAR'!G2127="","",IF('FUENTE NO BORRAR'!$A2127&lt;&gt;"Resultado total",('FUENTE NO BORRAR'!G2127),""))</f>
        <v>60490.239999999998</v>
      </c>
      <c r="H2109" s="6">
        <f>IF('FUENTE NO BORRAR'!H2127="","",IF('FUENTE NO BORRAR'!$A2127&lt;&gt;"Resultado total",('FUENTE NO BORRAR'!H2127),""))</f>
        <v>41465.67</v>
      </c>
      <c r="I2109" s="6">
        <f>IF('FUENTE NO BORRAR'!I2127="","",IF('FUENTE NO BORRAR'!$A2127&lt;&gt;"Resultado total",('FUENTE NO BORRAR'!I2127),""))</f>
        <v>0</v>
      </c>
    </row>
    <row r="2110" spans="1:9" x14ac:dyDescent="0.2">
      <c r="A2110" s="5" t="str">
        <f>IF('FUENTE NO BORRAR'!A2128="","",(IF('FUENTE NO BORRAR'!A2128&lt;&gt;"Resultado total",'FUENTE NO BORRAR'!A2128,"")))</f>
        <v/>
      </c>
      <c r="B2110" s="5" t="str">
        <f>IF('FUENTE NO BORRAR'!B2128="","",'FUENTE NO BORRAR'!B2128)</f>
        <v/>
      </c>
      <c r="C2110" s="5" t="str">
        <f>IF('FUENTE NO BORRAR'!C2128="","",'FUENTE NO BORRAR'!C2128)</f>
        <v/>
      </c>
      <c r="D2110" s="5" t="str">
        <f>IF('FUENTE NO BORRAR'!D2128="","",'FUENTE NO BORRAR'!D2128)</f>
        <v/>
      </c>
      <c r="E2110" s="5" t="str">
        <f>IF('FUENTE NO BORRAR'!E2128="","",'FUENTE NO BORRAR'!E2128)</f>
        <v/>
      </c>
      <c r="F2110" s="6">
        <f>IF('FUENTE NO BORRAR'!F2128="","",IF('FUENTE NO BORRAR'!$A2128&lt;&gt;"Resultado total",('FUENTE NO BORRAR'!F2128),""))</f>
        <v>2320</v>
      </c>
      <c r="G2110" s="6">
        <f>IF('FUENTE NO BORRAR'!G2128="","",IF('FUENTE NO BORRAR'!$A2128&lt;&gt;"Resultado total",('FUENTE NO BORRAR'!G2128),""))</f>
        <v>2320</v>
      </c>
      <c r="H2110" s="6">
        <f>IF('FUENTE NO BORRAR'!H2128="","",IF('FUENTE NO BORRAR'!$A2128&lt;&gt;"Resultado total",('FUENTE NO BORRAR'!H2128),""))</f>
        <v>2320</v>
      </c>
      <c r="I2110" s="6">
        <f>IF('FUENTE NO BORRAR'!I2128="","",IF('FUENTE NO BORRAR'!$A2128&lt;&gt;"Resultado total",('FUENTE NO BORRAR'!I2128),""))</f>
        <v>0</v>
      </c>
    </row>
    <row r="2111" spans="1:9" x14ac:dyDescent="0.2">
      <c r="A2111" s="5" t="str">
        <f>IF('FUENTE NO BORRAR'!A2129="","",(IF('FUENTE NO BORRAR'!A2129&lt;&gt;"Resultado total",'FUENTE NO BORRAR'!A2129,"")))</f>
        <v/>
      </c>
      <c r="B2111" s="5" t="str">
        <f>IF('FUENTE NO BORRAR'!B2129="","",'FUENTE NO BORRAR'!B2129)</f>
        <v/>
      </c>
      <c r="C2111" s="5" t="str">
        <f>IF('FUENTE NO BORRAR'!C2129="","",'FUENTE NO BORRAR'!C2129)</f>
        <v/>
      </c>
      <c r="D2111" s="5" t="str">
        <f>IF('FUENTE NO BORRAR'!D2129="","",'FUENTE NO BORRAR'!D2129)</f>
        <v/>
      </c>
      <c r="E2111" s="5" t="str">
        <f>IF('FUENTE NO BORRAR'!E2129="","",'FUENTE NO BORRAR'!E2129)</f>
        <v/>
      </c>
      <c r="F2111" s="6">
        <f>IF('FUENTE NO BORRAR'!F2129="","",IF('FUENTE NO BORRAR'!$A2129&lt;&gt;"Resultado total",('FUENTE NO BORRAR'!F2129),""))</f>
        <v>517</v>
      </c>
      <c r="G2111" s="6">
        <f>IF('FUENTE NO BORRAR'!G2129="","",IF('FUENTE NO BORRAR'!$A2129&lt;&gt;"Resultado total",('FUENTE NO BORRAR'!G2129),""))</f>
        <v>517</v>
      </c>
      <c r="H2111" s="6">
        <f>IF('FUENTE NO BORRAR'!H2129="","",IF('FUENTE NO BORRAR'!$A2129&lt;&gt;"Resultado total",('FUENTE NO BORRAR'!H2129),""))</f>
        <v>517</v>
      </c>
      <c r="I2111" s="6">
        <f>IF('FUENTE NO BORRAR'!I2129="","",IF('FUENTE NO BORRAR'!$A2129&lt;&gt;"Resultado total",('FUENTE NO BORRAR'!I2129),""))</f>
        <v>0</v>
      </c>
    </row>
    <row r="2112" spans="1:9" x14ac:dyDescent="0.2">
      <c r="A2112" s="5" t="str">
        <f>IF('FUENTE NO BORRAR'!A2130="","",(IF('FUENTE NO BORRAR'!A2130&lt;&gt;"Resultado total",'FUENTE NO BORRAR'!A2130,"")))</f>
        <v/>
      </c>
      <c r="B2112" s="5" t="str">
        <f>IF('FUENTE NO BORRAR'!B2130="","",'FUENTE NO BORRAR'!B2130)</f>
        <v/>
      </c>
      <c r="C2112" s="5" t="str">
        <f>IF('FUENTE NO BORRAR'!C2130="","",'FUENTE NO BORRAR'!C2130)</f>
        <v/>
      </c>
      <c r="D2112" s="5" t="str">
        <f>IF('FUENTE NO BORRAR'!D2130="","",'FUENTE NO BORRAR'!D2130)</f>
        <v/>
      </c>
      <c r="E2112" s="5" t="str">
        <f>IF('FUENTE NO BORRAR'!E2130="","",'FUENTE NO BORRAR'!E2130)</f>
        <v/>
      </c>
      <c r="F2112" s="6">
        <f>IF('FUENTE NO BORRAR'!F2130="","",IF('FUENTE NO BORRAR'!$A2130&lt;&gt;"Resultado total",('FUENTE NO BORRAR'!F2130),""))</f>
        <v>4418.28</v>
      </c>
      <c r="G2112" s="6">
        <f>IF('FUENTE NO BORRAR'!G2130="","",IF('FUENTE NO BORRAR'!$A2130&lt;&gt;"Resultado total",('FUENTE NO BORRAR'!G2130),""))</f>
        <v>4418.28</v>
      </c>
      <c r="H2112" s="6">
        <f>IF('FUENTE NO BORRAR'!H2130="","",IF('FUENTE NO BORRAR'!$A2130&lt;&gt;"Resultado total",('FUENTE NO BORRAR'!H2130),""))</f>
        <v>4418.28</v>
      </c>
      <c r="I2112" s="6">
        <f>IF('FUENTE NO BORRAR'!I2130="","",IF('FUENTE NO BORRAR'!$A2130&lt;&gt;"Resultado total",('FUENTE NO BORRAR'!I2130),""))</f>
        <v>0</v>
      </c>
    </row>
    <row r="2113" spans="1:9" x14ac:dyDescent="0.2">
      <c r="A2113" s="5" t="str">
        <f>IF('FUENTE NO BORRAR'!A2131="","",(IF('FUENTE NO BORRAR'!A2131&lt;&gt;"Resultado total",'FUENTE NO BORRAR'!A2131,"")))</f>
        <v/>
      </c>
      <c r="B2113" s="5" t="str">
        <f>IF('FUENTE NO BORRAR'!B2131="","",'FUENTE NO BORRAR'!B2131)</f>
        <v/>
      </c>
      <c r="C2113" s="5" t="str">
        <f>IF('FUENTE NO BORRAR'!C2131="","",'FUENTE NO BORRAR'!C2131)</f>
        <v/>
      </c>
      <c r="D2113" s="5" t="str">
        <f>IF('FUENTE NO BORRAR'!D2131="","",'FUENTE NO BORRAR'!D2131)</f>
        <v/>
      </c>
      <c r="E2113" s="5" t="str">
        <f>IF('FUENTE NO BORRAR'!E2131="","",'FUENTE NO BORRAR'!E2131)</f>
        <v/>
      </c>
      <c r="F2113" s="6">
        <f>IF('FUENTE NO BORRAR'!F2131="","",IF('FUENTE NO BORRAR'!$A2131&lt;&gt;"Resultado total",('FUENTE NO BORRAR'!F2131),""))</f>
        <v>130</v>
      </c>
      <c r="G2113" s="6">
        <f>IF('FUENTE NO BORRAR'!G2131="","",IF('FUENTE NO BORRAR'!$A2131&lt;&gt;"Resultado total",('FUENTE NO BORRAR'!G2131),""))</f>
        <v>130</v>
      </c>
      <c r="H2113" s="6">
        <f>IF('FUENTE NO BORRAR'!H2131="","",IF('FUENTE NO BORRAR'!$A2131&lt;&gt;"Resultado total",('FUENTE NO BORRAR'!H2131),""))</f>
        <v>130</v>
      </c>
      <c r="I2113" s="6">
        <f>IF('FUENTE NO BORRAR'!I2131="","",IF('FUENTE NO BORRAR'!$A2131&lt;&gt;"Resultado total",('FUENTE NO BORRAR'!I2131),""))</f>
        <v>0</v>
      </c>
    </row>
    <row r="2114" spans="1:9" x14ac:dyDescent="0.2">
      <c r="A2114" s="5" t="str">
        <f>IF('FUENTE NO BORRAR'!A2132="","",(IF('FUENTE NO BORRAR'!A2132&lt;&gt;"Resultado total",'FUENTE NO BORRAR'!A2132,"")))</f>
        <v/>
      </c>
      <c r="B2114" s="5" t="str">
        <f>IF('FUENTE NO BORRAR'!B2132="","",'FUENTE NO BORRAR'!B2132)</f>
        <v/>
      </c>
      <c r="C2114" s="5" t="str">
        <f>IF('FUENTE NO BORRAR'!C2132="","",'FUENTE NO BORRAR'!C2132)</f>
        <v/>
      </c>
      <c r="D2114" s="5" t="str">
        <f>IF('FUENTE NO BORRAR'!D2132="","",'FUENTE NO BORRAR'!D2132)</f>
        <v/>
      </c>
      <c r="E2114" s="5" t="str">
        <f>IF('FUENTE NO BORRAR'!E2132="","",'FUENTE NO BORRAR'!E2132)</f>
        <v/>
      </c>
      <c r="F2114" s="6">
        <f>IF('FUENTE NO BORRAR'!F2132="","",IF('FUENTE NO BORRAR'!$A2132&lt;&gt;"Resultado total",('FUENTE NO BORRAR'!F2132),""))</f>
        <v>19500.009999999998</v>
      </c>
      <c r="G2114" s="6">
        <f>IF('FUENTE NO BORRAR'!G2132="","",IF('FUENTE NO BORRAR'!$A2132&lt;&gt;"Resultado total",('FUENTE NO BORRAR'!G2132),""))</f>
        <v>19500.009999999998</v>
      </c>
      <c r="H2114" s="6">
        <f>IF('FUENTE NO BORRAR'!H2132="","",IF('FUENTE NO BORRAR'!$A2132&lt;&gt;"Resultado total",('FUENTE NO BORRAR'!H2132),""))</f>
        <v>19500.009999999998</v>
      </c>
      <c r="I2114" s="6">
        <f>IF('FUENTE NO BORRAR'!I2132="","",IF('FUENTE NO BORRAR'!$A2132&lt;&gt;"Resultado total",('FUENTE NO BORRAR'!I2132),""))</f>
        <v>0</v>
      </c>
    </row>
    <row r="2115" spans="1:9" x14ac:dyDescent="0.2">
      <c r="A2115" s="5" t="str">
        <f>IF('FUENTE NO BORRAR'!A2133="","",(IF('FUENTE NO BORRAR'!A2133&lt;&gt;"Resultado total",'FUENTE NO BORRAR'!A2133,"")))</f>
        <v/>
      </c>
      <c r="B2115" s="5" t="str">
        <f>IF('FUENTE NO BORRAR'!B2133="","",'FUENTE NO BORRAR'!B2133)</f>
        <v/>
      </c>
      <c r="C2115" s="5" t="str">
        <f>IF('FUENTE NO BORRAR'!C2133="","",'FUENTE NO BORRAR'!C2133)</f>
        <v/>
      </c>
      <c r="D2115" s="5" t="str">
        <f>IF('FUENTE NO BORRAR'!D2133="","",'FUENTE NO BORRAR'!D2133)</f>
        <v/>
      </c>
      <c r="E2115" s="5" t="str">
        <f>IF('FUENTE NO BORRAR'!E2133="","",'FUENTE NO BORRAR'!E2133)</f>
        <v/>
      </c>
      <c r="F2115" s="6">
        <f>IF('FUENTE NO BORRAR'!F2133="","",IF('FUENTE NO BORRAR'!$A2133&lt;&gt;"Resultado total",('FUENTE NO BORRAR'!F2133),""))</f>
        <v>5800</v>
      </c>
      <c r="G2115" s="6">
        <f>IF('FUENTE NO BORRAR'!G2133="","",IF('FUENTE NO BORRAR'!$A2133&lt;&gt;"Resultado total",('FUENTE NO BORRAR'!G2133),""))</f>
        <v>5800</v>
      </c>
      <c r="H2115" s="6">
        <f>IF('FUENTE NO BORRAR'!H2133="","",IF('FUENTE NO BORRAR'!$A2133&lt;&gt;"Resultado total",('FUENTE NO BORRAR'!H2133),""))</f>
        <v>0</v>
      </c>
      <c r="I2115" s="6">
        <f>IF('FUENTE NO BORRAR'!I2133="","",IF('FUENTE NO BORRAR'!$A2133&lt;&gt;"Resultado total",('FUENTE NO BORRAR'!I2133),""))</f>
        <v>0</v>
      </c>
    </row>
    <row r="2116" spans="1:9" x14ac:dyDescent="0.2">
      <c r="A2116" s="5" t="str">
        <f>IF('FUENTE NO BORRAR'!A2134="","",(IF('FUENTE NO BORRAR'!A2134&lt;&gt;"Resultado total",'FUENTE NO BORRAR'!A2134,"")))</f>
        <v/>
      </c>
      <c r="B2116" s="5" t="str">
        <f>IF('FUENTE NO BORRAR'!B2134="","",'FUENTE NO BORRAR'!B2134)</f>
        <v>M</v>
      </c>
      <c r="C2116" s="5" t="str">
        <f>IF('FUENTE NO BORRAR'!C2134="","",'FUENTE NO BORRAR'!C2134)</f>
        <v>15015032M101</v>
      </c>
      <c r="D2116" s="5" t="str">
        <f>IF('FUENTE NO BORRAR'!D2134="","",'FUENTE NO BORRAR'!D2134)</f>
        <v>15015032M101</v>
      </c>
      <c r="E2116" s="5" t="str">
        <f>IF('FUENTE NO BORRAR'!E2134="","",'FUENTE NO BORRAR'!E2134)</f>
        <v/>
      </c>
      <c r="F2116" s="6">
        <f>IF('FUENTE NO BORRAR'!F2134="","",IF('FUENTE NO BORRAR'!$A2134&lt;&gt;"Resultado total",('FUENTE NO BORRAR'!F2134),""))</f>
        <v>944665.07</v>
      </c>
      <c r="G2116" s="6">
        <f>IF('FUENTE NO BORRAR'!G2134="","",IF('FUENTE NO BORRAR'!$A2134&lt;&gt;"Resultado total",('FUENTE NO BORRAR'!G2134),""))</f>
        <v>944665.07</v>
      </c>
      <c r="H2116" s="6">
        <f>IF('FUENTE NO BORRAR'!H2134="","",IF('FUENTE NO BORRAR'!$A2134&lt;&gt;"Resultado total",('FUENTE NO BORRAR'!H2134),""))</f>
        <v>944665.07</v>
      </c>
      <c r="I2116" s="6">
        <f>IF('FUENTE NO BORRAR'!I2134="","",IF('FUENTE NO BORRAR'!$A2134&lt;&gt;"Resultado total",('FUENTE NO BORRAR'!I2134),""))</f>
        <v>0</v>
      </c>
    </row>
    <row r="2117" spans="1:9" x14ac:dyDescent="0.2">
      <c r="A2117" s="5" t="str">
        <f>IF('FUENTE NO BORRAR'!A2135="","",(IF('FUENTE NO BORRAR'!A2135&lt;&gt;"Resultado total",'FUENTE NO BORRAR'!A2135,"")))</f>
        <v/>
      </c>
      <c r="B2117" s="5" t="str">
        <f>IF('FUENTE NO BORRAR'!B2135="","",'FUENTE NO BORRAR'!B2135)</f>
        <v/>
      </c>
      <c r="C2117" s="5" t="str">
        <f>IF('FUENTE NO BORRAR'!C2135="","",'FUENTE NO BORRAR'!C2135)</f>
        <v/>
      </c>
      <c r="D2117" s="5" t="str">
        <f>IF('FUENTE NO BORRAR'!D2135="","",'FUENTE NO BORRAR'!D2135)</f>
        <v/>
      </c>
      <c r="E2117" s="5" t="str">
        <f>IF('FUENTE NO BORRAR'!E2135="","",'FUENTE NO BORRAR'!E2135)</f>
        <v/>
      </c>
      <c r="F2117" s="6">
        <f>IF('FUENTE NO BORRAR'!F2135="","",IF('FUENTE NO BORRAR'!$A2135&lt;&gt;"Resultado total",('FUENTE NO BORRAR'!F2135),""))</f>
        <v>702401.17</v>
      </c>
      <c r="G2117" s="6">
        <f>IF('FUENTE NO BORRAR'!G2135="","",IF('FUENTE NO BORRAR'!$A2135&lt;&gt;"Resultado total",('FUENTE NO BORRAR'!G2135),""))</f>
        <v>702401.17</v>
      </c>
      <c r="H2117" s="6">
        <f>IF('FUENTE NO BORRAR'!H2135="","",IF('FUENTE NO BORRAR'!$A2135&lt;&gt;"Resultado total",('FUENTE NO BORRAR'!H2135),""))</f>
        <v>702401.17</v>
      </c>
      <c r="I2117" s="6">
        <f>IF('FUENTE NO BORRAR'!I2135="","",IF('FUENTE NO BORRAR'!$A2135&lt;&gt;"Resultado total",('FUENTE NO BORRAR'!I2135),""))</f>
        <v>0</v>
      </c>
    </row>
    <row r="2118" spans="1:9" x14ac:dyDescent="0.2">
      <c r="A2118" s="5" t="str">
        <f>IF('FUENTE NO BORRAR'!A2136="","",(IF('FUENTE NO BORRAR'!A2136&lt;&gt;"Resultado total",'FUENTE NO BORRAR'!A2136,"")))</f>
        <v/>
      </c>
      <c r="B2118" s="5" t="str">
        <f>IF('FUENTE NO BORRAR'!B2136="","",'FUENTE NO BORRAR'!B2136)</f>
        <v/>
      </c>
      <c r="C2118" s="5" t="str">
        <f>IF('FUENTE NO BORRAR'!C2136="","",'FUENTE NO BORRAR'!C2136)</f>
        <v/>
      </c>
      <c r="D2118" s="5" t="str">
        <f>IF('FUENTE NO BORRAR'!D2136="","",'FUENTE NO BORRAR'!D2136)</f>
        <v/>
      </c>
      <c r="E2118" s="5" t="str">
        <f>IF('FUENTE NO BORRAR'!E2136="","",'FUENTE NO BORRAR'!E2136)</f>
        <v/>
      </c>
      <c r="F2118" s="6">
        <f>IF('FUENTE NO BORRAR'!F2136="","",IF('FUENTE NO BORRAR'!$A2136&lt;&gt;"Resultado total",('FUENTE NO BORRAR'!F2136),""))</f>
        <v>494642.24</v>
      </c>
      <c r="G2118" s="6">
        <f>IF('FUENTE NO BORRAR'!G2136="","",IF('FUENTE NO BORRAR'!$A2136&lt;&gt;"Resultado total",('FUENTE NO BORRAR'!G2136),""))</f>
        <v>494642.24</v>
      </c>
      <c r="H2118" s="6">
        <f>IF('FUENTE NO BORRAR'!H2136="","",IF('FUENTE NO BORRAR'!$A2136&lt;&gt;"Resultado total",('FUENTE NO BORRAR'!H2136),""))</f>
        <v>451210.26</v>
      </c>
      <c r="I2118" s="6">
        <f>IF('FUENTE NO BORRAR'!I2136="","",IF('FUENTE NO BORRAR'!$A2136&lt;&gt;"Resultado total",('FUENTE NO BORRAR'!I2136),""))</f>
        <v>0</v>
      </c>
    </row>
    <row r="2119" spans="1:9" x14ac:dyDescent="0.2">
      <c r="A2119" s="5" t="str">
        <f>IF('FUENTE NO BORRAR'!A2137="","",(IF('FUENTE NO BORRAR'!A2137&lt;&gt;"Resultado total",'FUENTE NO BORRAR'!A2137,"")))</f>
        <v/>
      </c>
      <c r="B2119" s="5" t="str">
        <f>IF('FUENTE NO BORRAR'!B2137="","",'FUENTE NO BORRAR'!B2137)</f>
        <v/>
      </c>
      <c r="C2119" s="5" t="str">
        <f>IF('FUENTE NO BORRAR'!C2137="","",'FUENTE NO BORRAR'!C2137)</f>
        <v/>
      </c>
      <c r="D2119" s="5" t="str">
        <f>IF('FUENTE NO BORRAR'!D2137="","",'FUENTE NO BORRAR'!D2137)</f>
        <v/>
      </c>
      <c r="E2119" s="5" t="str">
        <f>IF('FUENTE NO BORRAR'!E2137="","",'FUENTE NO BORRAR'!E2137)</f>
        <v/>
      </c>
      <c r="F2119" s="6">
        <f>IF('FUENTE NO BORRAR'!F2137="","",IF('FUENTE NO BORRAR'!$A2137&lt;&gt;"Resultado total",('FUENTE NO BORRAR'!F2137),""))</f>
        <v>181220.77</v>
      </c>
      <c r="G2119" s="6">
        <f>IF('FUENTE NO BORRAR'!G2137="","",IF('FUENTE NO BORRAR'!$A2137&lt;&gt;"Resultado total",('FUENTE NO BORRAR'!G2137),""))</f>
        <v>181220.77</v>
      </c>
      <c r="H2119" s="6">
        <f>IF('FUENTE NO BORRAR'!H2137="","",IF('FUENTE NO BORRAR'!$A2137&lt;&gt;"Resultado total",('FUENTE NO BORRAR'!H2137),""))</f>
        <v>181220.77</v>
      </c>
      <c r="I2119" s="6">
        <f>IF('FUENTE NO BORRAR'!I2137="","",IF('FUENTE NO BORRAR'!$A2137&lt;&gt;"Resultado total",('FUENTE NO BORRAR'!I2137),""))</f>
        <v>0</v>
      </c>
    </row>
    <row r="2120" spans="1:9" x14ac:dyDescent="0.2">
      <c r="A2120" s="5" t="str">
        <f>IF('FUENTE NO BORRAR'!A2138="","",(IF('FUENTE NO BORRAR'!A2138&lt;&gt;"Resultado total",'FUENTE NO BORRAR'!A2138,"")))</f>
        <v/>
      </c>
      <c r="B2120" s="5" t="str">
        <f>IF('FUENTE NO BORRAR'!B2138="","",'FUENTE NO BORRAR'!B2138)</f>
        <v/>
      </c>
      <c r="C2120" s="5" t="str">
        <f>IF('FUENTE NO BORRAR'!C2138="","",'FUENTE NO BORRAR'!C2138)</f>
        <v/>
      </c>
      <c r="D2120" s="5" t="str">
        <f>IF('FUENTE NO BORRAR'!D2138="","",'FUENTE NO BORRAR'!D2138)</f>
        <v/>
      </c>
      <c r="E2120" s="5" t="str">
        <f>IF('FUENTE NO BORRAR'!E2138="","",'FUENTE NO BORRAR'!E2138)</f>
        <v/>
      </c>
      <c r="F2120" s="6">
        <f>IF('FUENTE NO BORRAR'!F2138="","",IF('FUENTE NO BORRAR'!$A2138&lt;&gt;"Resultado total",('FUENTE NO BORRAR'!F2138),""))</f>
        <v>180850.63</v>
      </c>
      <c r="G2120" s="6">
        <f>IF('FUENTE NO BORRAR'!G2138="","",IF('FUENTE NO BORRAR'!$A2138&lt;&gt;"Resultado total",('FUENTE NO BORRAR'!G2138),""))</f>
        <v>180850.63</v>
      </c>
      <c r="H2120" s="6">
        <f>IF('FUENTE NO BORRAR'!H2138="","",IF('FUENTE NO BORRAR'!$A2138&lt;&gt;"Resultado total",('FUENTE NO BORRAR'!H2138),""))</f>
        <v>180850.63</v>
      </c>
      <c r="I2120" s="6">
        <f>IF('FUENTE NO BORRAR'!I2138="","",IF('FUENTE NO BORRAR'!$A2138&lt;&gt;"Resultado total",('FUENTE NO BORRAR'!I2138),""))</f>
        <v>0</v>
      </c>
    </row>
    <row r="2121" spans="1:9" x14ac:dyDescent="0.2">
      <c r="A2121" s="5" t="str">
        <f>IF('FUENTE NO BORRAR'!A2139="","",(IF('FUENTE NO BORRAR'!A2139&lt;&gt;"Resultado total",'FUENTE NO BORRAR'!A2139,"")))</f>
        <v/>
      </c>
      <c r="B2121" s="5" t="str">
        <f>IF('FUENTE NO BORRAR'!B2139="","",'FUENTE NO BORRAR'!B2139)</f>
        <v/>
      </c>
      <c r="C2121" s="5" t="str">
        <f>IF('FUENTE NO BORRAR'!C2139="","",'FUENTE NO BORRAR'!C2139)</f>
        <v/>
      </c>
      <c r="D2121" s="5" t="str">
        <f>IF('FUENTE NO BORRAR'!D2139="","",'FUENTE NO BORRAR'!D2139)</f>
        <v/>
      </c>
      <c r="E2121" s="5" t="str">
        <f>IF('FUENTE NO BORRAR'!E2139="","",'FUENTE NO BORRAR'!E2139)</f>
        <v/>
      </c>
      <c r="F2121" s="6">
        <f>IF('FUENTE NO BORRAR'!F2139="","",IF('FUENTE NO BORRAR'!$A2139&lt;&gt;"Resultado total",('FUENTE NO BORRAR'!F2139),""))</f>
        <v>12318.48</v>
      </c>
      <c r="G2121" s="6">
        <f>IF('FUENTE NO BORRAR'!G2139="","",IF('FUENTE NO BORRAR'!$A2139&lt;&gt;"Resultado total",('FUENTE NO BORRAR'!G2139),""))</f>
        <v>12318.48</v>
      </c>
      <c r="H2121" s="6">
        <f>IF('FUENTE NO BORRAR'!H2139="","",IF('FUENTE NO BORRAR'!$A2139&lt;&gt;"Resultado total",('FUENTE NO BORRAR'!H2139),""))</f>
        <v>12318.48</v>
      </c>
      <c r="I2121" s="6">
        <f>IF('FUENTE NO BORRAR'!I2139="","",IF('FUENTE NO BORRAR'!$A2139&lt;&gt;"Resultado total",('FUENTE NO BORRAR'!I2139),""))</f>
        <v>0</v>
      </c>
    </row>
    <row r="2122" spans="1:9" x14ac:dyDescent="0.2">
      <c r="A2122" s="5" t="str">
        <f>IF('FUENTE NO BORRAR'!A2140="","",(IF('FUENTE NO BORRAR'!A2140&lt;&gt;"Resultado total",'FUENTE NO BORRAR'!A2140,"")))</f>
        <v/>
      </c>
      <c r="B2122" s="5" t="str">
        <f>IF('FUENTE NO BORRAR'!B2140="","",'FUENTE NO BORRAR'!B2140)</f>
        <v/>
      </c>
      <c r="C2122" s="5" t="str">
        <f>IF('FUENTE NO BORRAR'!C2140="","",'FUENTE NO BORRAR'!C2140)</f>
        <v/>
      </c>
      <c r="D2122" s="5" t="str">
        <f>IF('FUENTE NO BORRAR'!D2140="","",'FUENTE NO BORRAR'!D2140)</f>
        <v/>
      </c>
      <c r="E2122" s="5" t="str">
        <f>IF('FUENTE NO BORRAR'!E2140="","",'FUENTE NO BORRAR'!E2140)</f>
        <v/>
      </c>
      <c r="F2122" s="6">
        <f>IF('FUENTE NO BORRAR'!F2140="","",IF('FUENTE NO BORRAR'!$A2140&lt;&gt;"Resultado total",('FUENTE NO BORRAR'!F2140),""))</f>
        <v>82646.64</v>
      </c>
      <c r="G2122" s="6">
        <f>IF('FUENTE NO BORRAR'!G2140="","",IF('FUENTE NO BORRAR'!$A2140&lt;&gt;"Resultado total",('FUENTE NO BORRAR'!G2140),""))</f>
        <v>82646.64</v>
      </c>
      <c r="H2122" s="6">
        <f>IF('FUENTE NO BORRAR'!H2140="","",IF('FUENTE NO BORRAR'!$A2140&lt;&gt;"Resultado total",('FUENTE NO BORRAR'!H2140),""))</f>
        <v>82646.64</v>
      </c>
      <c r="I2122" s="6">
        <f>IF('FUENTE NO BORRAR'!I2140="","",IF('FUENTE NO BORRAR'!$A2140&lt;&gt;"Resultado total",('FUENTE NO BORRAR'!I2140),""))</f>
        <v>0</v>
      </c>
    </row>
    <row r="2123" spans="1:9" x14ac:dyDescent="0.2">
      <c r="A2123" s="5" t="str">
        <f>IF('FUENTE NO BORRAR'!A2141="","",(IF('FUENTE NO BORRAR'!A2141&lt;&gt;"Resultado total",'FUENTE NO BORRAR'!A2141,"")))</f>
        <v/>
      </c>
      <c r="B2123" s="5" t="str">
        <f>IF('FUENTE NO BORRAR'!B2141="","",'FUENTE NO BORRAR'!B2141)</f>
        <v/>
      </c>
      <c r="C2123" s="5" t="str">
        <f>IF('FUENTE NO BORRAR'!C2141="","",'FUENTE NO BORRAR'!C2141)</f>
        <v/>
      </c>
      <c r="D2123" s="5" t="str">
        <f>IF('FUENTE NO BORRAR'!D2141="","",'FUENTE NO BORRAR'!D2141)</f>
        <v/>
      </c>
      <c r="E2123" s="5" t="str">
        <f>IF('FUENTE NO BORRAR'!E2141="","",'FUENTE NO BORRAR'!E2141)</f>
        <v/>
      </c>
      <c r="F2123" s="6">
        <f>IF('FUENTE NO BORRAR'!F2141="","",IF('FUENTE NO BORRAR'!$A2141&lt;&gt;"Resultado total",('FUENTE NO BORRAR'!F2141),""))</f>
        <v>374701.42</v>
      </c>
      <c r="G2123" s="6">
        <f>IF('FUENTE NO BORRAR'!G2141="","",IF('FUENTE NO BORRAR'!$A2141&lt;&gt;"Resultado total",('FUENTE NO BORRAR'!G2141),""))</f>
        <v>374701.42</v>
      </c>
      <c r="H2123" s="6">
        <f>IF('FUENTE NO BORRAR'!H2141="","",IF('FUENTE NO BORRAR'!$A2141&lt;&gt;"Resultado total",('FUENTE NO BORRAR'!H2141),""))</f>
        <v>374701.42</v>
      </c>
      <c r="I2123" s="6">
        <f>IF('FUENTE NO BORRAR'!I2141="","",IF('FUENTE NO BORRAR'!$A2141&lt;&gt;"Resultado total",('FUENTE NO BORRAR'!I2141),""))</f>
        <v>0</v>
      </c>
    </row>
    <row r="2124" spans="1:9" x14ac:dyDescent="0.2">
      <c r="A2124" s="5" t="str">
        <f>IF('FUENTE NO BORRAR'!A2142="","",(IF('FUENTE NO BORRAR'!A2142&lt;&gt;"Resultado total",'FUENTE NO BORRAR'!A2142,"")))</f>
        <v/>
      </c>
      <c r="B2124" s="5" t="str">
        <f>IF('FUENTE NO BORRAR'!B2142="","",'FUENTE NO BORRAR'!B2142)</f>
        <v/>
      </c>
      <c r="C2124" s="5" t="str">
        <f>IF('FUENTE NO BORRAR'!C2142="","",'FUENTE NO BORRAR'!C2142)</f>
        <v/>
      </c>
      <c r="D2124" s="5" t="str">
        <f>IF('FUENTE NO BORRAR'!D2142="","",'FUENTE NO BORRAR'!D2142)</f>
        <v/>
      </c>
      <c r="E2124" s="5" t="str">
        <f>IF('FUENTE NO BORRAR'!E2142="","",'FUENTE NO BORRAR'!E2142)</f>
        <v/>
      </c>
      <c r="F2124" s="6">
        <f>IF('FUENTE NO BORRAR'!F2142="","",IF('FUENTE NO BORRAR'!$A2142&lt;&gt;"Resultado total",('FUENTE NO BORRAR'!F2142),""))</f>
        <v>1588206.4</v>
      </c>
      <c r="G2124" s="6">
        <f>IF('FUENTE NO BORRAR'!G2142="","",IF('FUENTE NO BORRAR'!$A2142&lt;&gt;"Resultado total",('FUENTE NO BORRAR'!G2142),""))</f>
        <v>1588206.4</v>
      </c>
      <c r="H2124" s="6">
        <f>IF('FUENTE NO BORRAR'!H2142="","",IF('FUENTE NO BORRAR'!$A2142&lt;&gt;"Resultado total",('FUENTE NO BORRAR'!H2142),""))</f>
        <v>1475751.21</v>
      </c>
      <c r="I2124" s="6">
        <f>IF('FUENTE NO BORRAR'!I2142="","",IF('FUENTE NO BORRAR'!$A2142&lt;&gt;"Resultado total",('FUENTE NO BORRAR'!I2142),""))</f>
        <v>0</v>
      </c>
    </row>
    <row r="2125" spans="1:9" x14ac:dyDescent="0.2">
      <c r="A2125" s="5" t="str">
        <f>IF('FUENTE NO BORRAR'!A2143="","",(IF('FUENTE NO BORRAR'!A2143&lt;&gt;"Resultado total",'FUENTE NO BORRAR'!A2143,"")))</f>
        <v/>
      </c>
      <c r="B2125" s="5" t="str">
        <f>IF('FUENTE NO BORRAR'!B2143="","",'FUENTE NO BORRAR'!B2143)</f>
        <v/>
      </c>
      <c r="C2125" s="5" t="str">
        <f>IF('FUENTE NO BORRAR'!C2143="","",'FUENTE NO BORRAR'!C2143)</f>
        <v/>
      </c>
      <c r="D2125" s="5" t="str">
        <f>IF('FUENTE NO BORRAR'!D2143="","",'FUENTE NO BORRAR'!D2143)</f>
        <v/>
      </c>
      <c r="E2125" s="5" t="str">
        <f>IF('FUENTE NO BORRAR'!E2143="","",'FUENTE NO BORRAR'!E2143)</f>
        <v/>
      </c>
      <c r="F2125" s="6">
        <f>IF('FUENTE NO BORRAR'!F2143="","",IF('FUENTE NO BORRAR'!$A2143&lt;&gt;"Resultado total",('FUENTE NO BORRAR'!F2143),""))</f>
        <v>1263245.1299999999</v>
      </c>
      <c r="G2125" s="6">
        <f>IF('FUENTE NO BORRAR'!G2143="","",IF('FUENTE NO BORRAR'!$A2143&lt;&gt;"Resultado total",('FUENTE NO BORRAR'!G2143),""))</f>
        <v>1263245.1299999999</v>
      </c>
      <c r="H2125" s="6">
        <f>IF('FUENTE NO BORRAR'!H2143="","",IF('FUENTE NO BORRAR'!$A2143&lt;&gt;"Resultado total",('FUENTE NO BORRAR'!H2143),""))</f>
        <v>1263245.1299999999</v>
      </c>
      <c r="I2125" s="6">
        <f>IF('FUENTE NO BORRAR'!I2143="","",IF('FUENTE NO BORRAR'!$A2143&lt;&gt;"Resultado total",('FUENTE NO BORRAR'!I2143),""))</f>
        <v>0</v>
      </c>
    </row>
    <row r="2126" spans="1:9" x14ac:dyDescent="0.2">
      <c r="A2126" s="5" t="str">
        <f>IF('FUENTE NO BORRAR'!A2144="","",(IF('FUENTE NO BORRAR'!A2144&lt;&gt;"Resultado total",'FUENTE NO BORRAR'!A2144,"")))</f>
        <v/>
      </c>
      <c r="B2126" s="5" t="str">
        <f>IF('FUENTE NO BORRAR'!B2144="","",'FUENTE NO BORRAR'!B2144)</f>
        <v/>
      </c>
      <c r="C2126" s="5" t="str">
        <f>IF('FUENTE NO BORRAR'!C2144="","",'FUENTE NO BORRAR'!C2144)</f>
        <v/>
      </c>
      <c r="D2126" s="5" t="str">
        <f>IF('FUENTE NO BORRAR'!D2144="","",'FUENTE NO BORRAR'!D2144)</f>
        <v/>
      </c>
      <c r="E2126" s="5" t="str">
        <f>IF('FUENTE NO BORRAR'!E2144="","",'FUENTE NO BORRAR'!E2144)</f>
        <v/>
      </c>
      <c r="F2126" s="6">
        <f>IF('FUENTE NO BORRAR'!F2144="","",IF('FUENTE NO BORRAR'!$A2144&lt;&gt;"Resultado total",('FUENTE NO BORRAR'!F2144),""))</f>
        <v>349316.07</v>
      </c>
      <c r="G2126" s="6">
        <f>IF('FUENTE NO BORRAR'!G2144="","",IF('FUENTE NO BORRAR'!$A2144&lt;&gt;"Resultado total",('FUENTE NO BORRAR'!G2144),""))</f>
        <v>349316.07</v>
      </c>
      <c r="H2126" s="6">
        <f>IF('FUENTE NO BORRAR'!H2144="","",IF('FUENTE NO BORRAR'!$A2144&lt;&gt;"Resultado total",('FUENTE NO BORRAR'!H2144),""))</f>
        <v>349316.07</v>
      </c>
      <c r="I2126" s="6">
        <f>IF('FUENTE NO BORRAR'!I2144="","",IF('FUENTE NO BORRAR'!$A2144&lt;&gt;"Resultado total",('FUENTE NO BORRAR'!I2144),""))</f>
        <v>0</v>
      </c>
    </row>
    <row r="2127" spans="1:9" x14ac:dyDescent="0.2">
      <c r="A2127" s="5" t="str">
        <f>IF('FUENTE NO BORRAR'!A2145="","",(IF('FUENTE NO BORRAR'!A2145&lt;&gt;"Resultado total",'FUENTE NO BORRAR'!A2145,"")))</f>
        <v/>
      </c>
      <c r="B2127" s="5" t="str">
        <f>IF('FUENTE NO BORRAR'!B2145="","",'FUENTE NO BORRAR'!B2145)</f>
        <v/>
      </c>
      <c r="C2127" s="5" t="str">
        <f>IF('FUENTE NO BORRAR'!C2145="","",'FUENTE NO BORRAR'!C2145)</f>
        <v/>
      </c>
      <c r="D2127" s="5" t="str">
        <f>IF('FUENTE NO BORRAR'!D2145="","",'FUENTE NO BORRAR'!D2145)</f>
        <v/>
      </c>
      <c r="E2127" s="5" t="str">
        <f>IF('FUENTE NO BORRAR'!E2145="","",'FUENTE NO BORRAR'!E2145)</f>
        <v/>
      </c>
      <c r="F2127" s="6">
        <f>IF('FUENTE NO BORRAR'!F2145="","",IF('FUENTE NO BORRAR'!$A2145&lt;&gt;"Resultado total",('FUENTE NO BORRAR'!F2145),""))</f>
        <v>105382.13</v>
      </c>
      <c r="G2127" s="6">
        <f>IF('FUENTE NO BORRAR'!G2145="","",IF('FUENTE NO BORRAR'!$A2145&lt;&gt;"Resultado total",('FUENTE NO BORRAR'!G2145),""))</f>
        <v>105382.13</v>
      </c>
      <c r="H2127" s="6">
        <f>IF('FUENTE NO BORRAR'!H2145="","",IF('FUENTE NO BORRAR'!$A2145&lt;&gt;"Resultado total",('FUENTE NO BORRAR'!H2145),""))</f>
        <v>105382.13</v>
      </c>
      <c r="I2127" s="6">
        <f>IF('FUENTE NO BORRAR'!I2145="","",IF('FUENTE NO BORRAR'!$A2145&lt;&gt;"Resultado total",('FUENTE NO BORRAR'!I2145),""))</f>
        <v>0</v>
      </c>
    </row>
    <row r="2128" spans="1:9" x14ac:dyDescent="0.2">
      <c r="A2128" s="5" t="str">
        <f>IF('FUENTE NO BORRAR'!A2146="","",(IF('FUENTE NO BORRAR'!A2146&lt;&gt;"Resultado total",'FUENTE NO BORRAR'!A2146,"")))</f>
        <v/>
      </c>
      <c r="B2128" s="5" t="str">
        <f>IF('FUENTE NO BORRAR'!B2146="","",'FUENTE NO BORRAR'!B2146)</f>
        <v/>
      </c>
      <c r="C2128" s="5" t="str">
        <f>IF('FUENTE NO BORRAR'!C2146="","",'FUENTE NO BORRAR'!C2146)</f>
        <v/>
      </c>
      <c r="D2128" s="5" t="str">
        <f>IF('FUENTE NO BORRAR'!D2146="","",'FUENTE NO BORRAR'!D2146)</f>
        <v/>
      </c>
      <c r="E2128" s="5" t="str">
        <f>IF('FUENTE NO BORRAR'!E2146="","",'FUENTE NO BORRAR'!E2146)</f>
        <v/>
      </c>
      <c r="F2128" s="6">
        <f>IF('FUENTE NO BORRAR'!F2146="","",IF('FUENTE NO BORRAR'!$A2146&lt;&gt;"Resultado total",('FUENTE NO BORRAR'!F2146),""))</f>
        <v>49458.11</v>
      </c>
      <c r="G2128" s="6">
        <f>IF('FUENTE NO BORRAR'!G2146="","",IF('FUENTE NO BORRAR'!$A2146&lt;&gt;"Resultado total",('FUENTE NO BORRAR'!G2146),""))</f>
        <v>49458.11</v>
      </c>
      <c r="H2128" s="6">
        <f>IF('FUENTE NO BORRAR'!H2146="","",IF('FUENTE NO BORRAR'!$A2146&lt;&gt;"Resultado total",('FUENTE NO BORRAR'!H2146),""))</f>
        <v>49458.11</v>
      </c>
      <c r="I2128" s="6">
        <f>IF('FUENTE NO BORRAR'!I2146="","",IF('FUENTE NO BORRAR'!$A2146&lt;&gt;"Resultado total",('FUENTE NO BORRAR'!I2146),""))</f>
        <v>0</v>
      </c>
    </row>
    <row r="2129" spans="1:9" x14ac:dyDescent="0.2">
      <c r="A2129" s="5" t="str">
        <f>IF('FUENTE NO BORRAR'!A2147="","",(IF('FUENTE NO BORRAR'!A2147&lt;&gt;"Resultado total",'FUENTE NO BORRAR'!A2147,"")))</f>
        <v/>
      </c>
      <c r="B2129" s="5" t="str">
        <f>IF('FUENTE NO BORRAR'!B2147="","",'FUENTE NO BORRAR'!B2147)</f>
        <v/>
      </c>
      <c r="C2129" s="5" t="str">
        <f>IF('FUENTE NO BORRAR'!C2147="","",'FUENTE NO BORRAR'!C2147)</f>
        <v/>
      </c>
      <c r="D2129" s="5" t="str">
        <f>IF('FUENTE NO BORRAR'!D2147="","",'FUENTE NO BORRAR'!D2147)</f>
        <v/>
      </c>
      <c r="E2129" s="5" t="str">
        <f>IF('FUENTE NO BORRAR'!E2147="","",'FUENTE NO BORRAR'!E2147)</f>
        <v/>
      </c>
      <c r="F2129" s="6">
        <f>IF('FUENTE NO BORRAR'!F2147="","",IF('FUENTE NO BORRAR'!$A2147&lt;&gt;"Resultado total",('FUENTE NO BORRAR'!F2147),""))</f>
        <v>197768.52</v>
      </c>
      <c r="G2129" s="6">
        <f>IF('FUENTE NO BORRAR'!G2147="","",IF('FUENTE NO BORRAR'!$A2147&lt;&gt;"Resultado total",('FUENTE NO BORRAR'!G2147),""))</f>
        <v>197768.52</v>
      </c>
      <c r="H2129" s="6">
        <f>IF('FUENTE NO BORRAR'!H2147="","",IF('FUENTE NO BORRAR'!$A2147&lt;&gt;"Resultado total",('FUENTE NO BORRAR'!H2147),""))</f>
        <v>197768.52</v>
      </c>
      <c r="I2129" s="6">
        <f>IF('FUENTE NO BORRAR'!I2147="","",IF('FUENTE NO BORRAR'!$A2147&lt;&gt;"Resultado total",('FUENTE NO BORRAR'!I2147),""))</f>
        <v>0</v>
      </c>
    </row>
    <row r="2130" spans="1:9" x14ac:dyDescent="0.2">
      <c r="A2130" s="5" t="str">
        <f>IF('FUENTE NO BORRAR'!A2148="","",(IF('FUENTE NO BORRAR'!A2148&lt;&gt;"Resultado total",'FUENTE NO BORRAR'!A2148,"")))</f>
        <v/>
      </c>
      <c r="B2130" s="5" t="str">
        <f>IF('FUENTE NO BORRAR'!B2148="","",'FUENTE NO BORRAR'!B2148)</f>
        <v/>
      </c>
      <c r="C2130" s="5" t="str">
        <f>IF('FUENTE NO BORRAR'!C2148="","",'FUENTE NO BORRAR'!C2148)</f>
        <v/>
      </c>
      <c r="D2130" s="5" t="str">
        <f>IF('FUENTE NO BORRAR'!D2148="","",'FUENTE NO BORRAR'!D2148)</f>
        <v/>
      </c>
      <c r="E2130" s="5" t="str">
        <f>IF('FUENTE NO BORRAR'!E2148="","",'FUENTE NO BORRAR'!E2148)</f>
        <v/>
      </c>
      <c r="F2130" s="6">
        <f>IF('FUENTE NO BORRAR'!F2148="","",IF('FUENTE NO BORRAR'!$A2148&lt;&gt;"Resultado total",('FUENTE NO BORRAR'!F2148),""))</f>
        <v>840870.89</v>
      </c>
      <c r="G2130" s="6">
        <f>IF('FUENTE NO BORRAR'!G2148="","",IF('FUENTE NO BORRAR'!$A2148&lt;&gt;"Resultado total",('FUENTE NO BORRAR'!G2148),""))</f>
        <v>840870.89</v>
      </c>
      <c r="H2130" s="6">
        <f>IF('FUENTE NO BORRAR'!H2148="","",IF('FUENTE NO BORRAR'!$A2148&lt;&gt;"Resultado total",('FUENTE NO BORRAR'!H2148),""))</f>
        <v>825270.89</v>
      </c>
      <c r="I2130" s="6">
        <f>IF('FUENTE NO BORRAR'!I2148="","",IF('FUENTE NO BORRAR'!$A2148&lt;&gt;"Resultado total",('FUENTE NO BORRAR'!I2148),""))</f>
        <v>0</v>
      </c>
    </row>
    <row r="2131" spans="1:9" x14ac:dyDescent="0.2">
      <c r="A2131" s="5" t="str">
        <f>IF('FUENTE NO BORRAR'!A2149="","",(IF('FUENTE NO BORRAR'!A2149&lt;&gt;"Resultado total",'FUENTE NO BORRAR'!A2149,"")))</f>
        <v/>
      </c>
      <c r="B2131" s="5" t="str">
        <f>IF('FUENTE NO BORRAR'!B2149="","",'FUENTE NO BORRAR'!B2149)</f>
        <v/>
      </c>
      <c r="C2131" s="5" t="str">
        <f>IF('FUENTE NO BORRAR'!C2149="","",'FUENTE NO BORRAR'!C2149)</f>
        <v/>
      </c>
      <c r="D2131" s="5" t="str">
        <f>IF('FUENTE NO BORRAR'!D2149="","",'FUENTE NO BORRAR'!D2149)</f>
        <v/>
      </c>
      <c r="E2131" s="5" t="str">
        <f>IF('FUENTE NO BORRAR'!E2149="","",'FUENTE NO BORRAR'!E2149)</f>
        <v/>
      </c>
      <c r="F2131" s="6">
        <f>IF('FUENTE NO BORRAR'!F2149="","",IF('FUENTE NO BORRAR'!$A2149&lt;&gt;"Resultado total",('FUENTE NO BORRAR'!F2149),""))</f>
        <v>169228.54</v>
      </c>
      <c r="G2131" s="6">
        <f>IF('FUENTE NO BORRAR'!G2149="","",IF('FUENTE NO BORRAR'!$A2149&lt;&gt;"Resultado total",('FUENTE NO BORRAR'!G2149),""))</f>
        <v>169228.54</v>
      </c>
      <c r="H2131" s="6">
        <f>IF('FUENTE NO BORRAR'!H2149="","",IF('FUENTE NO BORRAR'!$A2149&lt;&gt;"Resultado total",('FUENTE NO BORRAR'!H2149),""))</f>
        <v>169228.54</v>
      </c>
      <c r="I2131" s="6">
        <f>IF('FUENTE NO BORRAR'!I2149="","",IF('FUENTE NO BORRAR'!$A2149&lt;&gt;"Resultado total",('FUENTE NO BORRAR'!I2149),""))</f>
        <v>0</v>
      </c>
    </row>
    <row r="2132" spans="1:9" x14ac:dyDescent="0.2">
      <c r="A2132" s="5" t="str">
        <f>IF('FUENTE NO BORRAR'!A2150="","",(IF('FUENTE NO BORRAR'!A2150&lt;&gt;"Resultado total",'FUENTE NO BORRAR'!A2150,"")))</f>
        <v/>
      </c>
      <c r="B2132" s="5" t="str">
        <f>IF('FUENTE NO BORRAR'!B2150="","",'FUENTE NO BORRAR'!B2150)</f>
        <v/>
      </c>
      <c r="C2132" s="5" t="str">
        <f>IF('FUENTE NO BORRAR'!C2150="","",'FUENTE NO BORRAR'!C2150)</f>
        <v/>
      </c>
      <c r="D2132" s="5" t="str">
        <f>IF('FUENTE NO BORRAR'!D2150="","",'FUENTE NO BORRAR'!D2150)</f>
        <v/>
      </c>
      <c r="E2132" s="5" t="str">
        <f>IF('FUENTE NO BORRAR'!E2150="","",'FUENTE NO BORRAR'!E2150)</f>
        <v/>
      </c>
      <c r="F2132" s="6">
        <f>IF('FUENTE NO BORRAR'!F2150="","",IF('FUENTE NO BORRAR'!$A2150&lt;&gt;"Resultado total",('FUENTE NO BORRAR'!F2150),""))</f>
        <v>30787.439999999999</v>
      </c>
      <c r="G2132" s="6">
        <f>IF('FUENTE NO BORRAR'!G2150="","",IF('FUENTE NO BORRAR'!$A2150&lt;&gt;"Resultado total",('FUENTE NO BORRAR'!G2150),""))</f>
        <v>30787.439999999999</v>
      </c>
      <c r="H2132" s="6">
        <f>IF('FUENTE NO BORRAR'!H2150="","",IF('FUENTE NO BORRAR'!$A2150&lt;&gt;"Resultado total",('FUENTE NO BORRAR'!H2150),""))</f>
        <v>30787.439999999999</v>
      </c>
      <c r="I2132" s="6">
        <f>IF('FUENTE NO BORRAR'!I2150="","",IF('FUENTE NO BORRAR'!$A2150&lt;&gt;"Resultado total",('FUENTE NO BORRAR'!I2150),""))</f>
        <v>0</v>
      </c>
    </row>
    <row r="2133" spans="1:9" x14ac:dyDescent="0.2">
      <c r="A2133" s="5" t="str">
        <f>IF('FUENTE NO BORRAR'!A2151="","",(IF('FUENTE NO BORRAR'!A2151&lt;&gt;"Resultado total",'FUENTE NO BORRAR'!A2151,"")))</f>
        <v/>
      </c>
      <c r="B2133" s="5" t="str">
        <f>IF('FUENTE NO BORRAR'!B2151="","",'FUENTE NO BORRAR'!B2151)</f>
        <v/>
      </c>
      <c r="C2133" s="5" t="str">
        <f>IF('FUENTE NO BORRAR'!C2151="","",'FUENTE NO BORRAR'!C2151)</f>
        <v/>
      </c>
      <c r="D2133" s="5" t="str">
        <f>IF('FUENTE NO BORRAR'!D2151="","",'FUENTE NO BORRAR'!D2151)</f>
        <v/>
      </c>
      <c r="E2133" s="5" t="str">
        <f>IF('FUENTE NO BORRAR'!E2151="","",'FUENTE NO BORRAR'!E2151)</f>
        <v/>
      </c>
      <c r="F2133" s="6">
        <f>IF('FUENTE NO BORRAR'!F2151="","",IF('FUENTE NO BORRAR'!$A2151&lt;&gt;"Resultado total",('FUENTE NO BORRAR'!F2151),""))</f>
        <v>1276</v>
      </c>
      <c r="G2133" s="6">
        <f>IF('FUENTE NO BORRAR'!G2151="","",IF('FUENTE NO BORRAR'!$A2151&lt;&gt;"Resultado total",('FUENTE NO BORRAR'!G2151),""))</f>
        <v>1276</v>
      </c>
      <c r="H2133" s="6">
        <f>IF('FUENTE NO BORRAR'!H2151="","",IF('FUENTE NO BORRAR'!$A2151&lt;&gt;"Resultado total",('FUENTE NO BORRAR'!H2151),""))</f>
        <v>1276</v>
      </c>
      <c r="I2133" s="6">
        <f>IF('FUENTE NO BORRAR'!I2151="","",IF('FUENTE NO BORRAR'!$A2151&lt;&gt;"Resultado total",('FUENTE NO BORRAR'!I2151),""))</f>
        <v>0</v>
      </c>
    </row>
    <row r="2134" spans="1:9" x14ac:dyDescent="0.2">
      <c r="A2134" s="5" t="str">
        <f>IF('FUENTE NO BORRAR'!A2152="","",(IF('FUENTE NO BORRAR'!A2152&lt;&gt;"Resultado total",'FUENTE NO BORRAR'!A2152,"")))</f>
        <v/>
      </c>
      <c r="B2134" s="5" t="str">
        <f>IF('FUENTE NO BORRAR'!B2152="","",'FUENTE NO BORRAR'!B2152)</f>
        <v/>
      </c>
      <c r="C2134" s="5" t="str">
        <f>IF('FUENTE NO BORRAR'!C2152="","",'FUENTE NO BORRAR'!C2152)</f>
        <v/>
      </c>
      <c r="D2134" s="5" t="str">
        <f>IF('FUENTE NO BORRAR'!D2152="","",'FUENTE NO BORRAR'!D2152)</f>
        <v/>
      </c>
      <c r="E2134" s="5" t="str">
        <f>IF('FUENTE NO BORRAR'!E2152="","",'FUENTE NO BORRAR'!E2152)</f>
        <v/>
      </c>
      <c r="F2134" s="6">
        <f>IF('FUENTE NO BORRAR'!F2152="","",IF('FUENTE NO BORRAR'!$A2152&lt;&gt;"Resultado total",('FUENTE NO BORRAR'!F2152),""))</f>
        <v>156102.13</v>
      </c>
      <c r="G2134" s="6">
        <f>IF('FUENTE NO BORRAR'!G2152="","",IF('FUENTE NO BORRAR'!$A2152&lt;&gt;"Resultado total",('FUENTE NO BORRAR'!G2152),""))</f>
        <v>156102.13</v>
      </c>
      <c r="H2134" s="6">
        <f>IF('FUENTE NO BORRAR'!H2152="","",IF('FUENTE NO BORRAR'!$A2152&lt;&gt;"Resultado total",('FUENTE NO BORRAR'!H2152),""))</f>
        <v>156102.13</v>
      </c>
      <c r="I2134" s="6">
        <f>IF('FUENTE NO BORRAR'!I2152="","",IF('FUENTE NO BORRAR'!$A2152&lt;&gt;"Resultado total",('FUENTE NO BORRAR'!I2152),""))</f>
        <v>0</v>
      </c>
    </row>
    <row r="2135" spans="1:9" x14ac:dyDescent="0.2">
      <c r="A2135" s="5" t="str">
        <f>IF('FUENTE NO BORRAR'!A2153="","",(IF('FUENTE NO BORRAR'!A2153&lt;&gt;"Resultado total",'FUENTE NO BORRAR'!A2153,"")))</f>
        <v/>
      </c>
      <c r="B2135" s="5" t="str">
        <f>IF('FUENTE NO BORRAR'!B2153="","",'FUENTE NO BORRAR'!B2153)</f>
        <v/>
      </c>
      <c r="C2135" s="5" t="str">
        <f>IF('FUENTE NO BORRAR'!C2153="","",'FUENTE NO BORRAR'!C2153)</f>
        <v/>
      </c>
      <c r="D2135" s="5" t="str">
        <f>IF('FUENTE NO BORRAR'!D2153="","",'FUENTE NO BORRAR'!D2153)</f>
        <v/>
      </c>
      <c r="E2135" s="5" t="str">
        <f>IF('FUENTE NO BORRAR'!E2153="","",'FUENTE NO BORRAR'!E2153)</f>
        <v/>
      </c>
      <c r="F2135" s="6">
        <f>IF('FUENTE NO BORRAR'!F2153="","",IF('FUENTE NO BORRAR'!$A2153&lt;&gt;"Resultado total",('FUENTE NO BORRAR'!F2153),""))</f>
        <v>1867.6</v>
      </c>
      <c r="G2135" s="6">
        <f>IF('FUENTE NO BORRAR'!G2153="","",IF('FUENTE NO BORRAR'!$A2153&lt;&gt;"Resultado total",('FUENTE NO BORRAR'!G2153),""))</f>
        <v>1867.6</v>
      </c>
      <c r="H2135" s="6">
        <f>IF('FUENTE NO BORRAR'!H2153="","",IF('FUENTE NO BORRAR'!$A2153&lt;&gt;"Resultado total",('FUENTE NO BORRAR'!H2153),""))</f>
        <v>1867.6</v>
      </c>
      <c r="I2135" s="6">
        <f>IF('FUENTE NO BORRAR'!I2153="","",IF('FUENTE NO BORRAR'!$A2153&lt;&gt;"Resultado total",('FUENTE NO BORRAR'!I2153),""))</f>
        <v>0</v>
      </c>
    </row>
    <row r="2136" spans="1:9" x14ac:dyDescent="0.2">
      <c r="A2136" s="5" t="str">
        <f>IF('FUENTE NO BORRAR'!A2154="","",(IF('FUENTE NO BORRAR'!A2154&lt;&gt;"Resultado total",'FUENTE NO BORRAR'!A2154,"")))</f>
        <v/>
      </c>
      <c r="B2136" s="5" t="str">
        <f>IF('FUENTE NO BORRAR'!B2154="","",'FUENTE NO BORRAR'!B2154)</f>
        <v/>
      </c>
      <c r="C2136" s="5" t="str">
        <f>IF('FUENTE NO BORRAR'!C2154="","",'FUENTE NO BORRAR'!C2154)</f>
        <v/>
      </c>
      <c r="D2136" s="5" t="str">
        <f>IF('FUENTE NO BORRAR'!D2154="","",'FUENTE NO BORRAR'!D2154)</f>
        <v/>
      </c>
      <c r="E2136" s="5" t="str">
        <f>IF('FUENTE NO BORRAR'!E2154="","",'FUENTE NO BORRAR'!E2154)</f>
        <v/>
      </c>
      <c r="F2136" s="6">
        <f>IF('FUENTE NO BORRAR'!F2154="","",IF('FUENTE NO BORRAR'!$A2154&lt;&gt;"Resultado total",('FUENTE NO BORRAR'!F2154),""))</f>
        <v>1206</v>
      </c>
      <c r="G2136" s="6">
        <f>IF('FUENTE NO BORRAR'!G2154="","",IF('FUENTE NO BORRAR'!$A2154&lt;&gt;"Resultado total",('FUENTE NO BORRAR'!G2154),""))</f>
        <v>1206</v>
      </c>
      <c r="H2136" s="6">
        <f>IF('FUENTE NO BORRAR'!H2154="","",IF('FUENTE NO BORRAR'!$A2154&lt;&gt;"Resultado total",('FUENTE NO BORRAR'!H2154),""))</f>
        <v>1206</v>
      </c>
      <c r="I2136" s="6">
        <f>IF('FUENTE NO BORRAR'!I2154="","",IF('FUENTE NO BORRAR'!$A2154&lt;&gt;"Resultado total",('FUENTE NO BORRAR'!I2154),""))</f>
        <v>0</v>
      </c>
    </row>
    <row r="2137" spans="1:9" x14ac:dyDescent="0.2">
      <c r="A2137" s="5" t="str">
        <f>IF('FUENTE NO BORRAR'!A2155="","",(IF('FUENTE NO BORRAR'!A2155&lt;&gt;"Resultado total",'FUENTE NO BORRAR'!A2155,"")))</f>
        <v/>
      </c>
      <c r="B2137" s="5" t="str">
        <f>IF('FUENTE NO BORRAR'!B2155="","",'FUENTE NO BORRAR'!B2155)</f>
        <v/>
      </c>
      <c r="C2137" s="5" t="str">
        <f>IF('FUENTE NO BORRAR'!C2155="","",'FUENTE NO BORRAR'!C2155)</f>
        <v/>
      </c>
      <c r="D2137" s="5" t="str">
        <f>IF('FUENTE NO BORRAR'!D2155="","",'FUENTE NO BORRAR'!D2155)</f>
        <v/>
      </c>
      <c r="E2137" s="5" t="str">
        <f>IF('FUENTE NO BORRAR'!E2155="","",'FUENTE NO BORRAR'!E2155)</f>
        <v/>
      </c>
      <c r="F2137" s="6">
        <f>IF('FUENTE NO BORRAR'!F2155="","",IF('FUENTE NO BORRAR'!$A2155&lt;&gt;"Resultado total",('FUENTE NO BORRAR'!F2155),""))</f>
        <v>20671.2</v>
      </c>
      <c r="G2137" s="6">
        <f>IF('FUENTE NO BORRAR'!G2155="","",IF('FUENTE NO BORRAR'!$A2155&lt;&gt;"Resultado total",('FUENTE NO BORRAR'!G2155),""))</f>
        <v>20671.2</v>
      </c>
      <c r="H2137" s="6">
        <f>IF('FUENTE NO BORRAR'!H2155="","",IF('FUENTE NO BORRAR'!$A2155&lt;&gt;"Resultado total",('FUENTE NO BORRAR'!H2155),""))</f>
        <v>20671.2</v>
      </c>
      <c r="I2137" s="6">
        <f>IF('FUENTE NO BORRAR'!I2155="","",IF('FUENTE NO BORRAR'!$A2155&lt;&gt;"Resultado total",('FUENTE NO BORRAR'!I2155),""))</f>
        <v>0</v>
      </c>
    </row>
    <row r="2138" spans="1:9" x14ac:dyDescent="0.2">
      <c r="A2138" s="5" t="str">
        <f>IF('FUENTE NO BORRAR'!A2156="","",(IF('FUENTE NO BORRAR'!A2156&lt;&gt;"Resultado total",'FUENTE NO BORRAR'!A2156,"")))</f>
        <v/>
      </c>
      <c r="B2138" s="5" t="str">
        <f>IF('FUENTE NO BORRAR'!B2156="","",'FUENTE NO BORRAR'!B2156)</f>
        <v/>
      </c>
      <c r="C2138" s="5" t="str">
        <f>IF('FUENTE NO BORRAR'!C2156="","",'FUENTE NO BORRAR'!C2156)</f>
        <v/>
      </c>
      <c r="D2138" s="5" t="str">
        <f>IF('FUENTE NO BORRAR'!D2156="","",'FUENTE NO BORRAR'!D2156)</f>
        <v/>
      </c>
      <c r="E2138" s="5" t="str">
        <f>IF('FUENTE NO BORRAR'!E2156="","",'FUENTE NO BORRAR'!E2156)</f>
        <v/>
      </c>
      <c r="F2138" s="6">
        <f>IF('FUENTE NO BORRAR'!F2156="","",IF('FUENTE NO BORRAR'!$A2156&lt;&gt;"Resultado total",('FUENTE NO BORRAR'!F2156),""))</f>
        <v>91791.18</v>
      </c>
      <c r="G2138" s="6">
        <f>IF('FUENTE NO BORRAR'!G2156="","",IF('FUENTE NO BORRAR'!$A2156&lt;&gt;"Resultado total",('FUENTE NO BORRAR'!G2156),""))</f>
        <v>91791.18</v>
      </c>
      <c r="H2138" s="6">
        <f>IF('FUENTE NO BORRAR'!H2156="","",IF('FUENTE NO BORRAR'!$A2156&lt;&gt;"Resultado total",('FUENTE NO BORRAR'!H2156),""))</f>
        <v>91791.18</v>
      </c>
      <c r="I2138" s="6">
        <f>IF('FUENTE NO BORRAR'!I2156="","",IF('FUENTE NO BORRAR'!$A2156&lt;&gt;"Resultado total",('FUENTE NO BORRAR'!I2156),""))</f>
        <v>0</v>
      </c>
    </row>
    <row r="2139" spans="1:9" x14ac:dyDescent="0.2">
      <c r="A2139" s="5" t="str">
        <f>IF('FUENTE NO BORRAR'!A2157="","",(IF('FUENTE NO BORRAR'!A2157&lt;&gt;"Resultado total",'FUENTE NO BORRAR'!A2157,"")))</f>
        <v/>
      </c>
      <c r="B2139" s="5" t="str">
        <f>IF('FUENTE NO BORRAR'!B2157="","",'FUENTE NO BORRAR'!B2157)</f>
        <v/>
      </c>
      <c r="C2139" s="5" t="str">
        <f>IF('FUENTE NO BORRAR'!C2157="","",'FUENTE NO BORRAR'!C2157)</f>
        <v/>
      </c>
      <c r="D2139" s="5" t="str">
        <f>IF('FUENTE NO BORRAR'!D2157="","",'FUENTE NO BORRAR'!D2157)</f>
        <v/>
      </c>
      <c r="E2139" s="5" t="str">
        <f>IF('FUENTE NO BORRAR'!E2157="","",'FUENTE NO BORRAR'!E2157)</f>
        <v/>
      </c>
      <c r="F2139" s="6">
        <f>IF('FUENTE NO BORRAR'!F2157="","",IF('FUENTE NO BORRAR'!$A2157&lt;&gt;"Resultado total",('FUENTE NO BORRAR'!F2157),""))</f>
        <v>0</v>
      </c>
      <c r="G2139" s="6">
        <f>IF('FUENTE NO BORRAR'!G2157="","",IF('FUENTE NO BORRAR'!$A2157&lt;&gt;"Resultado total",('FUENTE NO BORRAR'!G2157),""))</f>
        <v>0</v>
      </c>
      <c r="H2139" s="6">
        <f>IF('FUENTE NO BORRAR'!H2157="","",IF('FUENTE NO BORRAR'!$A2157&lt;&gt;"Resultado total",('FUENTE NO BORRAR'!H2157),""))</f>
        <v>0</v>
      </c>
      <c r="I2139" s="6">
        <f>IF('FUENTE NO BORRAR'!I2157="","",IF('FUENTE NO BORRAR'!$A2157&lt;&gt;"Resultado total",('FUENTE NO BORRAR'!I2157),""))</f>
        <v>0</v>
      </c>
    </row>
    <row r="2140" spans="1:9" x14ac:dyDescent="0.2">
      <c r="A2140" s="5" t="str">
        <f>IF('FUENTE NO BORRAR'!A2158="","",(IF('FUENTE NO BORRAR'!A2158&lt;&gt;"Resultado total",'FUENTE NO BORRAR'!A2158,"")))</f>
        <v/>
      </c>
      <c r="B2140" s="5" t="str">
        <f>IF('FUENTE NO BORRAR'!B2158="","",'FUENTE NO BORRAR'!B2158)</f>
        <v/>
      </c>
      <c r="C2140" s="5" t="str">
        <f>IF('FUENTE NO BORRAR'!C2158="","",'FUENTE NO BORRAR'!C2158)</f>
        <v/>
      </c>
      <c r="D2140" s="5" t="str">
        <f>IF('FUENTE NO BORRAR'!D2158="","",'FUENTE NO BORRAR'!D2158)</f>
        <v/>
      </c>
      <c r="E2140" s="5" t="str">
        <f>IF('FUENTE NO BORRAR'!E2158="","",'FUENTE NO BORRAR'!E2158)</f>
        <v/>
      </c>
      <c r="F2140" s="6">
        <f>IF('FUENTE NO BORRAR'!F2158="","",IF('FUENTE NO BORRAR'!$A2158&lt;&gt;"Resultado total",('FUENTE NO BORRAR'!F2158),""))</f>
        <v>36050.800000000003</v>
      </c>
      <c r="G2140" s="6">
        <f>IF('FUENTE NO BORRAR'!G2158="","",IF('FUENTE NO BORRAR'!$A2158&lt;&gt;"Resultado total",('FUENTE NO BORRAR'!G2158),""))</f>
        <v>36050.800000000003</v>
      </c>
      <c r="H2140" s="6">
        <f>IF('FUENTE NO BORRAR'!H2158="","",IF('FUENTE NO BORRAR'!$A2158&lt;&gt;"Resultado total",('FUENTE NO BORRAR'!H2158),""))</f>
        <v>36050.800000000003</v>
      </c>
      <c r="I2140" s="6">
        <f>IF('FUENTE NO BORRAR'!I2158="","",IF('FUENTE NO BORRAR'!$A2158&lt;&gt;"Resultado total",('FUENTE NO BORRAR'!I2158),""))</f>
        <v>0</v>
      </c>
    </row>
    <row r="2141" spans="1:9" x14ac:dyDescent="0.2">
      <c r="A2141" s="5" t="str">
        <f>IF('FUENTE NO BORRAR'!A2159="","",(IF('FUENTE NO BORRAR'!A2159&lt;&gt;"Resultado total",'FUENTE NO BORRAR'!A2159,"")))</f>
        <v/>
      </c>
      <c r="B2141" s="5" t="str">
        <f>IF('FUENTE NO BORRAR'!B2159="","",'FUENTE NO BORRAR'!B2159)</f>
        <v/>
      </c>
      <c r="C2141" s="5" t="str">
        <f>IF('FUENTE NO BORRAR'!C2159="","",'FUENTE NO BORRAR'!C2159)</f>
        <v/>
      </c>
      <c r="D2141" s="5" t="str">
        <f>IF('FUENTE NO BORRAR'!D2159="","",'FUENTE NO BORRAR'!D2159)</f>
        <v/>
      </c>
      <c r="E2141" s="5" t="str">
        <f>IF('FUENTE NO BORRAR'!E2159="","",'FUENTE NO BORRAR'!E2159)</f>
        <v/>
      </c>
      <c r="F2141" s="6">
        <f>IF('FUENTE NO BORRAR'!F2159="","",IF('FUENTE NO BORRAR'!$A2159&lt;&gt;"Resultado total",('FUENTE NO BORRAR'!F2159),""))</f>
        <v>36480</v>
      </c>
      <c r="G2141" s="6">
        <f>IF('FUENTE NO BORRAR'!G2159="","",IF('FUENTE NO BORRAR'!$A2159&lt;&gt;"Resultado total",('FUENTE NO BORRAR'!G2159),""))</f>
        <v>36480</v>
      </c>
      <c r="H2141" s="6">
        <f>IF('FUENTE NO BORRAR'!H2159="","",IF('FUENTE NO BORRAR'!$A2159&lt;&gt;"Resultado total",('FUENTE NO BORRAR'!H2159),""))</f>
        <v>36480</v>
      </c>
      <c r="I2141" s="6">
        <f>IF('FUENTE NO BORRAR'!I2159="","",IF('FUENTE NO BORRAR'!$A2159&lt;&gt;"Resultado total",('FUENTE NO BORRAR'!I2159),""))</f>
        <v>0</v>
      </c>
    </row>
    <row r="2142" spans="1:9" x14ac:dyDescent="0.2">
      <c r="A2142" s="5" t="str">
        <f>IF('FUENTE NO BORRAR'!A2160="","",(IF('FUENTE NO BORRAR'!A2160&lt;&gt;"Resultado total",'FUENTE NO BORRAR'!A2160,"")))</f>
        <v/>
      </c>
      <c r="B2142" s="5" t="str">
        <f>IF('FUENTE NO BORRAR'!B2160="","",'FUENTE NO BORRAR'!B2160)</f>
        <v/>
      </c>
      <c r="C2142" s="5" t="str">
        <f>IF('FUENTE NO BORRAR'!C2160="","",'FUENTE NO BORRAR'!C2160)</f>
        <v/>
      </c>
      <c r="D2142" s="5" t="str">
        <f>IF('FUENTE NO BORRAR'!D2160="","",'FUENTE NO BORRAR'!D2160)</f>
        <v/>
      </c>
      <c r="E2142" s="5" t="str">
        <f>IF('FUENTE NO BORRAR'!E2160="","",'FUENTE NO BORRAR'!E2160)</f>
        <v/>
      </c>
      <c r="F2142" s="6">
        <f>IF('FUENTE NO BORRAR'!F2160="","",IF('FUENTE NO BORRAR'!$A2160&lt;&gt;"Resultado total",('FUENTE NO BORRAR'!F2160),""))</f>
        <v>0</v>
      </c>
      <c r="G2142" s="6">
        <f>IF('FUENTE NO BORRAR'!G2160="","",IF('FUENTE NO BORRAR'!$A2160&lt;&gt;"Resultado total",('FUENTE NO BORRAR'!G2160),""))</f>
        <v>0</v>
      </c>
      <c r="H2142" s="6">
        <f>IF('FUENTE NO BORRAR'!H2160="","",IF('FUENTE NO BORRAR'!$A2160&lt;&gt;"Resultado total",('FUENTE NO BORRAR'!H2160),""))</f>
        <v>0</v>
      </c>
      <c r="I2142" s="6">
        <f>IF('FUENTE NO BORRAR'!I2160="","",IF('FUENTE NO BORRAR'!$A2160&lt;&gt;"Resultado total",('FUENTE NO BORRAR'!I2160),""))</f>
        <v>0</v>
      </c>
    </row>
    <row r="2143" spans="1:9" x14ac:dyDescent="0.2">
      <c r="A2143" s="5" t="str">
        <f>IF('FUENTE NO BORRAR'!A2161="","",(IF('FUENTE NO BORRAR'!A2161&lt;&gt;"Resultado total",'FUENTE NO BORRAR'!A2161,"")))</f>
        <v/>
      </c>
      <c r="B2143" s="5" t="str">
        <f>IF('FUENTE NO BORRAR'!B2161="","",'FUENTE NO BORRAR'!B2161)</f>
        <v/>
      </c>
      <c r="C2143" s="5" t="str">
        <f>IF('FUENTE NO BORRAR'!C2161="","",'FUENTE NO BORRAR'!C2161)</f>
        <v/>
      </c>
      <c r="D2143" s="5" t="str">
        <f>IF('FUENTE NO BORRAR'!D2161="","",'FUENTE NO BORRAR'!D2161)</f>
        <v/>
      </c>
      <c r="E2143" s="5" t="str">
        <f>IF('FUENTE NO BORRAR'!E2161="","",'FUENTE NO BORRAR'!E2161)</f>
        <v/>
      </c>
      <c r="F2143" s="6">
        <f>IF('FUENTE NO BORRAR'!F2161="","",IF('FUENTE NO BORRAR'!$A2161&lt;&gt;"Resultado total",('FUENTE NO BORRAR'!F2161),""))</f>
        <v>40954.639999999999</v>
      </c>
      <c r="G2143" s="6">
        <f>IF('FUENTE NO BORRAR'!G2161="","",IF('FUENTE NO BORRAR'!$A2161&lt;&gt;"Resultado total",('FUENTE NO BORRAR'!G2161),""))</f>
        <v>40954.639999999999</v>
      </c>
      <c r="H2143" s="6">
        <f>IF('FUENTE NO BORRAR'!H2161="","",IF('FUENTE NO BORRAR'!$A2161&lt;&gt;"Resultado total",('FUENTE NO BORRAR'!H2161),""))</f>
        <v>40954.639999999999</v>
      </c>
      <c r="I2143" s="6">
        <f>IF('FUENTE NO BORRAR'!I2161="","",IF('FUENTE NO BORRAR'!$A2161&lt;&gt;"Resultado total",('FUENTE NO BORRAR'!I2161),""))</f>
        <v>0</v>
      </c>
    </row>
    <row r="2144" spans="1:9" x14ac:dyDescent="0.2">
      <c r="A2144" s="5" t="str">
        <f>IF('FUENTE NO BORRAR'!A2162="","",(IF('FUENTE NO BORRAR'!A2162&lt;&gt;"Resultado total",'FUENTE NO BORRAR'!A2162,"")))</f>
        <v/>
      </c>
      <c r="B2144" s="5" t="str">
        <f>IF('FUENTE NO BORRAR'!B2162="","",'FUENTE NO BORRAR'!B2162)</f>
        <v/>
      </c>
      <c r="C2144" s="5" t="str">
        <f>IF('FUENTE NO BORRAR'!C2162="","",'FUENTE NO BORRAR'!C2162)</f>
        <v/>
      </c>
      <c r="D2144" s="5" t="str">
        <f>IF('FUENTE NO BORRAR'!D2162="","",'FUENTE NO BORRAR'!D2162)</f>
        <v/>
      </c>
      <c r="E2144" s="5" t="str">
        <f>IF('FUENTE NO BORRAR'!E2162="","",'FUENTE NO BORRAR'!E2162)</f>
        <v/>
      </c>
      <c r="F2144" s="6">
        <f>IF('FUENTE NO BORRAR'!F2162="","",IF('FUENTE NO BORRAR'!$A2162&lt;&gt;"Resultado total",('FUENTE NO BORRAR'!F2162),""))</f>
        <v>21153.31</v>
      </c>
      <c r="G2144" s="6">
        <f>IF('FUENTE NO BORRAR'!G2162="","",IF('FUENTE NO BORRAR'!$A2162&lt;&gt;"Resultado total",('FUENTE NO BORRAR'!G2162),""))</f>
        <v>21153.31</v>
      </c>
      <c r="H2144" s="6">
        <f>IF('FUENTE NO BORRAR'!H2162="","",IF('FUENTE NO BORRAR'!$A2162&lt;&gt;"Resultado total",('FUENTE NO BORRAR'!H2162),""))</f>
        <v>21153.31</v>
      </c>
      <c r="I2144" s="6">
        <f>IF('FUENTE NO BORRAR'!I2162="","",IF('FUENTE NO BORRAR'!$A2162&lt;&gt;"Resultado total",('FUENTE NO BORRAR'!I2162),""))</f>
        <v>0</v>
      </c>
    </row>
    <row r="2145" spans="1:9" x14ac:dyDescent="0.2">
      <c r="A2145" s="5" t="str">
        <f>IF('FUENTE NO BORRAR'!A2163="","",(IF('FUENTE NO BORRAR'!A2163&lt;&gt;"Resultado total",'FUENTE NO BORRAR'!A2163,"")))</f>
        <v/>
      </c>
      <c r="B2145" s="5" t="str">
        <f>IF('FUENTE NO BORRAR'!B2163="","",'FUENTE NO BORRAR'!B2163)</f>
        <v/>
      </c>
      <c r="C2145" s="5" t="str">
        <f>IF('FUENTE NO BORRAR'!C2163="","",'FUENTE NO BORRAR'!C2163)</f>
        <v/>
      </c>
      <c r="D2145" s="5" t="str">
        <f>IF('FUENTE NO BORRAR'!D2163="","",'FUENTE NO BORRAR'!D2163)</f>
        <v/>
      </c>
      <c r="E2145" s="5" t="str">
        <f>IF('FUENTE NO BORRAR'!E2163="","",'FUENTE NO BORRAR'!E2163)</f>
        <v/>
      </c>
      <c r="F2145" s="6">
        <f>IF('FUENTE NO BORRAR'!F2163="","",IF('FUENTE NO BORRAR'!$A2163&lt;&gt;"Resultado total",('FUENTE NO BORRAR'!F2163),""))</f>
        <v>0</v>
      </c>
      <c r="G2145" s="6">
        <f>IF('FUENTE NO BORRAR'!G2163="","",IF('FUENTE NO BORRAR'!$A2163&lt;&gt;"Resultado total",('FUENTE NO BORRAR'!G2163),""))</f>
        <v>0</v>
      </c>
      <c r="H2145" s="6">
        <f>IF('FUENTE NO BORRAR'!H2163="","",IF('FUENTE NO BORRAR'!$A2163&lt;&gt;"Resultado total",('FUENTE NO BORRAR'!H2163),""))</f>
        <v>0</v>
      </c>
      <c r="I2145" s="6">
        <f>IF('FUENTE NO BORRAR'!I2163="","",IF('FUENTE NO BORRAR'!$A2163&lt;&gt;"Resultado total",('FUENTE NO BORRAR'!I2163),""))</f>
        <v>0</v>
      </c>
    </row>
    <row r="2146" spans="1:9" x14ac:dyDescent="0.2">
      <c r="A2146" s="5" t="str">
        <f>IF('FUENTE NO BORRAR'!A2164="","",(IF('FUENTE NO BORRAR'!A2164&lt;&gt;"Resultado total",'FUENTE NO BORRAR'!A2164,"")))</f>
        <v/>
      </c>
      <c r="B2146" s="5" t="str">
        <f>IF('FUENTE NO BORRAR'!B2164="","",'FUENTE NO BORRAR'!B2164)</f>
        <v/>
      </c>
      <c r="C2146" s="5" t="str">
        <f>IF('FUENTE NO BORRAR'!C2164="","",'FUENTE NO BORRAR'!C2164)</f>
        <v/>
      </c>
      <c r="D2146" s="5" t="str">
        <f>IF('FUENTE NO BORRAR'!D2164="","",'FUENTE NO BORRAR'!D2164)</f>
        <v/>
      </c>
      <c r="E2146" s="5" t="str">
        <f>IF('FUENTE NO BORRAR'!E2164="","",'FUENTE NO BORRAR'!E2164)</f>
        <v/>
      </c>
      <c r="F2146" s="6">
        <f>IF('FUENTE NO BORRAR'!F2164="","",IF('FUENTE NO BORRAR'!$A2164&lt;&gt;"Resultado total",('FUENTE NO BORRAR'!F2164),""))</f>
        <v>190686.75</v>
      </c>
      <c r="G2146" s="6">
        <f>IF('FUENTE NO BORRAR'!G2164="","",IF('FUENTE NO BORRAR'!$A2164&lt;&gt;"Resultado total",('FUENTE NO BORRAR'!G2164),""))</f>
        <v>190686.75</v>
      </c>
      <c r="H2146" s="6">
        <f>IF('FUENTE NO BORRAR'!H2164="","",IF('FUENTE NO BORRAR'!$A2164&lt;&gt;"Resultado total",('FUENTE NO BORRAR'!H2164),""))</f>
        <v>190686.75</v>
      </c>
      <c r="I2146" s="6">
        <f>IF('FUENTE NO BORRAR'!I2164="","",IF('FUENTE NO BORRAR'!$A2164&lt;&gt;"Resultado total",('FUENTE NO BORRAR'!I2164),""))</f>
        <v>0</v>
      </c>
    </row>
    <row r="2147" spans="1:9" x14ac:dyDescent="0.2">
      <c r="A2147" s="5" t="str">
        <f>IF('FUENTE NO BORRAR'!A2165="","",(IF('FUENTE NO BORRAR'!A2165&lt;&gt;"Resultado total",'FUENTE NO BORRAR'!A2165,"")))</f>
        <v/>
      </c>
      <c r="B2147" s="5" t="str">
        <f>IF('FUENTE NO BORRAR'!B2165="","",'FUENTE NO BORRAR'!B2165)</f>
        <v/>
      </c>
      <c r="C2147" s="5" t="str">
        <f>IF('FUENTE NO BORRAR'!C2165="","",'FUENTE NO BORRAR'!C2165)</f>
        <v/>
      </c>
      <c r="D2147" s="5" t="str">
        <f>IF('FUENTE NO BORRAR'!D2165="","",'FUENTE NO BORRAR'!D2165)</f>
        <v/>
      </c>
      <c r="E2147" s="5" t="str">
        <f>IF('FUENTE NO BORRAR'!E2165="","",'FUENTE NO BORRAR'!E2165)</f>
        <v/>
      </c>
      <c r="F2147" s="6">
        <f>IF('FUENTE NO BORRAR'!F2165="","",IF('FUENTE NO BORRAR'!$A2165&lt;&gt;"Resultado total",('FUENTE NO BORRAR'!F2165),""))</f>
        <v>2924.87</v>
      </c>
      <c r="G2147" s="6">
        <f>IF('FUENTE NO BORRAR'!G2165="","",IF('FUENTE NO BORRAR'!$A2165&lt;&gt;"Resultado total",('FUENTE NO BORRAR'!G2165),""))</f>
        <v>2924.87</v>
      </c>
      <c r="H2147" s="6">
        <f>IF('FUENTE NO BORRAR'!H2165="","",IF('FUENTE NO BORRAR'!$A2165&lt;&gt;"Resultado total",('FUENTE NO BORRAR'!H2165),""))</f>
        <v>2924.87</v>
      </c>
      <c r="I2147" s="6">
        <f>IF('FUENTE NO BORRAR'!I2165="","",IF('FUENTE NO BORRAR'!$A2165&lt;&gt;"Resultado total",('FUENTE NO BORRAR'!I2165),""))</f>
        <v>0</v>
      </c>
    </row>
    <row r="2148" spans="1:9" x14ac:dyDescent="0.2">
      <c r="A2148" s="5" t="str">
        <f>IF('FUENTE NO BORRAR'!A2166="","",(IF('FUENTE NO BORRAR'!A2166&lt;&gt;"Resultado total",'FUENTE NO BORRAR'!A2166,"")))</f>
        <v/>
      </c>
      <c r="B2148" s="5" t="str">
        <f>IF('FUENTE NO BORRAR'!B2166="","",'FUENTE NO BORRAR'!B2166)</f>
        <v/>
      </c>
      <c r="C2148" s="5" t="str">
        <f>IF('FUENTE NO BORRAR'!C2166="","",'FUENTE NO BORRAR'!C2166)</f>
        <v/>
      </c>
      <c r="D2148" s="5" t="str">
        <f>IF('FUENTE NO BORRAR'!D2166="","",'FUENTE NO BORRAR'!D2166)</f>
        <v/>
      </c>
      <c r="E2148" s="5" t="str">
        <f>IF('FUENTE NO BORRAR'!E2166="","",'FUENTE NO BORRAR'!E2166)</f>
        <v/>
      </c>
      <c r="F2148" s="6">
        <f>IF('FUENTE NO BORRAR'!F2166="","",IF('FUENTE NO BORRAR'!$A2166&lt;&gt;"Resultado total",('FUENTE NO BORRAR'!F2166),""))</f>
        <v>139.97999999999999</v>
      </c>
      <c r="G2148" s="6">
        <f>IF('FUENTE NO BORRAR'!G2166="","",IF('FUENTE NO BORRAR'!$A2166&lt;&gt;"Resultado total",('FUENTE NO BORRAR'!G2166),""))</f>
        <v>139.97999999999999</v>
      </c>
      <c r="H2148" s="6">
        <f>IF('FUENTE NO BORRAR'!H2166="","",IF('FUENTE NO BORRAR'!$A2166&lt;&gt;"Resultado total",('FUENTE NO BORRAR'!H2166),""))</f>
        <v>139.97999999999999</v>
      </c>
      <c r="I2148" s="6">
        <f>IF('FUENTE NO BORRAR'!I2166="","",IF('FUENTE NO BORRAR'!$A2166&lt;&gt;"Resultado total",('FUENTE NO BORRAR'!I2166),""))</f>
        <v>0</v>
      </c>
    </row>
    <row r="2149" spans="1:9" x14ac:dyDescent="0.2">
      <c r="A2149" s="5" t="str">
        <f>IF('FUENTE NO BORRAR'!A2167="","",(IF('FUENTE NO BORRAR'!A2167&lt;&gt;"Resultado total",'FUENTE NO BORRAR'!A2167,"")))</f>
        <v/>
      </c>
      <c r="B2149" s="5" t="str">
        <f>IF('FUENTE NO BORRAR'!B2167="","",'FUENTE NO BORRAR'!B2167)</f>
        <v/>
      </c>
      <c r="C2149" s="5" t="str">
        <f>IF('FUENTE NO BORRAR'!C2167="","",'FUENTE NO BORRAR'!C2167)</f>
        <v/>
      </c>
      <c r="D2149" s="5" t="str">
        <f>IF('FUENTE NO BORRAR'!D2167="","",'FUENTE NO BORRAR'!D2167)</f>
        <v/>
      </c>
      <c r="E2149" s="5" t="str">
        <f>IF('FUENTE NO BORRAR'!E2167="","",'FUENTE NO BORRAR'!E2167)</f>
        <v/>
      </c>
      <c r="F2149" s="6">
        <f>IF('FUENTE NO BORRAR'!F2167="","",IF('FUENTE NO BORRAR'!$A2167&lt;&gt;"Resultado total",('FUENTE NO BORRAR'!F2167),""))</f>
        <v>31508.720000000001</v>
      </c>
      <c r="G2149" s="6">
        <f>IF('FUENTE NO BORRAR'!G2167="","",IF('FUENTE NO BORRAR'!$A2167&lt;&gt;"Resultado total",('FUENTE NO BORRAR'!G2167),""))</f>
        <v>31508.720000000001</v>
      </c>
      <c r="H2149" s="6">
        <f>IF('FUENTE NO BORRAR'!H2167="","",IF('FUENTE NO BORRAR'!$A2167&lt;&gt;"Resultado total",('FUENTE NO BORRAR'!H2167),""))</f>
        <v>31508.720000000001</v>
      </c>
      <c r="I2149" s="6">
        <f>IF('FUENTE NO BORRAR'!I2167="","",IF('FUENTE NO BORRAR'!$A2167&lt;&gt;"Resultado total",('FUENTE NO BORRAR'!I2167),""))</f>
        <v>0</v>
      </c>
    </row>
    <row r="2150" spans="1:9" x14ac:dyDescent="0.2">
      <c r="A2150" s="5" t="str">
        <f>IF('FUENTE NO BORRAR'!A2168="","",(IF('FUENTE NO BORRAR'!A2168&lt;&gt;"Resultado total",'FUENTE NO BORRAR'!A2168,"")))</f>
        <v/>
      </c>
      <c r="B2150" s="5" t="str">
        <f>IF('FUENTE NO BORRAR'!B2168="","",'FUENTE NO BORRAR'!B2168)</f>
        <v/>
      </c>
      <c r="C2150" s="5" t="str">
        <f>IF('FUENTE NO BORRAR'!C2168="","",'FUENTE NO BORRAR'!C2168)</f>
        <v/>
      </c>
      <c r="D2150" s="5" t="str">
        <f>IF('FUENTE NO BORRAR'!D2168="","",'FUENTE NO BORRAR'!D2168)</f>
        <v/>
      </c>
      <c r="E2150" s="5" t="str">
        <f>IF('FUENTE NO BORRAR'!E2168="","",'FUENTE NO BORRAR'!E2168)</f>
        <v/>
      </c>
      <c r="F2150" s="6">
        <f>IF('FUENTE NO BORRAR'!F2168="","",IF('FUENTE NO BORRAR'!$A2168&lt;&gt;"Resultado total",('FUENTE NO BORRAR'!F2168),""))</f>
        <v>25390.85</v>
      </c>
      <c r="G2150" s="6">
        <f>IF('FUENTE NO BORRAR'!G2168="","",IF('FUENTE NO BORRAR'!$A2168&lt;&gt;"Resultado total",('FUENTE NO BORRAR'!G2168),""))</f>
        <v>25390.85</v>
      </c>
      <c r="H2150" s="6">
        <f>IF('FUENTE NO BORRAR'!H2168="","",IF('FUENTE NO BORRAR'!$A2168&lt;&gt;"Resultado total",('FUENTE NO BORRAR'!H2168),""))</f>
        <v>25390.85</v>
      </c>
      <c r="I2150" s="6">
        <f>IF('FUENTE NO BORRAR'!I2168="","",IF('FUENTE NO BORRAR'!$A2168&lt;&gt;"Resultado total",('FUENTE NO BORRAR'!I2168),""))</f>
        <v>0</v>
      </c>
    </row>
    <row r="2151" spans="1:9" x14ac:dyDescent="0.2">
      <c r="A2151" s="5" t="str">
        <f>IF('FUENTE NO BORRAR'!A2169="","",(IF('FUENTE NO BORRAR'!A2169&lt;&gt;"Resultado total",'FUENTE NO BORRAR'!A2169,"")))</f>
        <v/>
      </c>
      <c r="B2151" s="5" t="str">
        <f>IF('FUENTE NO BORRAR'!B2169="","",'FUENTE NO BORRAR'!B2169)</f>
        <v/>
      </c>
      <c r="C2151" s="5" t="str">
        <f>IF('FUENTE NO BORRAR'!C2169="","",'FUENTE NO BORRAR'!C2169)</f>
        <v/>
      </c>
      <c r="D2151" s="5" t="str">
        <f>IF('FUENTE NO BORRAR'!D2169="","",'FUENTE NO BORRAR'!D2169)</f>
        <v/>
      </c>
      <c r="E2151" s="5" t="str">
        <f>IF('FUENTE NO BORRAR'!E2169="","",'FUENTE NO BORRAR'!E2169)</f>
        <v/>
      </c>
      <c r="F2151" s="6">
        <f>IF('FUENTE NO BORRAR'!F2169="","",IF('FUENTE NO BORRAR'!$A2169&lt;&gt;"Resultado total",('FUENTE NO BORRAR'!F2169),""))</f>
        <v>0</v>
      </c>
      <c r="G2151" s="6">
        <f>IF('FUENTE NO BORRAR'!G2169="","",IF('FUENTE NO BORRAR'!$A2169&lt;&gt;"Resultado total",('FUENTE NO BORRAR'!G2169),""))</f>
        <v>0</v>
      </c>
      <c r="H2151" s="6">
        <f>IF('FUENTE NO BORRAR'!H2169="","",IF('FUENTE NO BORRAR'!$A2169&lt;&gt;"Resultado total",('FUENTE NO BORRAR'!H2169),""))</f>
        <v>0</v>
      </c>
      <c r="I2151" s="6">
        <f>IF('FUENTE NO BORRAR'!I2169="","",IF('FUENTE NO BORRAR'!$A2169&lt;&gt;"Resultado total",('FUENTE NO BORRAR'!I2169),""))</f>
        <v>0</v>
      </c>
    </row>
    <row r="2152" spans="1:9" x14ac:dyDescent="0.2">
      <c r="A2152" s="5" t="str">
        <f>IF('FUENTE NO BORRAR'!A2170="","",(IF('FUENTE NO BORRAR'!A2170&lt;&gt;"Resultado total",'FUENTE NO BORRAR'!A2170,"")))</f>
        <v/>
      </c>
      <c r="B2152" s="5" t="str">
        <f>IF('FUENTE NO BORRAR'!B2170="","",'FUENTE NO BORRAR'!B2170)</f>
        <v/>
      </c>
      <c r="C2152" s="5" t="str">
        <f>IF('FUENTE NO BORRAR'!C2170="","",'FUENTE NO BORRAR'!C2170)</f>
        <v/>
      </c>
      <c r="D2152" s="5" t="str">
        <f>IF('FUENTE NO BORRAR'!D2170="","",'FUENTE NO BORRAR'!D2170)</f>
        <v/>
      </c>
      <c r="E2152" s="5" t="str">
        <f>IF('FUENTE NO BORRAR'!E2170="","",'FUENTE NO BORRAR'!E2170)</f>
        <v/>
      </c>
      <c r="F2152" s="6">
        <f>IF('FUENTE NO BORRAR'!F2170="","",IF('FUENTE NO BORRAR'!$A2170&lt;&gt;"Resultado total",('FUENTE NO BORRAR'!F2170),""))</f>
        <v>0</v>
      </c>
      <c r="G2152" s="6">
        <f>IF('FUENTE NO BORRAR'!G2170="","",IF('FUENTE NO BORRAR'!$A2170&lt;&gt;"Resultado total",('FUENTE NO BORRAR'!G2170),""))</f>
        <v>0</v>
      </c>
      <c r="H2152" s="6">
        <f>IF('FUENTE NO BORRAR'!H2170="","",IF('FUENTE NO BORRAR'!$A2170&lt;&gt;"Resultado total",('FUENTE NO BORRAR'!H2170),""))</f>
        <v>0</v>
      </c>
      <c r="I2152" s="6">
        <f>IF('FUENTE NO BORRAR'!I2170="","",IF('FUENTE NO BORRAR'!$A2170&lt;&gt;"Resultado total",('FUENTE NO BORRAR'!I2170),""))</f>
        <v>0</v>
      </c>
    </row>
    <row r="2153" spans="1:9" x14ac:dyDescent="0.2">
      <c r="A2153" s="5" t="str">
        <f>IF('FUENTE NO BORRAR'!A2171="","",(IF('FUENTE NO BORRAR'!A2171&lt;&gt;"Resultado total",'FUENTE NO BORRAR'!A2171,"")))</f>
        <v/>
      </c>
      <c r="B2153" s="5" t="str">
        <f>IF('FUENTE NO BORRAR'!B2171="","",'FUENTE NO BORRAR'!B2171)</f>
        <v/>
      </c>
      <c r="C2153" s="5" t="str">
        <f>IF('FUENTE NO BORRAR'!C2171="","",'FUENTE NO BORRAR'!C2171)</f>
        <v/>
      </c>
      <c r="D2153" s="5" t="str">
        <f>IF('FUENTE NO BORRAR'!D2171="","",'FUENTE NO BORRAR'!D2171)</f>
        <v/>
      </c>
      <c r="E2153" s="5" t="str">
        <f>IF('FUENTE NO BORRAR'!E2171="","",'FUENTE NO BORRAR'!E2171)</f>
        <v/>
      </c>
      <c r="F2153" s="6">
        <f>IF('FUENTE NO BORRAR'!F2171="","",IF('FUENTE NO BORRAR'!$A2171&lt;&gt;"Resultado total",('FUENTE NO BORRAR'!F2171),""))</f>
        <v>47311.42</v>
      </c>
      <c r="G2153" s="6">
        <f>IF('FUENTE NO BORRAR'!G2171="","",IF('FUENTE NO BORRAR'!$A2171&lt;&gt;"Resultado total",('FUENTE NO BORRAR'!G2171),""))</f>
        <v>47311.42</v>
      </c>
      <c r="H2153" s="6">
        <f>IF('FUENTE NO BORRAR'!H2171="","",IF('FUENTE NO BORRAR'!$A2171&lt;&gt;"Resultado total",('FUENTE NO BORRAR'!H2171),""))</f>
        <v>47311.42</v>
      </c>
      <c r="I2153" s="6">
        <f>IF('FUENTE NO BORRAR'!I2171="","",IF('FUENTE NO BORRAR'!$A2171&lt;&gt;"Resultado total",('FUENTE NO BORRAR'!I2171),""))</f>
        <v>0</v>
      </c>
    </row>
    <row r="2154" spans="1:9" x14ac:dyDescent="0.2">
      <c r="A2154" s="5" t="str">
        <f>IF('FUENTE NO BORRAR'!A2172="","",(IF('FUENTE NO BORRAR'!A2172&lt;&gt;"Resultado total",'FUENTE NO BORRAR'!A2172,"")))</f>
        <v/>
      </c>
      <c r="B2154" s="5" t="str">
        <f>IF('FUENTE NO BORRAR'!B2172="","",'FUENTE NO BORRAR'!B2172)</f>
        <v/>
      </c>
      <c r="C2154" s="5" t="str">
        <f>IF('FUENTE NO BORRAR'!C2172="","",'FUENTE NO BORRAR'!C2172)</f>
        <v/>
      </c>
      <c r="D2154" s="5" t="str">
        <f>IF('FUENTE NO BORRAR'!D2172="","",'FUENTE NO BORRAR'!D2172)</f>
        <v/>
      </c>
      <c r="E2154" s="5" t="str">
        <f>IF('FUENTE NO BORRAR'!E2172="","",'FUENTE NO BORRAR'!E2172)</f>
        <v/>
      </c>
      <c r="F2154" s="6">
        <f>IF('FUENTE NO BORRAR'!F2172="","",IF('FUENTE NO BORRAR'!$A2172&lt;&gt;"Resultado total",('FUENTE NO BORRAR'!F2172),""))</f>
        <v>1862.56</v>
      </c>
      <c r="G2154" s="6">
        <f>IF('FUENTE NO BORRAR'!G2172="","",IF('FUENTE NO BORRAR'!$A2172&lt;&gt;"Resultado total",('FUENTE NO BORRAR'!G2172),""))</f>
        <v>1862.56</v>
      </c>
      <c r="H2154" s="6">
        <f>IF('FUENTE NO BORRAR'!H2172="","",IF('FUENTE NO BORRAR'!$A2172&lt;&gt;"Resultado total",('FUENTE NO BORRAR'!H2172),""))</f>
        <v>1862.56</v>
      </c>
      <c r="I2154" s="6">
        <f>IF('FUENTE NO BORRAR'!I2172="","",IF('FUENTE NO BORRAR'!$A2172&lt;&gt;"Resultado total",('FUENTE NO BORRAR'!I2172),""))</f>
        <v>0</v>
      </c>
    </row>
    <row r="2155" spans="1:9" x14ac:dyDescent="0.2">
      <c r="A2155" s="5" t="str">
        <f>IF('FUENTE NO BORRAR'!A2173="","",(IF('FUENTE NO BORRAR'!A2173&lt;&gt;"Resultado total",'FUENTE NO BORRAR'!A2173,"")))</f>
        <v/>
      </c>
      <c r="B2155" s="5" t="str">
        <f>IF('FUENTE NO BORRAR'!B2173="","",'FUENTE NO BORRAR'!B2173)</f>
        <v/>
      </c>
      <c r="C2155" s="5" t="str">
        <f>IF('FUENTE NO BORRAR'!C2173="","",'FUENTE NO BORRAR'!C2173)</f>
        <v/>
      </c>
      <c r="D2155" s="5" t="str">
        <f>IF('FUENTE NO BORRAR'!D2173="","",'FUENTE NO BORRAR'!D2173)</f>
        <v/>
      </c>
      <c r="E2155" s="5" t="str">
        <f>IF('FUENTE NO BORRAR'!E2173="","",'FUENTE NO BORRAR'!E2173)</f>
        <v/>
      </c>
      <c r="F2155" s="6">
        <f>IF('FUENTE NO BORRAR'!F2173="","",IF('FUENTE NO BORRAR'!$A2173&lt;&gt;"Resultado total",('FUENTE NO BORRAR'!F2173),""))</f>
        <v>506</v>
      </c>
      <c r="G2155" s="6">
        <f>IF('FUENTE NO BORRAR'!G2173="","",IF('FUENTE NO BORRAR'!$A2173&lt;&gt;"Resultado total",('FUENTE NO BORRAR'!G2173),""))</f>
        <v>506</v>
      </c>
      <c r="H2155" s="6">
        <f>IF('FUENTE NO BORRAR'!H2173="","",IF('FUENTE NO BORRAR'!$A2173&lt;&gt;"Resultado total",('FUENTE NO BORRAR'!H2173),""))</f>
        <v>506</v>
      </c>
      <c r="I2155" s="6">
        <f>IF('FUENTE NO BORRAR'!I2173="","",IF('FUENTE NO BORRAR'!$A2173&lt;&gt;"Resultado total",('FUENTE NO BORRAR'!I2173),""))</f>
        <v>0</v>
      </c>
    </row>
    <row r="2156" spans="1:9" x14ac:dyDescent="0.2">
      <c r="A2156" s="5" t="str">
        <f>IF('FUENTE NO BORRAR'!A2174="","",(IF('FUENTE NO BORRAR'!A2174&lt;&gt;"Resultado total",'FUENTE NO BORRAR'!A2174,"")))</f>
        <v/>
      </c>
      <c r="B2156" s="5" t="str">
        <f>IF('FUENTE NO BORRAR'!B2174="","",'FUENTE NO BORRAR'!B2174)</f>
        <v/>
      </c>
      <c r="C2156" s="5" t="str">
        <f>IF('FUENTE NO BORRAR'!C2174="","",'FUENTE NO BORRAR'!C2174)</f>
        <v/>
      </c>
      <c r="D2156" s="5" t="str">
        <f>IF('FUENTE NO BORRAR'!D2174="","",'FUENTE NO BORRAR'!D2174)</f>
        <v/>
      </c>
      <c r="E2156" s="5" t="str">
        <f>IF('FUENTE NO BORRAR'!E2174="","",'FUENTE NO BORRAR'!E2174)</f>
        <v/>
      </c>
      <c r="F2156" s="6">
        <f>IF('FUENTE NO BORRAR'!F2174="","",IF('FUENTE NO BORRAR'!$A2174&lt;&gt;"Resultado total",('FUENTE NO BORRAR'!F2174),""))</f>
        <v>0</v>
      </c>
      <c r="G2156" s="6">
        <f>IF('FUENTE NO BORRAR'!G2174="","",IF('FUENTE NO BORRAR'!$A2174&lt;&gt;"Resultado total",('FUENTE NO BORRAR'!G2174),""))</f>
        <v>0</v>
      </c>
      <c r="H2156" s="6">
        <f>IF('FUENTE NO BORRAR'!H2174="","",IF('FUENTE NO BORRAR'!$A2174&lt;&gt;"Resultado total",('FUENTE NO BORRAR'!H2174),""))</f>
        <v>0</v>
      </c>
      <c r="I2156" s="6">
        <f>IF('FUENTE NO BORRAR'!I2174="","",IF('FUENTE NO BORRAR'!$A2174&lt;&gt;"Resultado total",('FUENTE NO BORRAR'!I2174),""))</f>
        <v>0</v>
      </c>
    </row>
    <row r="2157" spans="1:9" x14ac:dyDescent="0.2">
      <c r="A2157" s="5" t="str">
        <f>IF('FUENTE NO BORRAR'!A2175="","",(IF('FUENTE NO BORRAR'!A2175&lt;&gt;"Resultado total",'FUENTE NO BORRAR'!A2175,"")))</f>
        <v/>
      </c>
      <c r="B2157" s="5" t="str">
        <f>IF('FUENTE NO BORRAR'!B2175="","",'FUENTE NO BORRAR'!B2175)</f>
        <v/>
      </c>
      <c r="C2157" s="5" t="str">
        <f>IF('FUENTE NO BORRAR'!C2175="","",'FUENTE NO BORRAR'!C2175)</f>
        <v/>
      </c>
      <c r="D2157" s="5" t="str">
        <f>IF('FUENTE NO BORRAR'!D2175="","",'FUENTE NO BORRAR'!D2175)</f>
        <v/>
      </c>
      <c r="E2157" s="5" t="str">
        <f>IF('FUENTE NO BORRAR'!E2175="","",'FUENTE NO BORRAR'!E2175)</f>
        <v/>
      </c>
      <c r="F2157" s="6">
        <f>IF('FUENTE NO BORRAR'!F2175="","",IF('FUENTE NO BORRAR'!$A2175&lt;&gt;"Resultado total",('FUENTE NO BORRAR'!F2175),""))</f>
        <v>0</v>
      </c>
      <c r="G2157" s="6">
        <f>IF('FUENTE NO BORRAR'!G2175="","",IF('FUENTE NO BORRAR'!$A2175&lt;&gt;"Resultado total",('FUENTE NO BORRAR'!G2175),""))</f>
        <v>0</v>
      </c>
      <c r="H2157" s="6">
        <f>IF('FUENTE NO BORRAR'!H2175="","",IF('FUENTE NO BORRAR'!$A2175&lt;&gt;"Resultado total",('FUENTE NO BORRAR'!H2175),""))</f>
        <v>0</v>
      </c>
      <c r="I2157" s="6">
        <f>IF('FUENTE NO BORRAR'!I2175="","",IF('FUENTE NO BORRAR'!$A2175&lt;&gt;"Resultado total",('FUENTE NO BORRAR'!I2175),""))</f>
        <v>0</v>
      </c>
    </row>
    <row r="2158" spans="1:9" x14ac:dyDescent="0.2">
      <c r="A2158" s="5" t="str">
        <f>IF('FUENTE NO BORRAR'!A2176="","",(IF('FUENTE NO BORRAR'!A2176&lt;&gt;"Resultado total",'FUENTE NO BORRAR'!A2176,"")))</f>
        <v/>
      </c>
      <c r="B2158" s="5" t="str">
        <f>IF('FUENTE NO BORRAR'!B2176="","",'FUENTE NO BORRAR'!B2176)</f>
        <v/>
      </c>
      <c r="C2158" s="5" t="str">
        <f>IF('FUENTE NO BORRAR'!C2176="","",'FUENTE NO BORRAR'!C2176)</f>
        <v/>
      </c>
      <c r="D2158" s="5" t="str">
        <f>IF('FUENTE NO BORRAR'!D2176="","",'FUENTE NO BORRAR'!D2176)</f>
        <v/>
      </c>
      <c r="E2158" s="5" t="str">
        <f>IF('FUENTE NO BORRAR'!E2176="","",'FUENTE NO BORRAR'!E2176)</f>
        <v/>
      </c>
      <c r="F2158" s="6">
        <f>IF('FUENTE NO BORRAR'!F2176="","",IF('FUENTE NO BORRAR'!$A2176&lt;&gt;"Resultado total",('FUENTE NO BORRAR'!F2176),""))</f>
        <v>7033767.6500000004</v>
      </c>
      <c r="G2158" s="6">
        <f>IF('FUENTE NO BORRAR'!G2176="","",IF('FUENTE NO BORRAR'!$A2176&lt;&gt;"Resultado total",('FUENTE NO BORRAR'!G2176),""))</f>
        <v>7033767.6500000004</v>
      </c>
      <c r="H2158" s="6">
        <f>IF('FUENTE NO BORRAR'!H2176="","",IF('FUENTE NO BORRAR'!$A2176&lt;&gt;"Resultado total",('FUENTE NO BORRAR'!H2176),""))</f>
        <v>1888323.89</v>
      </c>
      <c r="I2158" s="6">
        <f>IF('FUENTE NO BORRAR'!I2176="","",IF('FUENTE NO BORRAR'!$A2176&lt;&gt;"Resultado total",('FUENTE NO BORRAR'!I2176),""))</f>
        <v>0</v>
      </c>
    </row>
    <row r="2159" spans="1:9" x14ac:dyDescent="0.2">
      <c r="A2159" s="5" t="str">
        <f>IF('FUENTE NO BORRAR'!A2177="","",(IF('FUENTE NO BORRAR'!A2177&lt;&gt;"Resultado total",'FUENTE NO BORRAR'!A2177,"")))</f>
        <v/>
      </c>
      <c r="B2159" s="5" t="str">
        <f>IF('FUENTE NO BORRAR'!B2177="","",'FUENTE NO BORRAR'!B2177)</f>
        <v/>
      </c>
      <c r="C2159" s="5" t="str">
        <f>IF('FUENTE NO BORRAR'!C2177="","",'FUENTE NO BORRAR'!C2177)</f>
        <v/>
      </c>
      <c r="D2159" s="5" t="str">
        <f>IF('FUENTE NO BORRAR'!D2177="","",'FUENTE NO BORRAR'!D2177)</f>
        <v/>
      </c>
      <c r="E2159" s="5" t="str">
        <f>IF('FUENTE NO BORRAR'!E2177="","",'FUENTE NO BORRAR'!E2177)</f>
        <v/>
      </c>
      <c r="F2159" s="6">
        <f>IF('FUENTE NO BORRAR'!F2177="","",IF('FUENTE NO BORRAR'!$A2177&lt;&gt;"Resultado total",('FUENTE NO BORRAR'!F2177),""))</f>
        <v>0</v>
      </c>
      <c r="G2159" s="6">
        <f>IF('FUENTE NO BORRAR'!G2177="","",IF('FUENTE NO BORRAR'!$A2177&lt;&gt;"Resultado total",('FUENTE NO BORRAR'!G2177),""))</f>
        <v>0</v>
      </c>
      <c r="H2159" s="6">
        <f>IF('FUENTE NO BORRAR'!H2177="","",IF('FUENTE NO BORRAR'!$A2177&lt;&gt;"Resultado total",('FUENTE NO BORRAR'!H2177),""))</f>
        <v>0</v>
      </c>
      <c r="I2159" s="6">
        <f>IF('FUENTE NO BORRAR'!I2177="","",IF('FUENTE NO BORRAR'!$A2177&lt;&gt;"Resultado total",('FUENTE NO BORRAR'!I2177),""))</f>
        <v>0</v>
      </c>
    </row>
    <row r="2160" spans="1:9" x14ac:dyDescent="0.2">
      <c r="A2160" s="5" t="str">
        <f>IF('FUENTE NO BORRAR'!A2178="","",(IF('FUENTE NO BORRAR'!A2178&lt;&gt;"Resultado total",'FUENTE NO BORRAR'!A2178,"")))</f>
        <v/>
      </c>
      <c r="B2160" s="5" t="str">
        <f>IF('FUENTE NO BORRAR'!B2178="","",'FUENTE NO BORRAR'!B2178)</f>
        <v/>
      </c>
      <c r="C2160" s="5" t="str">
        <f>IF('FUENTE NO BORRAR'!C2178="","",'FUENTE NO BORRAR'!C2178)</f>
        <v/>
      </c>
      <c r="D2160" s="5" t="str">
        <f>IF('FUENTE NO BORRAR'!D2178="","",'FUENTE NO BORRAR'!D2178)</f>
        <v/>
      </c>
      <c r="E2160" s="5" t="str">
        <f>IF('FUENTE NO BORRAR'!E2178="","",'FUENTE NO BORRAR'!E2178)</f>
        <v/>
      </c>
      <c r="F2160" s="6">
        <f>IF('FUENTE NO BORRAR'!F2178="","",IF('FUENTE NO BORRAR'!$A2178&lt;&gt;"Resultado total",('FUENTE NO BORRAR'!F2178),""))</f>
        <v>0</v>
      </c>
      <c r="G2160" s="6">
        <f>IF('FUENTE NO BORRAR'!G2178="","",IF('FUENTE NO BORRAR'!$A2178&lt;&gt;"Resultado total",('FUENTE NO BORRAR'!G2178),""))</f>
        <v>0</v>
      </c>
      <c r="H2160" s="6">
        <f>IF('FUENTE NO BORRAR'!H2178="","",IF('FUENTE NO BORRAR'!$A2178&lt;&gt;"Resultado total",('FUENTE NO BORRAR'!H2178),""))</f>
        <v>0</v>
      </c>
      <c r="I2160" s="6">
        <f>IF('FUENTE NO BORRAR'!I2178="","",IF('FUENTE NO BORRAR'!$A2178&lt;&gt;"Resultado total",('FUENTE NO BORRAR'!I2178),""))</f>
        <v>0</v>
      </c>
    </row>
    <row r="2161" spans="1:9" x14ac:dyDescent="0.2">
      <c r="A2161" s="5" t="str">
        <f>IF('FUENTE NO BORRAR'!A2179="","",(IF('FUENTE NO BORRAR'!A2179&lt;&gt;"Resultado total",'FUENTE NO BORRAR'!A2179,"")))</f>
        <v/>
      </c>
      <c r="B2161" s="5" t="str">
        <f>IF('FUENTE NO BORRAR'!B2179="","",'FUENTE NO BORRAR'!B2179)</f>
        <v/>
      </c>
      <c r="C2161" s="5" t="str">
        <f>IF('FUENTE NO BORRAR'!C2179="","",'FUENTE NO BORRAR'!C2179)</f>
        <v/>
      </c>
      <c r="D2161" s="5" t="str">
        <f>IF('FUENTE NO BORRAR'!D2179="","",'FUENTE NO BORRAR'!D2179)</f>
        <v/>
      </c>
      <c r="E2161" s="5" t="str">
        <f>IF('FUENTE NO BORRAR'!E2179="","",'FUENTE NO BORRAR'!E2179)</f>
        <v/>
      </c>
      <c r="F2161" s="6">
        <f>IF('FUENTE NO BORRAR'!F2179="","",IF('FUENTE NO BORRAR'!$A2179&lt;&gt;"Resultado total",('FUENTE NO BORRAR'!F2179),""))</f>
        <v>240374.83</v>
      </c>
      <c r="G2161" s="6">
        <f>IF('FUENTE NO BORRAR'!G2179="","",IF('FUENTE NO BORRAR'!$A2179&lt;&gt;"Resultado total",('FUENTE NO BORRAR'!G2179),""))</f>
        <v>240374.83</v>
      </c>
      <c r="H2161" s="6">
        <f>IF('FUENTE NO BORRAR'!H2179="","",IF('FUENTE NO BORRAR'!$A2179&lt;&gt;"Resultado total",('FUENTE NO BORRAR'!H2179),""))</f>
        <v>217654.26</v>
      </c>
      <c r="I2161" s="6">
        <f>IF('FUENTE NO BORRAR'!I2179="","",IF('FUENTE NO BORRAR'!$A2179&lt;&gt;"Resultado total",('FUENTE NO BORRAR'!I2179),""))</f>
        <v>0</v>
      </c>
    </row>
    <row r="2162" spans="1:9" x14ac:dyDescent="0.2">
      <c r="A2162" s="5" t="str">
        <f>IF('FUENTE NO BORRAR'!A2180="","",(IF('FUENTE NO BORRAR'!A2180&lt;&gt;"Resultado total",'FUENTE NO BORRAR'!A2180,"")))</f>
        <v/>
      </c>
      <c r="B2162" s="5" t="str">
        <f>IF('FUENTE NO BORRAR'!B2180="","",'FUENTE NO BORRAR'!B2180)</f>
        <v/>
      </c>
      <c r="C2162" s="5" t="str">
        <f>IF('FUENTE NO BORRAR'!C2180="","",'FUENTE NO BORRAR'!C2180)</f>
        <v/>
      </c>
      <c r="D2162" s="5" t="str">
        <f>IF('FUENTE NO BORRAR'!D2180="","",'FUENTE NO BORRAR'!D2180)</f>
        <v/>
      </c>
      <c r="E2162" s="5" t="str">
        <f>IF('FUENTE NO BORRAR'!E2180="","",'FUENTE NO BORRAR'!E2180)</f>
        <v/>
      </c>
      <c r="F2162" s="6">
        <f>IF('FUENTE NO BORRAR'!F2180="","",IF('FUENTE NO BORRAR'!$A2180&lt;&gt;"Resultado total",('FUENTE NO BORRAR'!F2180),""))</f>
        <v>0</v>
      </c>
      <c r="G2162" s="6">
        <f>IF('FUENTE NO BORRAR'!G2180="","",IF('FUENTE NO BORRAR'!$A2180&lt;&gt;"Resultado total",('FUENTE NO BORRAR'!G2180),""))</f>
        <v>0</v>
      </c>
      <c r="H2162" s="6">
        <f>IF('FUENTE NO BORRAR'!H2180="","",IF('FUENTE NO BORRAR'!$A2180&lt;&gt;"Resultado total",('FUENTE NO BORRAR'!H2180),""))</f>
        <v>0</v>
      </c>
      <c r="I2162" s="6">
        <f>IF('FUENTE NO BORRAR'!I2180="","",IF('FUENTE NO BORRAR'!$A2180&lt;&gt;"Resultado total",('FUENTE NO BORRAR'!I2180),""))</f>
        <v>0</v>
      </c>
    </row>
    <row r="2163" spans="1:9" x14ac:dyDescent="0.2">
      <c r="A2163" s="5" t="str">
        <f>IF('FUENTE NO BORRAR'!A2181="","",(IF('FUENTE NO BORRAR'!A2181&lt;&gt;"Resultado total",'FUENTE NO BORRAR'!A2181,"")))</f>
        <v/>
      </c>
      <c r="B2163" s="5" t="str">
        <f>IF('FUENTE NO BORRAR'!B2181="","",'FUENTE NO BORRAR'!B2181)</f>
        <v/>
      </c>
      <c r="C2163" s="5" t="str">
        <f>IF('FUENTE NO BORRAR'!C2181="","",'FUENTE NO BORRAR'!C2181)</f>
        <v/>
      </c>
      <c r="D2163" s="5" t="str">
        <f>IF('FUENTE NO BORRAR'!D2181="","",'FUENTE NO BORRAR'!D2181)</f>
        <v/>
      </c>
      <c r="E2163" s="5" t="str">
        <f>IF('FUENTE NO BORRAR'!E2181="","",'FUENTE NO BORRAR'!E2181)</f>
        <v/>
      </c>
      <c r="F2163" s="6">
        <f>IF('FUENTE NO BORRAR'!F2181="","",IF('FUENTE NO BORRAR'!$A2181&lt;&gt;"Resultado total",('FUENTE NO BORRAR'!F2181),""))</f>
        <v>328187.40999999997</v>
      </c>
      <c r="G2163" s="6">
        <f>IF('FUENTE NO BORRAR'!G2181="","",IF('FUENTE NO BORRAR'!$A2181&lt;&gt;"Resultado total",('FUENTE NO BORRAR'!G2181),""))</f>
        <v>328187.40999999997</v>
      </c>
      <c r="H2163" s="6">
        <f>IF('FUENTE NO BORRAR'!H2181="","",IF('FUENTE NO BORRAR'!$A2181&lt;&gt;"Resultado total",('FUENTE NO BORRAR'!H2181),""))</f>
        <v>328187.40999999997</v>
      </c>
      <c r="I2163" s="6">
        <f>IF('FUENTE NO BORRAR'!I2181="","",IF('FUENTE NO BORRAR'!$A2181&lt;&gt;"Resultado total",('FUENTE NO BORRAR'!I2181),""))</f>
        <v>0</v>
      </c>
    </row>
    <row r="2164" spans="1:9" x14ac:dyDescent="0.2">
      <c r="A2164" s="5" t="str">
        <f>IF('FUENTE NO BORRAR'!A2182="","",(IF('FUENTE NO BORRAR'!A2182&lt;&gt;"Resultado total",'FUENTE NO BORRAR'!A2182,"")))</f>
        <v/>
      </c>
      <c r="B2164" s="5" t="str">
        <f>IF('FUENTE NO BORRAR'!B2182="","",'FUENTE NO BORRAR'!B2182)</f>
        <v/>
      </c>
      <c r="C2164" s="5" t="str">
        <f>IF('FUENTE NO BORRAR'!C2182="","",'FUENTE NO BORRAR'!C2182)</f>
        <v/>
      </c>
      <c r="D2164" s="5" t="str">
        <f>IF('FUENTE NO BORRAR'!D2182="","",'FUENTE NO BORRAR'!D2182)</f>
        <v/>
      </c>
      <c r="E2164" s="5" t="str">
        <f>IF('FUENTE NO BORRAR'!E2182="","",'FUENTE NO BORRAR'!E2182)</f>
        <v/>
      </c>
      <c r="F2164" s="6">
        <f>IF('FUENTE NO BORRAR'!F2182="","",IF('FUENTE NO BORRAR'!$A2182&lt;&gt;"Resultado total",('FUENTE NO BORRAR'!F2182),""))</f>
        <v>3588496.99</v>
      </c>
      <c r="G2164" s="6">
        <f>IF('FUENTE NO BORRAR'!G2182="","",IF('FUENTE NO BORRAR'!$A2182&lt;&gt;"Resultado total",('FUENTE NO BORRAR'!G2182),""))</f>
        <v>3588496.99</v>
      </c>
      <c r="H2164" s="6">
        <f>IF('FUENTE NO BORRAR'!H2182="","",IF('FUENTE NO BORRAR'!$A2182&lt;&gt;"Resultado total",('FUENTE NO BORRAR'!H2182),""))</f>
        <v>3588496.99</v>
      </c>
      <c r="I2164" s="6">
        <f>IF('FUENTE NO BORRAR'!I2182="","",IF('FUENTE NO BORRAR'!$A2182&lt;&gt;"Resultado total",('FUENTE NO BORRAR'!I2182),""))</f>
        <v>0</v>
      </c>
    </row>
    <row r="2165" spans="1:9" x14ac:dyDescent="0.2">
      <c r="A2165" s="5" t="str">
        <f>IF('FUENTE NO BORRAR'!A2183="","",(IF('FUENTE NO BORRAR'!A2183&lt;&gt;"Resultado total",'FUENTE NO BORRAR'!A2183,"")))</f>
        <v/>
      </c>
      <c r="B2165" s="5" t="str">
        <f>IF('FUENTE NO BORRAR'!B2183="","",'FUENTE NO BORRAR'!B2183)</f>
        <v/>
      </c>
      <c r="C2165" s="5" t="str">
        <f>IF('FUENTE NO BORRAR'!C2183="","",'FUENTE NO BORRAR'!C2183)</f>
        <v/>
      </c>
      <c r="D2165" s="5" t="str">
        <f>IF('FUENTE NO BORRAR'!D2183="","",'FUENTE NO BORRAR'!D2183)</f>
        <v/>
      </c>
      <c r="E2165" s="5" t="str">
        <f>IF('FUENTE NO BORRAR'!E2183="","",'FUENTE NO BORRAR'!E2183)</f>
        <v/>
      </c>
      <c r="F2165" s="6">
        <f>IF('FUENTE NO BORRAR'!F2183="","",IF('FUENTE NO BORRAR'!$A2183&lt;&gt;"Resultado total",('FUENTE NO BORRAR'!F2183),""))</f>
        <v>1350</v>
      </c>
      <c r="G2165" s="6">
        <f>IF('FUENTE NO BORRAR'!G2183="","",IF('FUENTE NO BORRAR'!$A2183&lt;&gt;"Resultado total",('FUENTE NO BORRAR'!G2183),""))</f>
        <v>1350</v>
      </c>
      <c r="H2165" s="6">
        <f>IF('FUENTE NO BORRAR'!H2183="","",IF('FUENTE NO BORRAR'!$A2183&lt;&gt;"Resultado total",('FUENTE NO BORRAR'!H2183),""))</f>
        <v>1350</v>
      </c>
      <c r="I2165" s="6">
        <f>IF('FUENTE NO BORRAR'!I2183="","",IF('FUENTE NO BORRAR'!$A2183&lt;&gt;"Resultado total",('FUENTE NO BORRAR'!I2183),""))</f>
        <v>0</v>
      </c>
    </row>
    <row r="2166" spans="1:9" x14ac:dyDescent="0.2">
      <c r="A2166" s="5" t="str">
        <f>IF('FUENTE NO BORRAR'!A2184="","",(IF('FUENTE NO BORRAR'!A2184&lt;&gt;"Resultado total",'FUENTE NO BORRAR'!A2184,"")))</f>
        <v/>
      </c>
      <c r="B2166" s="5" t="str">
        <f>IF('FUENTE NO BORRAR'!B2184="","",'FUENTE NO BORRAR'!B2184)</f>
        <v/>
      </c>
      <c r="C2166" s="5" t="str">
        <f>IF('FUENTE NO BORRAR'!C2184="","",'FUENTE NO BORRAR'!C2184)</f>
        <v/>
      </c>
      <c r="D2166" s="5" t="str">
        <f>IF('FUENTE NO BORRAR'!D2184="","",'FUENTE NO BORRAR'!D2184)</f>
        <v/>
      </c>
      <c r="E2166" s="5" t="str">
        <f>IF('FUENTE NO BORRAR'!E2184="","",'FUENTE NO BORRAR'!E2184)</f>
        <v/>
      </c>
      <c r="F2166" s="6">
        <f>IF('FUENTE NO BORRAR'!F2184="","",IF('FUENTE NO BORRAR'!$A2184&lt;&gt;"Resultado total",('FUENTE NO BORRAR'!F2184),""))</f>
        <v>0</v>
      </c>
      <c r="G2166" s="6">
        <f>IF('FUENTE NO BORRAR'!G2184="","",IF('FUENTE NO BORRAR'!$A2184&lt;&gt;"Resultado total",('FUENTE NO BORRAR'!G2184),""))</f>
        <v>0</v>
      </c>
      <c r="H2166" s="6">
        <f>IF('FUENTE NO BORRAR'!H2184="","",IF('FUENTE NO BORRAR'!$A2184&lt;&gt;"Resultado total",('FUENTE NO BORRAR'!H2184),""))</f>
        <v>0</v>
      </c>
      <c r="I2166" s="6">
        <f>IF('FUENTE NO BORRAR'!I2184="","",IF('FUENTE NO BORRAR'!$A2184&lt;&gt;"Resultado total",('FUENTE NO BORRAR'!I2184),""))</f>
        <v>0</v>
      </c>
    </row>
    <row r="2167" spans="1:9" x14ac:dyDescent="0.2">
      <c r="A2167" s="5" t="str">
        <f>IF('FUENTE NO BORRAR'!A2185="","",(IF('FUENTE NO BORRAR'!A2185&lt;&gt;"Resultado total",'FUENTE NO BORRAR'!A2185,"")))</f>
        <v/>
      </c>
      <c r="B2167" s="5" t="str">
        <f>IF('FUENTE NO BORRAR'!B2185="","",'FUENTE NO BORRAR'!B2185)</f>
        <v/>
      </c>
      <c r="C2167" s="5" t="str">
        <f>IF('FUENTE NO BORRAR'!C2185="","",'FUENTE NO BORRAR'!C2185)</f>
        <v/>
      </c>
      <c r="D2167" s="5" t="str">
        <f>IF('FUENTE NO BORRAR'!D2185="","",'FUENTE NO BORRAR'!D2185)</f>
        <v/>
      </c>
      <c r="E2167" s="5" t="str">
        <f>IF('FUENTE NO BORRAR'!E2185="","",'FUENTE NO BORRAR'!E2185)</f>
        <v/>
      </c>
      <c r="F2167" s="6">
        <f>IF('FUENTE NO BORRAR'!F2185="","",IF('FUENTE NO BORRAR'!$A2185&lt;&gt;"Resultado total",('FUENTE NO BORRAR'!F2185),""))</f>
        <v>0</v>
      </c>
      <c r="G2167" s="6">
        <f>IF('FUENTE NO BORRAR'!G2185="","",IF('FUENTE NO BORRAR'!$A2185&lt;&gt;"Resultado total",('FUENTE NO BORRAR'!G2185),""))</f>
        <v>0</v>
      </c>
      <c r="H2167" s="6">
        <f>IF('FUENTE NO BORRAR'!H2185="","",IF('FUENTE NO BORRAR'!$A2185&lt;&gt;"Resultado total",('FUENTE NO BORRAR'!H2185),""))</f>
        <v>0</v>
      </c>
      <c r="I2167" s="6">
        <f>IF('FUENTE NO BORRAR'!I2185="","",IF('FUENTE NO BORRAR'!$A2185&lt;&gt;"Resultado total",('FUENTE NO BORRAR'!I2185),""))</f>
        <v>0</v>
      </c>
    </row>
    <row r="2168" spans="1:9" x14ac:dyDescent="0.2">
      <c r="A2168" s="5" t="str">
        <f>IF('FUENTE NO BORRAR'!A2186="","",(IF('FUENTE NO BORRAR'!A2186&lt;&gt;"Resultado total",'FUENTE NO BORRAR'!A2186,"")))</f>
        <v/>
      </c>
      <c r="B2168" s="5" t="str">
        <f>IF('FUENTE NO BORRAR'!B2186="","",'FUENTE NO BORRAR'!B2186)</f>
        <v/>
      </c>
      <c r="C2168" s="5" t="str">
        <f>IF('FUENTE NO BORRAR'!C2186="","",'FUENTE NO BORRAR'!C2186)</f>
        <v/>
      </c>
      <c r="D2168" s="5" t="str">
        <f>IF('FUENTE NO BORRAR'!D2186="","",'FUENTE NO BORRAR'!D2186)</f>
        <v/>
      </c>
      <c r="E2168" s="5" t="str">
        <f>IF('FUENTE NO BORRAR'!E2186="","",'FUENTE NO BORRAR'!E2186)</f>
        <v/>
      </c>
      <c r="F2168" s="6">
        <f>IF('FUENTE NO BORRAR'!F2186="","",IF('FUENTE NO BORRAR'!$A2186&lt;&gt;"Resultado total",('FUENTE NO BORRAR'!F2186),""))</f>
        <v>6414.8</v>
      </c>
      <c r="G2168" s="6">
        <f>IF('FUENTE NO BORRAR'!G2186="","",IF('FUENTE NO BORRAR'!$A2186&lt;&gt;"Resultado total",('FUENTE NO BORRAR'!G2186),""))</f>
        <v>6414.8</v>
      </c>
      <c r="H2168" s="6">
        <f>IF('FUENTE NO BORRAR'!H2186="","",IF('FUENTE NO BORRAR'!$A2186&lt;&gt;"Resultado total",('FUENTE NO BORRAR'!H2186),""))</f>
        <v>6414.8</v>
      </c>
      <c r="I2168" s="6">
        <f>IF('FUENTE NO BORRAR'!I2186="","",IF('FUENTE NO BORRAR'!$A2186&lt;&gt;"Resultado total",('FUENTE NO BORRAR'!I2186),""))</f>
        <v>0</v>
      </c>
    </row>
    <row r="2169" spans="1:9" x14ac:dyDescent="0.2">
      <c r="A2169" s="5" t="str">
        <f>IF('FUENTE NO BORRAR'!A2187="","",(IF('FUENTE NO BORRAR'!A2187&lt;&gt;"Resultado total",'FUENTE NO BORRAR'!A2187,"")))</f>
        <v/>
      </c>
      <c r="B2169" s="5" t="str">
        <f>IF('FUENTE NO BORRAR'!B2187="","",'FUENTE NO BORRAR'!B2187)</f>
        <v/>
      </c>
      <c r="C2169" s="5" t="str">
        <f>IF('FUENTE NO BORRAR'!C2187="","",'FUENTE NO BORRAR'!C2187)</f>
        <v/>
      </c>
      <c r="D2169" s="5" t="str">
        <f>IF('FUENTE NO BORRAR'!D2187="","",'FUENTE NO BORRAR'!D2187)</f>
        <v/>
      </c>
      <c r="E2169" s="5" t="str">
        <f>IF('FUENTE NO BORRAR'!E2187="","",'FUENTE NO BORRAR'!E2187)</f>
        <v/>
      </c>
      <c r="F2169" s="6">
        <f>IF('FUENTE NO BORRAR'!F2187="","",IF('FUENTE NO BORRAR'!$A2187&lt;&gt;"Resultado total",('FUENTE NO BORRAR'!F2187),""))</f>
        <v>1890.01</v>
      </c>
      <c r="G2169" s="6">
        <f>IF('FUENTE NO BORRAR'!G2187="","",IF('FUENTE NO BORRAR'!$A2187&lt;&gt;"Resultado total",('FUENTE NO BORRAR'!G2187),""))</f>
        <v>1890.01</v>
      </c>
      <c r="H2169" s="6">
        <f>IF('FUENTE NO BORRAR'!H2187="","",IF('FUENTE NO BORRAR'!$A2187&lt;&gt;"Resultado total",('FUENTE NO BORRAR'!H2187),""))</f>
        <v>1890.01</v>
      </c>
      <c r="I2169" s="6">
        <f>IF('FUENTE NO BORRAR'!I2187="","",IF('FUENTE NO BORRAR'!$A2187&lt;&gt;"Resultado total",('FUENTE NO BORRAR'!I2187),""))</f>
        <v>0</v>
      </c>
    </row>
    <row r="2170" spans="1:9" x14ac:dyDescent="0.2">
      <c r="A2170" s="5" t="str">
        <f>IF('FUENTE NO BORRAR'!A2188="","",(IF('FUENTE NO BORRAR'!A2188&lt;&gt;"Resultado total",'FUENTE NO BORRAR'!A2188,"")))</f>
        <v/>
      </c>
      <c r="B2170" s="5" t="str">
        <f>IF('FUENTE NO BORRAR'!B2188="","",'FUENTE NO BORRAR'!B2188)</f>
        <v/>
      </c>
      <c r="C2170" s="5" t="str">
        <f>IF('FUENTE NO BORRAR'!C2188="","",'FUENTE NO BORRAR'!C2188)</f>
        <v/>
      </c>
      <c r="D2170" s="5" t="str">
        <f>IF('FUENTE NO BORRAR'!D2188="","",'FUENTE NO BORRAR'!D2188)</f>
        <v/>
      </c>
      <c r="E2170" s="5" t="str">
        <f>IF('FUENTE NO BORRAR'!E2188="","",'FUENTE NO BORRAR'!E2188)</f>
        <v/>
      </c>
      <c r="F2170" s="6">
        <f>IF('FUENTE NO BORRAR'!F2188="","",IF('FUENTE NO BORRAR'!$A2188&lt;&gt;"Resultado total",('FUENTE NO BORRAR'!F2188),""))</f>
        <v>4805.88</v>
      </c>
      <c r="G2170" s="6">
        <f>IF('FUENTE NO BORRAR'!G2188="","",IF('FUENTE NO BORRAR'!$A2188&lt;&gt;"Resultado total",('FUENTE NO BORRAR'!G2188),""))</f>
        <v>4805.88</v>
      </c>
      <c r="H2170" s="6">
        <f>IF('FUENTE NO BORRAR'!H2188="","",IF('FUENTE NO BORRAR'!$A2188&lt;&gt;"Resultado total",('FUENTE NO BORRAR'!H2188),""))</f>
        <v>4805.88</v>
      </c>
      <c r="I2170" s="6">
        <f>IF('FUENTE NO BORRAR'!I2188="","",IF('FUENTE NO BORRAR'!$A2188&lt;&gt;"Resultado total",('FUENTE NO BORRAR'!I2188),""))</f>
        <v>0</v>
      </c>
    </row>
    <row r="2171" spans="1:9" x14ac:dyDescent="0.2">
      <c r="A2171" s="5" t="str">
        <f>IF('FUENTE NO BORRAR'!A2189="","",(IF('FUENTE NO BORRAR'!A2189&lt;&gt;"Resultado total",'FUENTE NO BORRAR'!A2189,"")))</f>
        <v/>
      </c>
      <c r="B2171" s="5" t="str">
        <f>IF('FUENTE NO BORRAR'!B2189="","",'FUENTE NO BORRAR'!B2189)</f>
        <v/>
      </c>
      <c r="C2171" s="5" t="str">
        <f>IF('FUENTE NO BORRAR'!C2189="","",'FUENTE NO BORRAR'!C2189)</f>
        <v/>
      </c>
      <c r="D2171" s="5" t="str">
        <f>IF('FUENTE NO BORRAR'!D2189="","",'FUENTE NO BORRAR'!D2189)</f>
        <v/>
      </c>
      <c r="E2171" s="5" t="str">
        <f>IF('FUENTE NO BORRAR'!E2189="","",'FUENTE NO BORRAR'!E2189)</f>
        <v/>
      </c>
      <c r="F2171" s="6">
        <f>IF('FUENTE NO BORRAR'!F2189="","",IF('FUENTE NO BORRAR'!$A2189&lt;&gt;"Resultado total",('FUENTE NO BORRAR'!F2189),""))</f>
        <v>0</v>
      </c>
      <c r="G2171" s="6">
        <f>IF('FUENTE NO BORRAR'!G2189="","",IF('FUENTE NO BORRAR'!$A2189&lt;&gt;"Resultado total",('FUENTE NO BORRAR'!G2189),""))</f>
        <v>0</v>
      </c>
      <c r="H2171" s="6">
        <f>IF('FUENTE NO BORRAR'!H2189="","",IF('FUENTE NO BORRAR'!$A2189&lt;&gt;"Resultado total",('FUENTE NO BORRAR'!H2189),""))</f>
        <v>0</v>
      </c>
      <c r="I2171" s="6">
        <f>IF('FUENTE NO BORRAR'!I2189="","",IF('FUENTE NO BORRAR'!$A2189&lt;&gt;"Resultado total",('FUENTE NO BORRAR'!I2189),""))</f>
        <v>0</v>
      </c>
    </row>
    <row r="2172" spans="1:9" x14ac:dyDescent="0.2">
      <c r="A2172" s="5" t="str">
        <f>IF('FUENTE NO BORRAR'!A2190="","",(IF('FUENTE NO BORRAR'!A2190&lt;&gt;"Resultado total",'FUENTE NO BORRAR'!A2190,"")))</f>
        <v/>
      </c>
      <c r="B2172" s="5" t="str">
        <f>IF('FUENTE NO BORRAR'!B2190="","",'FUENTE NO BORRAR'!B2190)</f>
        <v/>
      </c>
      <c r="C2172" s="5" t="str">
        <f>IF('FUENTE NO BORRAR'!C2190="","",'FUENTE NO BORRAR'!C2190)</f>
        <v/>
      </c>
      <c r="D2172" s="5" t="str">
        <f>IF('FUENTE NO BORRAR'!D2190="","",'FUENTE NO BORRAR'!D2190)</f>
        <v/>
      </c>
      <c r="E2172" s="5" t="str">
        <f>IF('FUENTE NO BORRAR'!E2190="","",'FUENTE NO BORRAR'!E2190)</f>
        <v/>
      </c>
      <c r="F2172" s="6">
        <f>IF('FUENTE NO BORRAR'!F2190="","",IF('FUENTE NO BORRAR'!$A2190&lt;&gt;"Resultado total",('FUENTE NO BORRAR'!F2190),""))</f>
        <v>1500</v>
      </c>
      <c r="G2172" s="6">
        <f>IF('FUENTE NO BORRAR'!G2190="","",IF('FUENTE NO BORRAR'!$A2190&lt;&gt;"Resultado total",('FUENTE NO BORRAR'!G2190),""))</f>
        <v>1500</v>
      </c>
      <c r="H2172" s="6">
        <f>IF('FUENTE NO BORRAR'!H2190="","",IF('FUENTE NO BORRAR'!$A2190&lt;&gt;"Resultado total",('FUENTE NO BORRAR'!H2190),""))</f>
        <v>1500</v>
      </c>
      <c r="I2172" s="6">
        <f>IF('FUENTE NO BORRAR'!I2190="","",IF('FUENTE NO BORRAR'!$A2190&lt;&gt;"Resultado total",('FUENTE NO BORRAR'!I2190),""))</f>
        <v>0</v>
      </c>
    </row>
    <row r="2173" spans="1:9" x14ac:dyDescent="0.2">
      <c r="A2173" s="5" t="str">
        <f>IF('FUENTE NO BORRAR'!A2191="","",(IF('FUENTE NO BORRAR'!A2191&lt;&gt;"Resultado total",'FUENTE NO BORRAR'!A2191,"")))</f>
        <v/>
      </c>
      <c r="B2173" s="5" t="str">
        <f>IF('FUENTE NO BORRAR'!B2191="","",'FUENTE NO BORRAR'!B2191)</f>
        <v/>
      </c>
      <c r="C2173" s="5" t="str">
        <f>IF('FUENTE NO BORRAR'!C2191="","",'FUENTE NO BORRAR'!C2191)</f>
        <v/>
      </c>
      <c r="D2173" s="5" t="str">
        <f>IF('FUENTE NO BORRAR'!D2191="","",'FUENTE NO BORRAR'!D2191)</f>
        <v/>
      </c>
      <c r="E2173" s="5" t="str">
        <f>IF('FUENTE NO BORRAR'!E2191="","",'FUENTE NO BORRAR'!E2191)</f>
        <v/>
      </c>
      <c r="F2173" s="6">
        <f>IF('FUENTE NO BORRAR'!F2191="","",IF('FUENTE NO BORRAR'!$A2191&lt;&gt;"Resultado total",('FUENTE NO BORRAR'!F2191),""))</f>
        <v>90</v>
      </c>
      <c r="G2173" s="6">
        <f>IF('FUENTE NO BORRAR'!G2191="","",IF('FUENTE NO BORRAR'!$A2191&lt;&gt;"Resultado total",('FUENTE NO BORRAR'!G2191),""))</f>
        <v>90</v>
      </c>
      <c r="H2173" s="6">
        <f>IF('FUENTE NO BORRAR'!H2191="","",IF('FUENTE NO BORRAR'!$A2191&lt;&gt;"Resultado total",('FUENTE NO BORRAR'!H2191),""))</f>
        <v>90</v>
      </c>
      <c r="I2173" s="6">
        <f>IF('FUENTE NO BORRAR'!I2191="","",IF('FUENTE NO BORRAR'!$A2191&lt;&gt;"Resultado total",('FUENTE NO BORRAR'!I2191),""))</f>
        <v>0</v>
      </c>
    </row>
    <row r="2174" spans="1:9" x14ac:dyDescent="0.2">
      <c r="A2174" s="5" t="str">
        <f>IF('FUENTE NO BORRAR'!A2192="","",(IF('FUENTE NO BORRAR'!A2192&lt;&gt;"Resultado total",'FUENTE NO BORRAR'!A2192,"")))</f>
        <v/>
      </c>
      <c r="B2174" s="5" t="str">
        <f>IF('FUENTE NO BORRAR'!B2192="","",'FUENTE NO BORRAR'!B2192)</f>
        <v/>
      </c>
      <c r="C2174" s="5" t="str">
        <f>IF('FUENTE NO BORRAR'!C2192="","",'FUENTE NO BORRAR'!C2192)</f>
        <v/>
      </c>
      <c r="D2174" s="5" t="str">
        <f>IF('FUENTE NO BORRAR'!D2192="","",'FUENTE NO BORRAR'!D2192)</f>
        <v/>
      </c>
      <c r="E2174" s="5" t="str">
        <f>IF('FUENTE NO BORRAR'!E2192="","",'FUENTE NO BORRAR'!E2192)</f>
        <v/>
      </c>
      <c r="F2174" s="6">
        <f>IF('FUENTE NO BORRAR'!F2192="","",IF('FUENTE NO BORRAR'!$A2192&lt;&gt;"Resultado total",('FUENTE NO BORRAR'!F2192),""))</f>
        <v>220.4</v>
      </c>
      <c r="G2174" s="6">
        <f>IF('FUENTE NO BORRAR'!G2192="","",IF('FUENTE NO BORRAR'!$A2192&lt;&gt;"Resultado total",('FUENTE NO BORRAR'!G2192),""))</f>
        <v>220.4</v>
      </c>
      <c r="H2174" s="6">
        <f>IF('FUENTE NO BORRAR'!H2192="","",IF('FUENTE NO BORRAR'!$A2192&lt;&gt;"Resultado total",('FUENTE NO BORRAR'!H2192),""))</f>
        <v>220.4</v>
      </c>
      <c r="I2174" s="6">
        <f>IF('FUENTE NO BORRAR'!I2192="","",IF('FUENTE NO BORRAR'!$A2192&lt;&gt;"Resultado total",('FUENTE NO BORRAR'!I2192),""))</f>
        <v>0</v>
      </c>
    </row>
    <row r="2175" spans="1:9" x14ac:dyDescent="0.2">
      <c r="A2175" s="5" t="str">
        <f>IF('FUENTE NO BORRAR'!A2193="","",(IF('FUENTE NO BORRAR'!A2193&lt;&gt;"Resultado total",'FUENTE NO BORRAR'!A2193,"")))</f>
        <v/>
      </c>
      <c r="B2175" s="5" t="str">
        <f>IF('FUENTE NO BORRAR'!B2193="","",'FUENTE NO BORRAR'!B2193)</f>
        <v/>
      </c>
      <c r="C2175" s="5" t="str">
        <f>IF('FUENTE NO BORRAR'!C2193="","",'FUENTE NO BORRAR'!C2193)</f>
        <v/>
      </c>
      <c r="D2175" s="5" t="str">
        <f>IF('FUENTE NO BORRAR'!D2193="","",'FUENTE NO BORRAR'!D2193)</f>
        <v/>
      </c>
      <c r="E2175" s="5" t="str">
        <f>IF('FUENTE NO BORRAR'!E2193="","",'FUENTE NO BORRAR'!E2193)</f>
        <v/>
      </c>
      <c r="F2175" s="6">
        <f>IF('FUENTE NO BORRAR'!F2193="","",IF('FUENTE NO BORRAR'!$A2193&lt;&gt;"Resultado total",('FUENTE NO BORRAR'!F2193),""))</f>
        <v>11020</v>
      </c>
      <c r="G2175" s="6">
        <f>IF('FUENTE NO BORRAR'!G2193="","",IF('FUENTE NO BORRAR'!$A2193&lt;&gt;"Resultado total",('FUENTE NO BORRAR'!G2193),""))</f>
        <v>11020</v>
      </c>
      <c r="H2175" s="6">
        <f>IF('FUENTE NO BORRAR'!H2193="","",IF('FUENTE NO BORRAR'!$A2193&lt;&gt;"Resultado total",('FUENTE NO BORRAR'!H2193),""))</f>
        <v>11020</v>
      </c>
      <c r="I2175" s="6">
        <f>IF('FUENTE NO BORRAR'!I2193="","",IF('FUENTE NO BORRAR'!$A2193&lt;&gt;"Resultado total",('FUENTE NO BORRAR'!I2193),""))</f>
        <v>0</v>
      </c>
    </row>
    <row r="2176" spans="1:9" x14ac:dyDescent="0.2">
      <c r="A2176" s="5" t="str">
        <f>IF('FUENTE NO BORRAR'!A2194="","",(IF('FUENTE NO BORRAR'!A2194&lt;&gt;"Resultado total",'FUENTE NO BORRAR'!A2194,"")))</f>
        <v/>
      </c>
      <c r="B2176" s="5" t="str">
        <f>IF('FUENTE NO BORRAR'!B2194="","",'FUENTE NO BORRAR'!B2194)</f>
        <v/>
      </c>
      <c r="C2176" s="5" t="str">
        <f>IF('FUENTE NO BORRAR'!C2194="","",'FUENTE NO BORRAR'!C2194)</f>
        <v>15015041M101</v>
      </c>
      <c r="D2176" s="5" t="str">
        <f>IF('FUENTE NO BORRAR'!D2194="","",'FUENTE NO BORRAR'!D2194)</f>
        <v>15015041M101</v>
      </c>
      <c r="E2176" s="5" t="str">
        <f>IF('FUENTE NO BORRAR'!E2194="","",'FUENTE NO BORRAR'!E2194)</f>
        <v/>
      </c>
      <c r="F2176" s="6">
        <f>IF('FUENTE NO BORRAR'!F2194="","",IF('FUENTE NO BORRAR'!$A2194&lt;&gt;"Resultado total",('FUENTE NO BORRAR'!F2194),""))</f>
        <v>3015322.23</v>
      </c>
      <c r="G2176" s="6">
        <f>IF('FUENTE NO BORRAR'!G2194="","",IF('FUENTE NO BORRAR'!$A2194&lt;&gt;"Resultado total",('FUENTE NO BORRAR'!G2194),""))</f>
        <v>3015322.23</v>
      </c>
      <c r="H2176" s="6">
        <f>IF('FUENTE NO BORRAR'!H2194="","",IF('FUENTE NO BORRAR'!$A2194&lt;&gt;"Resultado total",('FUENTE NO BORRAR'!H2194),""))</f>
        <v>3015322.23</v>
      </c>
      <c r="I2176" s="6">
        <f>IF('FUENTE NO BORRAR'!I2194="","",IF('FUENTE NO BORRAR'!$A2194&lt;&gt;"Resultado total",('FUENTE NO BORRAR'!I2194),""))</f>
        <v>0</v>
      </c>
    </row>
    <row r="2177" spans="1:9" x14ac:dyDescent="0.2">
      <c r="A2177" s="5" t="str">
        <f>IF('FUENTE NO BORRAR'!A2195="","",(IF('FUENTE NO BORRAR'!A2195&lt;&gt;"Resultado total",'FUENTE NO BORRAR'!A2195,"")))</f>
        <v/>
      </c>
      <c r="B2177" s="5" t="str">
        <f>IF('FUENTE NO BORRAR'!B2195="","",'FUENTE NO BORRAR'!B2195)</f>
        <v/>
      </c>
      <c r="C2177" s="5" t="str">
        <f>IF('FUENTE NO BORRAR'!C2195="","",'FUENTE NO BORRAR'!C2195)</f>
        <v/>
      </c>
      <c r="D2177" s="5" t="str">
        <f>IF('FUENTE NO BORRAR'!D2195="","",'FUENTE NO BORRAR'!D2195)</f>
        <v/>
      </c>
      <c r="E2177" s="5" t="str">
        <f>IF('FUENTE NO BORRAR'!E2195="","",'FUENTE NO BORRAR'!E2195)</f>
        <v/>
      </c>
      <c r="F2177" s="6">
        <f>IF('FUENTE NO BORRAR'!F2195="","",IF('FUENTE NO BORRAR'!$A2195&lt;&gt;"Resultado total",('FUENTE NO BORRAR'!F2195),""))</f>
        <v>3093838.07</v>
      </c>
      <c r="G2177" s="6">
        <f>IF('FUENTE NO BORRAR'!G2195="","",IF('FUENTE NO BORRAR'!$A2195&lt;&gt;"Resultado total",('FUENTE NO BORRAR'!G2195),""))</f>
        <v>3093838.07</v>
      </c>
      <c r="H2177" s="6">
        <f>IF('FUENTE NO BORRAR'!H2195="","",IF('FUENTE NO BORRAR'!$A2195&lt;&gt;"Resultado total",('FUENTE NO BORRAR'!H2195),""))</f>
        <v>3093838.07</v>
      </c>
      <c r="I2177" s="6">
        <f>IF('FUENTE NO BORRAR'!I2195="","",IF('FUENTE NO BORRAR'!$A2195&lt;&gt;"Resultado total",('FUENTE NO BORRAR'!I2195),""))</f>
        <v>0</v>
      </c>
    </row>
    <row r="2178" spans="1:9" x14ac:dyDescent="0.2">
      <c r="A2178" s="5" t="str">
        <f>IF('FUENTE NO BORRAR'!A2196="","",(IF('FUENTE NO BORRAR'!A2196&lt;&gt;"Resultado total",'FUENTE NO BORRAR'!A2196,"")))</f>
        <v/>
      </c>
      <c r="B2178" s="5" t="str">
        <f>IF('FUENTE NO BORRAR'!B2196="","",'FUENTE NO BORRAR'!B2196)</f>
        <v/>
      </c>
      <c r="C2178" s="5" t="str">
        <f>IF('FUENTE NO BORRAR'!C2196="","",'FUENTE NO BORRAR'!C2196)</f>
        <v/>
      </c>
      <c r="D2178" s="5" t="str">
        <f>IF('FUENTE NO BORRAR'!D2196="","",'FUENTE NO BORRAR'!D2196)</f>
        <v/>
      </c>
      <c r="E2178" s="5" t="str">
        <f>IF('FUENTE NO BORRAR'!E2196="","",'FUENTE NO BORRAR'!E2196)</f>
        <v/>
      </c>
      <c r="F2178" s="6">
        <f>IF('FUENTE NO BORRAR'!F2196="","",IF('FUENTE NO BORRAR'!$A2196&lt;&gt;"Resultado total",('FUENTE NO BORRAR'!F2196),""))</f>
        <v>4171094.4</v>
      </c>
      <c r="G2178" s="6">
        <f>IF('FUENTE NO BORRAR'!G2196="","",IF('FUENTE NO BORRAR'!$A2196&lt;&gt;"Resultado total",('FUENTE NO BORRAR'!G2196),""))</f>
        <v>4171094.4</v>
      </c>
      <c r="H2178" s="6">
        <f>IF('FUENTE NO BORRAR'!H2196="","",IF('FUENTE NO BORRAR'!$A2196&lt;&gt;"Resultado total",('FUENTE NO BORRAR'!H2196),""))</f>
        <v>3910502.3999999999</v>
      </c>
      <c r="I2178" s="6">
        <f>IF('FUENTE NO BORRAR'!I2196="","",IF('FUENTE NO BORRAR'!$A2196&lt;&gt;"Resultado total",('FUENTE NO BORRAR'!I2196),""))</f>
        <v>0</v>
      </c>
    </row>
    <row r="2179" spans="1:9" x14ac:dyDescent="0.2">
      <c r="A2179" s="5" t="str">
        <f>IF('FUENTE NO BORRAR'!A2197="","",(IF('FUENTE NO BORRAR'!A2197&lt;&gt;"Resultado total",'FUENTE NO BORRAR'!A2197,"")))</f>
        <v/>
      </c>
      <c r="B2179" s="5" t="str">
        <f>IF('FUENTE NO BORRAR'!B2197="","",'FUENTE NO BORRAR'!B2197)</f>
        <v/>
      </c>
      <c r="C2179" s="5" t="str">
        <f>IF('FUENTE NO BORRAR'!C2197="","",'FUENTE NO BORRAR'!C2197)</f>
        <v/>
      </c>
      <c r="D2179" s="5" t="str">
        <f>IF('FUENTE NO BORRAR'!D2197="","",'FUENTE NO BORRAR'!D2197)</f>
        <v/>
      </c>
      <c r="E2179" s="5" t="str">
        <f>IF('FUENTE NO BORRAR'!E2197="","",'FUENTE NO BORRAR'!E2197)</f>
        <v/>
      </c>
      <c r="F2179" s="6">
        <f>IF('FUENTE NO BORRAR'!F2197="","",IF('FUENTE NO BORRAR'!$A2197&lt;&gt;"Resultado total",('FUENTE NO BORRAR'!F2197),""))</f>
        <v>6294716.9199999999</v>
      </c>
      <c r="G2179" s="6">
        <f>IF('FUENTE NO BORRAR'!G2197="","",IF('FUENTE NO BORRAR'!$A2197&lt;&gt;"Resultado total",('FUENTE NO BORRAR'!G2197),""))</f>
        <v>6294716.9199999999</v>
      </c>
      <c r="H2179" s="6">
        <f>IF('FUENTE NO BORRAR'!H2197="","",IF('FUENTE NO BORRAR'!$A2197&lt;&gt;"Resultado total",('FUENTE NO BORRAR'!H2197),""))</f>
        <v>6294716.9199999999</v>
      </c>
      <c r="I2179" s="6">
        <f>IF('FUENTE NO BORRAR'!I2197="","",IF('FUENTE NO BORRAR'!$A2197&lt;&gt;"Resultado total",('FUENTE NO BORRAR'!I2197),""))</f>
        <v>0</v>
      </c>
    </row>
    <row r="2180" spans="1:9" x14ac:dyDescent="0.2">
      <c r="A2180" s="5" t="str">
        <f>IF('FUENTE NO BORRAR'!A2198="","",(IF('FUENTE NO BORRAR'!A2198&lt;&gt;"Resultado total",'FUENTE NO BORRAR'!A2198,"")))</f>
        <v/>
      </c>
      <c r="B2180" s="5" t="str">
        <f>IF('FUENTE NO BORRAR'!B2198="","",'FUENTE NO BORRAR'!B2198)</f>
        <v/>
      </c>
      <c r="C2180" s="5" t="str">
        <f>IF('FUENTE NO BORRAR'!C2198="","",'FUENTE NO BORRAR'!C2198)</f>
        <v/>
      </c>
      <c r="D2180" s="5" t="str">
        <f>IF('FUENTE NO BORRAR'!D2198="","",'FUENTE NO BORRAR'!D2198)</f>
        <v/>
      </c>
      <c r="E2180" s="5" t="str">
        <f>IF('FUENTE NO BORRAR'!E2198="","",'FUENTE NO BORRAR'!E2198)</f>
        <v/>
      </c>
      <c r="F2180" s="6">
        <f>IF('FUENTE NO BORRAR'!F2198="","",IF('FUENTE NO BORRAR'!$A2198&lt;&gt;"Resultado total",('FUENTE NO BORRAR'!F2198),""))</f>
        <v>430173.81</v>
      </c>
      <c r="G2180" s="6">
        <f>IF('FUENTE NO BORRAR'!G2198="","",IF('FUENTE NO BORRAR'!$A2198&lt;&gt;"Resultado total",('FUENTE NO BORRAR'!G2198),""))</f>
        <v>430173.81</v>
      </c>
      <c r="H2180" s="6">
        <f>IF('FUENTE NO BORRAR'!H2198="","",IF('FUENTE NO BORRAR'!$A2198&lt;&gt;"Resultado total",('FUENTE NO BORRAR'!H2198),""))</f>
        <v>430173.81</v>
      </c>
      <c r="I2180" s="6">
        <f>IF('FUENTE NO BORRAR'!I2198="","",IF('FUENTE NO BORRAR'!$A2198&lt;&gt;"Resultado total",('FUENTE NO BORRAR'!I2198),""))</f>
        <v>0</v>
      </c>
    </row>
    <row r="2181" spans="1:9" x14ac:dyDescent="0.2">
      <c r="A2181" s="5" t="str">
        <f>IF('FUENTE NO BORRAR'!A2199="","",(IF('FUENTE NO BORRAR'!A2199&lt;&gt;"Resultado total",'FUENTE NO BORRAR'!A2199,"")))</f>
        <v/>
      </c>
      <c r="B2181" s="5" t="str">
        <f>IF('FUENTE NO BORRAR'!B2199="","",'FUENTE NO BORRAR'!B2199)</f>
        <v/>
      </c>
      <c r="C2181" s="5" t="str">
        <f>IF('FUENTE NO BORRAR'!C2199="","",'FUENTE NO BORRAR'!C2199)</f>
        <v/>
      </c>
      <c r="D2181" s="5" t="str">
        <f>IF('FUENTE NO BORRAR'!D2199="","",'FUENTE NO BORRAR'!D2199)</f>
        <v/>
      </c>
      <c r="E2181" s="5" t="str">
        <f>IF('FUENTE NO BORRAR'!E2199="","",'FUENTE NO BORRAR'!E2199)</f>
        <v/>
      </c>
      <c r="F2181" s="6">
        <f>IF('FUENTE NO BORRAR'!F2199="","",IF('FUENTE NO BORRAR'!$A2199&lt;&gt;"Resultado total",('FUENTE NO BORRAR'!F2199),""))</f>
        <v>139019.35999999999</v>
      </c>
      <c r="G2181" s="6">
        <f>IF('FUENTE NO BORRAR'!G2199="","",IF('FUENTE NO BORRAR'!$A2199&lt;&gt;"Resultado total",('FUENTE NO BORRAR'!G2199),""))</f>
        <v>139019.35999999999</v>
      </c>
      <c r="H2181" s="6">
        <f>IF('FUENTE NO BORRAR'!H2199="","",IF('FUENTE NO BORRAR'!$A2199&lt;&gt;"Resultado total",('FUENTE NO BORRAR'!H2199),""))</f>
        <v>139019.35999999999</v>
      </c>
      <c r="I2181" s="6">
        <f>IF('FUENTE NO BORRAR'!I2199="","",IF('FUENTE NO BORRAR'!$A2199&lt;&gt;"Resultado total",('FUENTE NO BORRAR'!I2199),""))</f>
        <v>0</v>
      </c>
    </row>
    <row r="2182" spans="1:9" x14ac:dyDescent="0.2">
      <c r="A2182" s="5" t="str">
        <f>IF('FUENTE NO BORRAR'!A2200="","",(IF('FUENTE NO BORRAR'!A2200&lt;&gt;"Resultado total",'FUENTE NO BORRAR'!A2200,"")))</f>
        <v/>
      </c>
      <c r="B2182" s="5" t="str">
        <f>IF('FUENTE NO BORRAR'!B2200="","",'FUENTE NO BORRAR'!B2200)</f>
        <v/>
      </c>
      <c r="C2182" s="5" t="str">
        <f>IF('FUENTE NO BORRAR'!C2200="","",'FUENTE NO BORRAR'!C2200)</f>
        <v/>
      </c>
      <c r="D2182" s="5" t="str">
        <f>IF('FUENTE NO BORRAR'!D2200="","",'FUENTE NO BORRAR'!D2200)</f>
        <v/>
      </c>
      <c r="E2182" s="5" t="str">
        <f>IF('FUENTE NO BORRAR'!E2200="","",'FUENTE NO BORRAR'!E2200)</f>
        <v/>
      </c>
      <c r="F2182" s="6">
        <f>IF('FUENTE NO BORRAR'!F2200="","",IF('FUENTE NO BORRAR'!$A2200&lt;&gt;"Resultado total",('FUENTE NO BORRAR'!F2200),""))</f>
        <v>284826.01</v>
      </c>
      <c r="G2182" s="6">
        <f>IF('FUENTE NO BORRAR'!G2200="","",IF('FUENTE NO BORRAR'!$A2200&lt;&gt;"Resultado total",('FUENTE NO BORRAR'!G2200),""))</f>
        <v>284826.01</v>
      </c>
      <c r="H2182" s="6">
        <f>IF('FUENTE NO BORRAR'!H2200="","",IF('FUENTE NO BORRAR'!$A2200&lt;&gt;"Resultado total",('FUENTE NO BORRAR'!H2200),""))</f>
        <v>284826.01</v>
      </c>
      <c r="I2182" s="6">
        <f>IF('FUENTE NO BORRAR'!I2200="","",IF('FUENTE NO BORRAR'!$A2200&lt;&gt;"Resultado total",('FUENTE NO BORRAR'!I2200),""))</f>
        <v>0</v>
      </c>
    </row>
    <row r="2183" spans="1:9" x14ac:dyDescent="0.2">
      <c r="A2183" s="5" t="str">
        <f>IF('FUENTE NO BORRAR'!A2201="","",(IF('FUENTE NO BORRAR'!A2201&lt;&gt;"Resultado total",'FUENTE NO BORRAR'!A2201,"")))</f>
        <v/>
      </c>
      <c r="B2183" s="5" t="str">
        <f>IF('FUENTE NO BORRAR'!B2201="","",'FUENTE NO BORRAR'!B2201)</f>
        <v/>
      </c>
      <c r="C2183" s="5" t="str">
        <f>IF('FUENTE NO BORRAR'!C2201="","",'FUENTE NO BORRAR'!C2201)</f>
        <v/>
      </c>
      <c r="D2183" s="5" t="str">
        <f>IF('FUENTE NO BORRAR'!D2201="","",'FUENTE NO BORRAR'!D2201)</f>
        <v/>
      </c>
      <c r="E2183" s="5" t="str">
        <f>IF('FUENTE NO BORRAR'!E2201="","",'FUENTE NO BORRAR'!E2201)</f>
        <v/>
      </c>
      <c r="F2183" s="6">
        <f>IF('FUENTE NO BORRAR'!F2201="","",IF('FUENTE NO BORRAR'!$A2201&lt;&gt;"Resultado total",('FUENTE NO BORRAR'!F2201),""))</f>
        <v>1616935.09</v>
      </c>
      <c r="G2183" s="6">
        <f>IF('FUENTE NO BORRAR'!G2201="","",IF('FUENTE NO BORRAR'!$A2201&lt;&gt;"Resultado total",('FUENTE NO BORRAR'!G2201),""))</f>
        <v>1616935.09</v>
      </c>
      <c r="H2183" s="6">
        <f>IF('FUENTE NO BORRAR'!H2201="","",IF('FUENTE NO BORRAR'!$A2201&lt;&gt;"Resultado total",('FUENTE NO BORRAR'!H2201),""))</f>
        <v>1616935.09</v>
      </c>
      <c r="I2183" s="6">
        <f>IF('FUENTE NO BORRAR'!I2201="","",IF('FUENTE NO BORRAR'!$A2201&lt;&gt;"Resultado total",('FUENTE NO BORRAR'!I2201),""))</f>
        <v>0</v>
      </c>
    </row>
    <row r="2184" spans="1:9" x14ac:dyDescent="0.2">
      <c r="A2184" s="5" t="str">
        <f>IF('FUENTE NO BORRAR'!A2202="","",(IF('FUENTE NO BORRAR'!A2202&lt;&gt;"Resultado total",'FUENTE NO BORRAR'!A2202,"")))</f>
        <v/>
      </c>
      <c r="B2184" s="5" t="str">
        <f>IF('FUENTE NO BORRAR'!B2202="","",'FUENTE NO BORRAR'!B2202)</f>
        <v/>
      </c>
      <c r="C2184" s="5" t="str">
        <f>IF('FUENTE NO BORRAR'!C2202="","",'FUENTE NO BORRAR'!C2202)</f>
        <v/>
      </c>
      <c r="D2184" s="5" t="str">
        <f>IF('FUENTE NO BORRAR'!D2202="","",'FUENTE NO BORRAR'!D2202)</f>
        <v/>
      </c>
      <c r="E2184" s="5" t="str">
        <f>IF('FUENTE NO BORRAR'!E2202="","",'FUENTE NO BORRAR'!E2202)</f>
        <v/>
      </c>
      <c r="F2184" s="6">
        <f>IF('FUENTE NO BORRAR'!F2202="","",IF('FUENTE NO BORRAR'!$A2202&lt;&gt;"Resultado total",('FUENTE NO BORRAR'!F2202),""))</f>
        <v>55176.800000000003</v>
      </c>
      <c r="G2184" s="6">
        <f>IF('FUENTE NO BORRAR'!G2202="","",IF('FUENTE NO BORRAR'!$A2202&lt;&gt;"Resultado total",('FUENTE NO BORRAR'!G2202),""))</f>
        <v>55176.800000000003</v>
      </c>
      <c r="H2184" s="6">
        <f>IF('FUENTE NO BORRAR'!H2202="","",IF('FUENTE NO BORRAR'!$A2202&lt;&gt;"Resultado total",('FUENTE NO BORRAR'!H2202),""))</f>
        <v>55176.800000000003</v>
      </c>
      <c r="I2184" s="6">
        <f>IF('FUENTE NO BORRAR'!I2202="","",IF('FUENTE NO BORRAR'!$A2202&lt;&gt;"Resultado total",('FUENTE NO BORRAR'!I2202),""))</f>
        <v>0</v>
      </c>
    </row>
    <row r="2185" spans="1:9" x14ac:dyDescent="0.2">
      <c r="A2185" s="5" t="str">
        <f>IF('FUENTE NO BORRAR'!A2203="","",(IF('FUENTE NO BORRAR'!A2203&lt;&gt;"Resultado total",'FUENTE NO BORRAR'!A2203,"")))</f>
        <v/>
      </c>
      <c r="B2185" s="5" t="str">
        <f>IF('FUENTE NO BORRAR'!B2203="","",'FUENTE NO BORRAR'!B2203)</f>
        <v/>
      </c>
      <c r="C2185" s="5" t="str">
        <f>IF('FUENTE NO BORRAR'!C2203="","",'FUENTE NO BORRAR'!C2203)</f>
        <v/>
      </c>
      <c r="D2185" s="5" t="str">
        <f>IF('FUENTE NO BORRAR'!D2203="","",'FUENTE NO BORRAR'!D2203)</f>
        <v/>
      </c>
      <c r="E2185" s="5" t="str">
        <f>IF('FUENTE NO BORRAR'!E2203="","",'FUENTE NO BORRAR'!E2203)</f>
        <v/>
      </c>
      <c r="F2185" s="6">
        <f>IF('FUENTE NO BORRAR'!F2203="","",IF('FUENTE NO BORRAR'!$A2203&lt;&gt;"Resultado total",('FUENTE NO BORRAR'!F2203),""))</f>
        <v>14899967.23</v>
      </c>
      <c r="G2185" s="6">
        <f>IF('FUENTE NO BORRAR'!G2203="","",IF('FUENTE NO BORRAR'!$A2203&lt;&gt;"Resultado total",('FUENTE NO BORRAR'!G2203),""))</f>
        <v>14899967.23</v>
      </c>
      <c r="H2185" s="6">
        <f>IF('FUENTE NO BORRAR'!H2203="","",IF('FUENTE NO BORRAR'!$A2203&lt;&gt;"Resultado total",('FUENTE NO BORRAR'!H2203),""))</f>
        <v>14819553.26</v>
      </c>
      <c r="I2185" s="6">
        <f>IF('FUENTE NO BORRAR'!I2203="","",IF('FUENTE NO BORRAR'!$A2203&lt;&gt;"Resultado total",('FUENTE NO BORRAR'!I2203),""))</f>
        <v>-2.0000000000000001E-9</v>
      </c>
    </row>
    <row r="2186" spans="1:9" x14ac:dyDescent="0.2">
      <c r="A2186" s="5" t="str">
        <f>IF('FUENTE NO BORRAR'!A2204="","",(IF('FUENTE NO BORRAR'!A2204&lt;&gt;"Resultado total",'FUENTE NO BORRAR'!A2204,"")))</f>
        <v/>
      </c>
      <c r="B2186" s="5" t="str">
        <f>IF('FUENTE NO BORRAR'!B2204="","",'FUENTE NO BORRAR'!B2204)</f>
        <v/>
      </c>
      <c r="C2186" s="5" t="str">
        <f>IF('FUENTE NO BORRAR'!C2204="","",'FUENTE NO BORRAR'!C2204)</f>
        <v/>
      </c>
      <c r="D2186" s="5" t="str">
        <f>IF('FUENTE NO BORRAR'!D2204="","",'FUENTE NO BORRAR'!D2204)</f>
        <v/>
      </c>
      <c r="E2186" s="5" t="str">
        <f>IF('FUENTE NO BORRAR'!E2204="","",'FUENTE NO BORRAR'!E2204)</f>
        <v/>
      </c>
      <c r="F2186" s="6">
        <f>IF('FUENTE NO BORRAR'!F2204="","",IF('FUENTE NO BORRAR'!$A2204&lt;&gt;"Resultado total",('FUENTE NO BORRAR'!F2204),""))</f>
        <v>3380186.78</v>
      </c>
      <c r="G2186" s="6">
        <f>IF('FUENTE NO BORRAR'!G2204="","",IF('FUENTE NO BORRAR'!$A2204&lt;&gt;"Resultado total",('FUENTE NO BORRAR'!G2204),""))</f>
        <v>3380186.78</v>
      </c>
      <c r="H2186" s="6">
        <f>IF('FUENTE NO BORRAR'!H2204="","",IF('FUENTE NO BORRAR'!$A2204&lt;&gt;"Resultado total",('FUENTE NO BORRAR'!H2204),""))</f>
        <v>3380186.78</v>
      </c>
      <c r="I2186" s="6">
        <f>IF('FUENTE NO BORRAR'!I2204="","",IF('FUENTE NO BORRAR'!$A2204&lt;&gt;"Resultado total",('FUENTE NO BORRAR'!I2204),""))</f>
        <v>0</v>
      </c>
    </row>
    <row r="2187" spans="1:9" x14ac:dyDescent="0.2">
      <c r="A2187" s="5" t="str">
        <f>IF('FUENTE NO BORRAR'!A2205="","",(IF('FUENTE NO BORRAR'!A2205&lt;&gt;"Resultado total",'FUENTE NO BORRAR'!A2205,"")))</f>
        <v/>
      </c>
      <c r="B2187" s="5" t="str">
        <f>IF('FUENTE NO BORRAR'!B2205="","",'FUENTE NO BORRAR'!B2205)</f>
        <v/>
      </c>
      <c r="C2187" s="5" t="str">
        <f>IF('FUENTE NO BORRAR'!C2205="","",'FUENTE NO BORRAR'!C2205)</f>
        <v/>
      </c>
      <c r="D2187" s="5" t="str">
        <f>IF('FUENTE NO BORRAR'!D2205="","",'FUENTE NO BORRAR'!D2205)</f>
        <v/>
      </c>
      <c r="E2187" s="5" t="str">
        <f>IF('FUENTE NO BORRAR'!E2205="","",'FUENTE NO BORRAR'!E2205)</f>
        <v/>
      </c>
      <c r="F2187" s="6">
        <f>IF('FUENTE NO BORRAR'!F2205="","",IF('FUENTE NO BORRAR'!$A2205&lt;&gt;"Resultado total",('FUENTE NO BORRAR'!F2205),""))</f>
        <v>3100903.35</v>
      </c>
      <c r="G2187" s="6">
        <f>IF('FUENTE NO BORRAR'!G2205="","",IF('FUENTE NO BORRAR'!$A2205&lt;&gt;"Resultado total",('FUENTE NO BORRAR'!G2205),""))</f>
        <v>3100903.35</v>
      </c>
      <c r="H2187" s="6">
        <f>IF('FUENTE NO BORRAR'!H2205="","",IF('FUENTE NO BORRAR'!$A2205&lt;&gt;"Resultado total",('FUENTE NO BORRAR'!H2205),""))</f>
        <v>3195903.35</v>
      </c>
      <c r="I2187" s="6">
        <f>IF('FUENTE NO BORRAR'!I2205="","",IF('FUENTE NO BORRAR'!$A2205&lt;&gt;"Resultado total",('FUENTE NO BORRAR'!I2205),""))</f>
        <v>0</v>
      </c>
    </row>
    <row r="2188" spans="1:9" x14ac:dyDescent="0.2">
      <c r="A2188" s="5" t="str">
        <f>IF('FUENTE NO BORRAR'!A2206="","",(IF('FUENTE NO BORRAR'!A2206&lt;&gt;"Resultado total",'FUENTE NO BORRAR'!A2206,"")))</f>
        <v/>
      </c>
      <c r="B2188" s="5" t="str">
        <f>IF('FUENTE NO BORRAR'!B2206="","",'FUENTE NO BORRAR'!B2206)</f>
        <v/>
      </c>
      <c r="C2188" s="5" t="str">
        <f>IF('FUENTE NO BORRAR'!C2206="","",'FUENTE NO BORRAR'!C2206)</f>
        <v/>
      </c>
      <c r="D2188" s="5" t="str">
        <f>IF('FUENTE NO BORRAR'!D2206="","",'FUENTE NO BORRAR'!D2206)</f>
        <v/>
      </c>
      <c r="E2188" s="5" t="str">
        <f>IF('FUENTE NO BORRAR'!E2206="","",'FUENTE NO BORRAR'!E2206)</f>
        <v/>
      </c>
      <c r="F2188" s="6">
        <f>IF('FUENTE NO BORRAR'!F2206="","",IF('FUENTE NO BORRAR'!$A2206&lt;&gt;"Resultado total",('FUENTE NO BORRAR'!F2206),""))</f>
        <v>639394.55000000005</v>
      </c>
      <c r="G2188" s="6">
        <f>IF('FUENTE NO BORRAR'!G2206="","",IF('FUENTE NO BORRAR'!$A2206&lt;&gt;"Resultado total",('FUENTE NO BORRAR'!G2206),""))</f>
        <v>639394.55000000005</v>
      </c>
      <c r="H2188" s="6">
        <f>IF('FUENTE NO BORRAR'!H2206="","",IF('FUENTE NO BORRAR'!$A2206&lt;&gt;"Resultado total",('FUENTE NO BORRAR'!H2206),""))</f>
        <v>639394.55000000005</v>
      </c>
      <c r="I2188" s="6">
        <f>IF('FUENTE NO BORRAR'!I2206="","",IF('FUENTE NO BORRAR'!$A2206&lt;&gt;"Resultado total",('FUENTE NO BORRAR'!I2206),""))</f>
        <v>0</v>
      </c>
    </row>
    <row r="2189" spans="1:9" x14ac:dyDescent="0.2">
      <c r="A2189" s="5" t="str">
        <f>IF('FUENTE NO BORRAR'!A2207="","",(IF('FUENTE NO BORRAR'!A2207&lt;&gt;"Resultado total",'FUENTE NO BORRAR'!A2207,"")))</f>
        <v/>
      </c>
      <c r="B2189" s="5" t="str">
        <f>IF('FUENTE NO BORRAR'!B2207="","",'FUENTE NO BORRAR'!B2207)</f>
        <v/>
      </c>
      <c r="C2189" s="5" t="str">
        <f>IF('FUENTE NO BORRAR'!C2207="","",'FUENTE NO BORRAR'!C2207)</f>
        <v/>
      </c>
      <c r="D2189" s="5" t="str">
        <f>IF('FUENTE NO BORRAR'!D2207="","",'FUENTE NO BORRAR'!D2207)</f>
        <v/>
      </c>
      <c r="E2189" s="5" t="str">
        <f>IF('FUENTE NO BORRAR'!E2207="","",'FUENTE NO BORRAR'!E2207)</f>
        <v/>
      </c>
      <c r="F2189" s="6">
        <f>IF('FUENTE NO BORRAR'!F2207="","",IF('FUENTE NO BORRAR'!$A2207&lt;&gt;"Resultado total",('FUENTE NO BORRAR'!F2207),""))</f>
        <v>300361.89</v>
      </c>
      <c r="G2189" s="6">
        <f>IF('FUENTE NO BORRAR'!G2207="","",IF('FUENTE NO BORRAR'!$A2207&lt;&gt;"Resultado total",('FUENTE NO BORRAR'!G2207),""))</f>
        <v>300361.89</v>
      </c>
      <c r="H2189" s="6">
        <f>IF('FUENTE NO BORRAR'!H2207="","",IF('FUENTE NO BORRAR'!$A2207&lt;&gt;"Resultado total",('FUENTE NO BORRAR'!H2207),""))</f>
        <v>300361.89</v>
      </c>
      <c r="I2189" s="6">
        <f>IF('FUENTE NO BORRAR'!I2207="","",IF('FUENTE NO BORRAR'!$A2207&lt;&gt;"Resultado total",('FUENTE NO BORRAR'!I2207),""))</f>
        <v>0</v>
      </c>
    </row>
    <row r="2190" spans="1:9" x14ac:dyDescent="0.2">
      <c r="A2190" s="5" t="str">
        <f>IF('FUENTE NO BORRAR'!A2208="","",(IF('FUENTE NO BORRAR'!A2208&lt;&gt;"Resultado total",'FUENTE NO BORRAR'!A2208,"")))</f>
        <v/>
      </c>
      <c r="B2190" s="5" t="str">
        <f>IF('FUENTE NO BORRAR'!B2208="","",'FUENTE NO BORRAR'!B2208)</f>
        <v/>
      </c>
      <c r="C2190" s="5" t="str">
        <f>IF('FUENTE NO BORRAR'!C2208="","",'FUENTE NO BORRAR'!C2208)</f>
        <v/>
      </c>
      <c r="D2190" s="5" t="str">
        <f>IF('FUENTE NO BORRAR'!D2208="","",'FUENTE NO BORRAR'!D2208)</f>
        <v/>
      </c>
      <c r="E2190" s="5" t="str">
        <f>IF('FUENTE NO BORRAR'!E2208="","",'FUENTE NO BORRAR'!E2208)</f>
        <v/>
      </c>
      <c r="F2190" s="6">
        <f>IF('FUENTE NO BORRAR'!F2208="","",IF('FUENTE NO BORRAR'!$A2208&lt;&gt;"Resultado total",('FUENTE NO BORRAR'!F2208),""))</f>
        <v>733954.08</v>
      </c>
      <c r="G2190" s="6">
        <f>IF('FUENTE NO BORRAR'!G2208="","",IF('FUENTE NO BORRAR'!$A2208&lt;&gt;"Resultado total",('FUENTE NO BORRAR'!G2208),""))</f>
        <v>733954.08</v>
      </c>
      <c r="H2190" s="6">
        <f>IF('FUENTE NO BORRAR'!H2208="","",IF('FUENTE NO BORRAR'!$A2208&lt;&gt;"Resultado total",('FUENTE NO BORRAR'!H2208),""))</f>
        <v>733954.08</v>
      </c>
      <c r="I2190" s="6">
        <f>IF('FUENTE NO BORRAR'!I2208="","",IF('FUENTE NO BORRAR'!$A2208&lt;&gt;"Resultado total",('FUENTE NO BORRAR'!I2208),""))</f>
        <v>0</v>
      </c>
    </row>
    <row r="2191" spans="1:9" x14ac:dyDescent="0.2">
      <c r="A2191" s="5" t="str">
        <f>IF('FUENTE NO BORRAR'!A2209="","",(IF('FUENTE NO BORRAR'!A2209&lt;&gt;"Resultado total",'FUENTE NO BORRAR'!A2209,"")))</f>
        <v/>
      </c>
      <c r="B2191" s="5" t="str">
        <f>IF('FUENTE NO BORRAR'!B2209="","",'FUENTE NO BORRAR'!B2209)</f>
        <v/>
      </c>
      <c r="C2191" s="5" t="str">
        <f>IF('FUENTE NO BORRAR'!C2209="","",'FUENTE NO BORRAR'!C2209)</f>
        <v/>
      </c>
      <c r="D2191" s="5" t="str">
        <f>IF('FUENTE NO BORRAR'!D2209="","",'FUENTE NO BORRAR'!D2209)</f>
        <v/>
      </c>
      <c r="E2191" s="5" t="str">
        <f>IF('FUENTE NO BORRAR'!E2209="","",'FUENTE NO BORRAR'!E2209)</f>
        <v/>
      </c>
      <c r="F2191" s="6">
        <f>IF('FUENTE NO BORRAR'!F2209="","",IF('FUENTE NO BORRAR'!$A2209&lt;&gt;"Resultado total",('FUENTE NO BORRAR'!F2209),""))</f>
        <v>2966826.62</v>
      </c>
      <c r="G2191" s="6">
        <f>IF('FUENTE NO BORRAR'!G2209="","",IF('FUENTE NO BORRAR'!$A2209&lt;&gt;"Resultado total",('FUENTE NO BORRAR'!G2209),""))</f>
        <v>2966826.62</v>
      </c>
      <c r="H2191" s="6">
        <f>IF('FUENTE NO BORRAR'!H2209="","",IF('FUENTE NO BORRAR'!$A2209&lt;&gt;"Resultado total",('FUENTE NO BORRAR'!H2209),""))</f>
        <v>2966826.62</v>
      </c>
      <c r="I2191" s="6">
        <f>IF('FUENTE NO BORRAR'!I2209="","",IF('FUENTE NO BORRAR'!$A2209&lt;&gt;"Resultado total",('FUENTE NO BORRAR'!I2209),""))</f>
        <v>0</v>
      </c>
    </row>
    <row r="2192" spans="1:9" x14ac:dyDescent="0.2">
      <c r="A2192" s="5" t="str">
        <f>IF('FUENTE NO BORRAR'!A2210="","",(IF('FUENTE NO BORRAR'!A2210&lt;&gt;"Resultado total",'FUENTE NO BORRAR'!A2210,"")))</f>
        <v/>
      </c>
      <c r="B2192" s="5" t="str">
        <f>IF('FUENTE NO BORRAR'!B2210="","",'FUENTE NO BORRAR'!B2210)</f>
        <v/>
      </c>
      <c r="C2192" s="5" t="str">
        <f>IF('FUENTE NO BORRAR'!C2210="","",'FUENTE NO BORRAR'!C2210)</f>
        <v/>
      </c>
      <c r="D2192" s="5" t="str">
        <f>IF('FUENTE NO BORRAR'!D2210="","",'FUENTE NO BORRAR'!D2210)</f>
        <v/>
      </c>
      <c r="E2192" s="5" t="str">
        <f>IF('FUENTE NO BORRAR'!E2210="","",'FUENTE NO BORRAR'!E2210)</f>
        <v/>
      </c>
      <c r="F2192" s="6">
        <f>IF('FUENTE NO BORRAR'!F2210="","",IF('FUENTE NO BORRAR'!$A2210&lt;&gt;"Resultado total",('FUENTE NO BORRAR'!F2210),""))</f>
        <v>745833.28</v>
      </c>
      <c r="G2192" s="6">
        <f>IF('FUENTE NO BORRAR'!G2210="","",IF('FUENTE NO BORRAR'!$A2210&lt;&gt;"Resultado total",('FUENTE NO BORRAR'!G2210),""))</f>
        <v>745833.28</v>
      </c>
      <c r="H2192" s="6">
        <f>IF('FUENTE NO BORRAR'!H2210="","",IF('FUENTE NO BORRAR'!$A2210&lt;&gt;"Resultado total",('FUENTE NO BORRAR'!H2210),""))</f>
        <v>745833.28</v>
      </c>
      <c r="I2192" s="6">
        <f>IF('FUENTE NO BORRAR'!I2210="","",IF('FUENTE NO BORRAR'!$A2210&lt;&gt;"Resultado total",('FUENTE NO BORRAR'!I2210),""))</f>
        <v>0</v>
      </c>
    </row>
    <row r="2193" spans="1:9" x14ac:dyDescent="0.2">
      <c r="A2193" s="5" t="str">
        <f>IF('FUENTE NO BORRAR'!A2211="","",(IF('FUENTE NO BORRAR'!A2211&lt;&gt;"Resultado total",'FUENTE NO BORRAR'!A2211,"")))</f>
        <v/>
      </c>
      <c r="B2193" s="5" t="str">
        <f>IF('FUENTE NO BORRAR'!B2211="","",'FUENTE NO BORRAR'!B2211)</f>
        <v/>
      </c>
      <c r="C2193" s="5" t="str">
        <f>IF('FUENTE NO BORRAR'!C2211="","",'FUENTE NO BORRAR'!C2211)</f>
        <v/>
      </c>
      <c r="D2193" s="5" t="str">
        <f>IF('FUENTE NO BORRAR'!D2211="","",'FUENTE NO BORRAR'!D2211)</f>
        <v/>
      </c>
      <c r="E2193" s="5" t="str">
        <f>IF('FUENTE NO BORRAR'!E2211="","",'FUENTE NO BORRAR'!E2211)</f>
        <v/>
      </c>
      <c r="F2193" s="6">
        <f>IF('FUENTE NO BORRAR'!F2211="","",IF('FUENTE NO BORRAR'!$A2211&lt;&gt;"Resultado total",('FUENTE NO BORRAR'!F2211),""))</f>
        <v>550099.67000000004</v>
      </c>
      <c r="G2193" s="6">
        <f>IF('FUENTE NO BORRAR'!G2211="","",IF('FUENTE NO BORRAR'!$A2211&lt;&gt;"Resultado total",('FUENTE NO BORRAR'!G2211),""))</f>
        <v>550099.67000000004</v>
      </c>
      <c r="H2193" s="6">
        <f>IF('FUENTE NO BORRAR'!H2211="","",IF('FUENTE NO BORRAR'!$A2211&lt;&gt;"Resultado total",('FUENTE NO BORRAR'!H2211),""))</f>
        <v>519297.49</v>
      </c>
      <c r="I2193" s="6">
        <f>IF('FUENTE NO BORRAR'!I2211="","",IF('FUENTE NO BORRAR'!$A2211&lt;&gt;"Resultado total",('FUENTE NO BORRAR'!I2211),""))</f>
        <v>0</v>
      </c>
    </row>
    <row r="2194" spans="1:9" x14ac:dyDescent="0.2">
      <c r="A2194" s="5" t="str">
        <f>IF('FUENTE NO BORRAR'!A2212="","",(IF('FUENTE NO BORRAR'!A2212&lt;&gt;"Resultado total",'FUENTE NO BORRAR'!A2212,"")))</f>
        <v/>
      </c>
      <c r="B2194" s="5" t="str">
        <f>IF('FUENTE NO BORRAR'!B2212="","",'FUENTE NO BORRAR'!B2212)</f>
        <v/>
      </c>
      <c r="C2194" s="5" t="str">
        <f>IF('FUENTE NO BORRAR'!C2212="","",'FUENTE NO BORRAR'!C2212)</f>
        <v/>
      </c>
      <c r="D2194" s="5" t="str">
        <f>IF('FUENTE NO BORRAR'!D2212="","",'FUENTE NO BORRAR'!D2212)</f>
        <v/>
      </c>
      <c r="E2194" s="5" t="str">
        <f>IF('FUENTE NO BORRAR'!E2212="","",'FUENTE NO BORRAR'!E2212)</f>
        <v/>
      </c>
      <c r="F2194" s="6">
        <f>IF('FUENTE NO BORRAR'!F2212="","",IF('FUENTE NO BORRAR'!$A2212&lt;&gt;"Resultado total",('FUENTE NO BORRAR'!F2212),""))</f>
        <v>111750.61</v>
      </c>
      <c r="G2194" s="6">
        <f>IF('FUENTE NO BORRAR'!G2212="","",IF('FUENTE NO BORRAR'!$A2212&lt;&gt;"Resultado total",('FUENTE NO BORRAR'!G2212),""))</f>
        <v>111750.61</v>
      </c>
      <c r="H2194" s="6">
        <f>IF('FUENTE NO BORRAR'!H2212="","",IF('FUENTE NO BORRAR'!$A2212&lt;&gt;"Resultado total",('FUENTE NO BORRAR'!H2212),""))</f>
        <v>92576.61</v>
      </c>
      <c r="I2194" s="6">
        <f>IF('FUENTE NO BORRAR'!I2212="","",IF('FUENTE NO BORRAR'!$A2212&lt;&gt;"Resultado total",('FUENTE NO BORRAR'!I2212),""))</f>
        <v>0</v>
      </c>
    </row>
    <row r="2195" spans="1:9" x14ac:dyDescent="0.2">
      <c r="A2195" s="5" t="str">
        <f>IF('FUENTE NO BORRAR'!A2213="","",(IF('FUENTE NO BORRAR'!A2213&lt;&gt;"Resultado total",'FUENTE NO BORRAR'!A2213,"")))</f>
        <v/>
      </c>
      <c r="B2195" s="5" t="str">
        <f>IF('FUENTE NO BORRAR'!B2213="","",'FUENTE NO BORRAR'!B2213)</f>
        <v/>
      </c>
      <c r="C2195" s="5" t="str">
        <f>IF('FUENTE NO BORRAR'!C2213="","",'FUENTE NO BORRAR'!C2213)</f>
        <v/>
      </c>
      <c r="D2195" s="5" t="str">
        <f>IF('FUENTE NO BORRAR'!D2213="","",'FUENTE NO BORRAR'!D2213)</f>
        <v/>
      </c>
      <c r="E2195" s="5" t="str">
        <f>IF('FUENTE NO BORRAR'!E2213="","",'FUENTE NO BORRAR'!E2213)</f>
        <v/>
      </c>
      <c r="F2195" s="6">
        <f>IF('FUENTE NO BORRAR'!F2213="","",IF('FUENTE NO BORRAR'!$A2213&lt;&gt;"Resultado total",('FUENTE NO BORRAR'!F2213),""))</f>
        <v>2945.27</v>
      </c>
      <c r="G2195" s="6">
        <f>IF('FUENTE NO BORRAR'!G2213="","",IF('FUENTE NO BORRAR'!$A2213&lt;&gt;"Resultado total",('FUENTE NO BORRAR'!G2213),""))</f>
        <v>2945.27</v>
      </c>
      <c r="H2195" s="6">
        <f>IF('FUENTE NO BORRAR'!H2213="","",IF('FUENTE NO BORRAR'!$A2213&lt;&gt;"Resultado total",('FUENTE NO BORRAR'!H2213),""))</f>
        <v>2945.27</v>
      </c>
      <c r="I2195" s="6">
        <f>IF('FUENTE NO BORRAR'!I2213="","",IF('FUENTE NO BORRAR'!$A2213&lt;&gt;"Resultado total",('FUENTE NO BORRAR'!I2213),""))</f>
        <v>0</v>
      </c>
    </row>
    <row r="2196" spans="1:9" x14ac:dyDescent="0.2">
      <c r="A2196" s="5" t="str">
        <f>IF('FUENTE NO BORRAR'!A2214="","",(IF('FUENTE NO BORRAR'!A2214&lt;&gt;"Resultado total",'FUENTE NO BORRAR'!A2214,"")))</f>
        <v/>
      </c>
      <c r="B2196" s="5" t="str">
        <f>IF('FUENTE NO BORRAR'!B2214="","",'FUENTE NO BORRAR'!B2214)</f>
        <v/>
      </c>
      <c r="C2196" s="5" t="str">
        <f>IF('FUENTE NO BORRAR'!C2214="","",'FUENTE NO BORRAR'!C2214)</f>
        <v/>
      </c>
      <c r="D2196" s="5" t="str">
        <f>IF('FUENTE NO BORRAR'!D2214="","",'FUENTE NO BORRAR'!D2214)</f>
        <v/>
      </c>
      <c r="E2196" s="5" t="str">
        <f>IF('FUENTE NO BORRAR'!E2214="","",'FUENTE NO BORRAR'!E2214)</f>
        <v/>
      </c>
      <c r="F2196" s="6">
        <f>IF('FUENTE NO BORRAR'!F2214="","",IF('FUENTE NO BORRAR'!$A2214&lt;&gt;"Resultado total",('FUENTE NO BORRAR'!F2214),""))</f>
        <v>0</v>
      </c>
      <c r="G2196" s="6">
        <f>IF('FUENTE NO BORRAR'!G2214="","",IF('FUENTE NO BORRAR'!$A2214&lt;&gt;"Resultado total",('FUENTE NO BORRAR'!G2214),""))</f>
        <v>0</v>
      </c>
      <c r="H2196" s="6">
        <f>IF('FUENTE NO BORRAR'!H2214="","",IF('FUENTE NO BORRAR'!$A2214&lt;&gt;"Resultado total",('FUENTE NO BORRAR'!H2214),""))</f>
        <v>0</v>
      </c>
      <c r="I2196" s="6">
        <f>IF('FUENTE NO BORRAR'!I2214="","",IF('FUENTE NO BORRAR'!$A2214&lt;&gt;"Resultado total",('FUENTE NO BORRAR'!I2214),""))</f>
        <v>0</v>
      </c>
    </row>
    <row r="2197" spans="1:9" x14ac:dyDescent="0.2">
      <c r="A2197" s="5" t="str">
        <f>IF('FUENTE NO BORRAR'!A2215="","",(IF('FUENTE NO BORRAR'!A2215&lt;&gt;"Resultado total",'FUENTE NO BORRAR'!A2215,"")))</f>
        <v/>
      </c>
      <c r="B2197" s="5" t="str">
        <f>IF('FUENTE NO BORRAR'!B2215="","",'FUENTE NO BORRAR'!B2215)</f>
        <v/>
      </c>
      <c r="C2197" s="5" t="str">
        <f>IF('FUENTE NO BORRAR'!C2215="","",'FUENTE NO BORRAR'!C2215)</f>
        <v/>
      </c>
      <c r="D2197" s="5" t="str">
        <f>IF('FUENTE NO BORRAR'!D2215="","",'FUENTE NO BORRAR'!D2215)</f>
        <v/>
      </c>
      <c r="E2197" s="5" t="str">
        <f>IF('FUENTE NO BORRAR'!E2215="","",'FUENTE NO BORRAR'!E2215)</f>
        <v/>
      </c>
      <c r="F2197" s="6">
        <f>IF('FUENTE NO BORRAR'!F2215="","",IF('FUENTE NO BORRAR'!$A2215&lt;&gt;"Resultado total",('FUENTE NO BORRAR'!F2215),""))</f>
        <v>252664.52</v>
      </c>
      <c r="G2197" s="6">
        <f>IF('FUENTE NO BORRAR'!G2215="","",IF('FUENTE NO BORRAR'!$A2215&lt;&gt;"Resultado total",('FUENTE NO BORRAR'!G2215),""))</f>
        <v>252664.52</v>
      </c>
      <c r="H2197" s="6">
        <f>IF('FUENTE NO BORRAR'!H2215="","",IF('FUENTE NO BORRAR'!$A2215&lt;&gt;"Resultado total",('FUENTE NO BORRAR'!H2215),""))</f>
        <v>202088.52</v>
      </c>
      <c r="I2197" s="6">
        <f>IF('FUENTE NO BORRAR'!I2215="","",IF('FUENTE NO BORRAR'!$A2215&lt;&gt;"Resultado total",('FUENTE NO BORRAR'!I2215),""))</f>
        <v>0</v>
      </c>
    </row>
    <row r="2198" spans="1:9" x14ac:dyDescent="0.2">
      <c r="A2198" s="5" t="str">
        <f>IF('FUENTE NO BORRAR'!A2216="","",(IF('FUENTE NO BORRAR'!A2216&lt;&gt;"Resultado total",'FUENTE NO BORRAR'!A2216,"")))</f>
        <v/>
      </c>
      <c r="B2198" s="5" t="str">
        <f>IF('FUENTE NO BORRAR'!B2216="","",'FUENTE NO BORRAR'!B2216)</f>
        <v/>
      </c>
      <c r="C2198" s="5" t="str">
        <f>IF('FUENTE NO BORRAR'!C2216="","",'FUENTE NO BORRAR'!C2216)</f>
        <v/>
      </c>
      <c r="D2198" s="5" t="str">
        <f>IF('FUENTE NO BORRAR'!D2216="","",'FUENTE NO BORRAR'!D2216)</f>
        <v/>
      </c>
      <c r="E2198" s="5" t="str">
        <f>IF('FUENTE NO BORRAR'!E2216="","",'FUENTE NO BORRAR'!E2216)</f>
        <v/>
      </c>
      <c r="F2198" s="6">
        <f>IF('FUENTE NO BORRAR'!F2216="","",IF('FUENTE NO BORRAR'!$A2216&lt;&gt;"Resultado total",('FUENTE NO BORRAR'!F2216),""))</f>
        <v>0</v>
      </c>
      <c r="G2198" s="6">
        <f>IF('FUENTE NO BORRAR'!G2216="","",IF('FUENTE NO BORRAR'!$A2216&lt;&gt;"Resultado total",('FUENTE NO BORRAR'!G2216),""))</f>
        <v>0</v>
      </c>
      <c r="H2198" s="6">
        <f>IF('FUENTE NO BORRAR'!H2216="","",IF('FUENTE NO BORRAR'!$A2216&lt;&gt;"Resultado total",('FUENTE NO BORRAR'!H2216),""))</f>
        <v>0</v>
      </c>
      <c r="I2198" s="6">
        <f>IF('FUENTE NO BORRAR'!I2216="","",IF('FUENTE NO BORRAR'!$A2216&lt;&gt;"Resultado total",('FUENTE NO BORRAR'!I2216),""))</f>
        <v>0</v>
      </c>
    </row>
    <row r="2199" spans="1:9" x14ac:dyDescent="0.2">
      <c r="A2199" s="5" t="str">
        <f>IF('FUENTE NO BORRAR'!A2217="","",(IF('FUENTE NO BORRAR'!A2217&lt;&gt;"Resultado total",'FUENTE NO BORRAR'!A2217,"")))</f>
        <v/>
      </c>
      <c r="B2199" s="5" t="str">
        <f>IF('FUENTE NO BORRAR'!B2217="","",'FUENTE NO BORRAR'!B2217)</f>
        <v/>
      </c>
      <c r="C2199" s="5" t="str">
        <f>IF('FUENTE NO BORRAR'!C2217="","",'FUENTE NO BORRAR'!C2217)</f>
        <v/>
      </c>
      <c r="D2199" s="5" t="str">
        <f>IF('FUENTE NO BORRAR'!D2217="","",'FUENTE NO BORRAR'!D2217)</f>
        <v/>
      </c>
      <c r="E2199" s="5" t="str">
        <f>IF('FUENTE NO BORRAR'!E2217="","",'FUENTE NO BORRAR'!E2217)</f>
        <v/>
      </c>
      <c r="F2199" s="6">
        <f>IF('FUENTE NO BORRAR'!F2217="","",IF('FUENTE NO BORRAR'!$A2217&lt;&gt;"Resultado total",('FUENTE NO BORRAR'!F2217),""))</f>
        <v>242837.26</v>
      </c>
      <c r="G2199" s="6">
        <f>IF('FUENTE NO BORRAR'!G2217="","",IF('FUENTE NO BORRAR'!$A2217&lt;&gt;"Resultado total",('FUENTE NO BORRAR'!G2217),""))</f>
        <v>242837.26</v>
      </c>
      <c r="H2199" s="6">
        <f>IF('FUENTE NO BORRAR'!H2217="","",IF('FUENTE NO BORRAR'!$A2217&lt;&gt;"Resultado total",('FUENTE NO BORRAR'!H2217),""))</f>
        <v>171839.46</v>
      </c>
      <c r="I2199" s="6">
        <f>IF('FUENTE NO BORRAR'!I2217="","",IF('FUENTE NO BORRAR'!$A2217&lt;&gt;"Resultado total",('FUENTE NO BORRAR'!I2217),""))</f>
        <v>0</v>
      </c>
    </row>
    <row r="2200" spans="1:9" x14ac:dyDescent="0.2">
      <c r="A2200" s="5" t="str">
        <f>IF('FUENTE NO BORRAR'!A2218="","",(IF('FUENTE NO BORRAR'!A2218&lt;&gt;"Resultado total",'FUENTE NO BORRAR'!A2218,"")))</f>
        <v/>
      </c>
      <c r="B2200" s="5" t="str">
        <f>IF('FUENTE NO BORRAR'!B2218="","",'FUENTE NO BORRAR'!B2218)</f>
        <v/>
      </c>
      <c r="C2200" s="5" t="str">
        <f>IF('FUENTE NO BORRAR'!C2218="","",'FUENTE NO BORRAR'!C2218)</f>
        <v/>
      </c>
      <c r="D2200" s="5" t="str">
        <f>IF('FUENTE NO BORRAR'!D2218="","",'FUENTE NO BORRAR'!D2218)</f>
        <v/>
      </c>
      <c r="E2200" s="5" t="str">
        <f>IF('FUENTE NO BORRAR'!E2218="","",'FUENTE NO BORRAR'!E2218)</f>
        <v/>
      </c>
      <c r="F2200" s="6">
        <f>IF('FUENTE NO BORRAR'!F2218="","",IF('FUENTE NO BORRAR'!$A2218&lt;&gt;"Resultado total",('FUENTE NO BORRAR'!F2218),""))</f>
        <v>591.6</v>
      </c>
      <c r="G2200" s="6">
        <f>IF('FUENTE NO BORRAR'!G2218="","",IF('FUENTE NO BORRAR'!$A2218&lt;&gt;"Resultado total",('FUENTE NO BORRAR'!G2218),""))</f>
        <v>591.6</v>
      </c>
      <c r="H2200" s="6">
        <f>IF('FUENTE NO BORRAR'!H2218="","",IF('FUENTE NO BORRAR'!$A2218&lt;&gt;"Resultado total",('FUENTE NO BORRAR'!H2218),""))</f>
        <v>591.6</v>
      </c>
      <c r="I2200" s="6">
        <f>IF('FUENTE NO BORRAR'!I2218="","",IF('FUENTE NO BORRAR'!$A2218&lt;&gt;"Resultado total",('FUENTE NO BORRAR'!I2218),""))</f>
        <v>0</v>
      </c>
    </row>
    <row r="2201" spans="1:9" x14ac:dyDescent="0.2">
      <c r="A2201" s="5" t="str">
        <f>IF('FUENTE NO BORRAR'!A2219="","",(IF('FUENTE NO BORRAR'!A2219&lt;&gt;"Resultado total",'FUENTE NO BORRAR'!A2219,"")))</f>
        <v/>
      </c>
      <c r="B2201" s="5" t="str">
        <f>IF('FUENTE NO BORRAR'!B2219="","",'FUENTE NO BORRAR'!B2219)</f>
        <v/>
      </c>
      <c r="C2201" s="5" t="str">
        <f>IF('FUENTE NO BORRAR'!C2219="","",'FUENTE NO BORRAR'!C2219)</f>
        <v/>
      </c>
      <c r="D2201" s="5" t="str">
        <f>IF('FUENTE NO BORRAR'!D2219="","",'FUENTE NO BORRAR'!D2219)</f>
        <v/>
      </c>
      <c r="E2201" s="5" t="str">
        <f>IF('FUENTE NO BORRAR'!E2219="","",'FUENTE NO BORRAR'!E2219)</f>
        <v/>
      </c>
      <c r="F2201" s="6">
        <f>IF('FUENTE NO BORRAR'!F2219="","",IF('FUENTE NO BORRAR'!$A2219&lt;&gt;"Resultado total",('FUENTE NO BORRAR'!F2219),""))</f>
        <v>5451.88</v>
      </c>
      <c r="G2201" s="6">
        <f>IF('FUENTE NO BORRAR'!G2219="","",IF('FUENTE NO BORRAR'!$A2219&lt;&gt;"Resultado total",('FUENTE NO BORRAR'!G2219),""))</f>
        <v>5451.88</v>
      </c>
      <c r="H2201" s="6">
        <f>IF('FUENTE NO BORRAR'!H2219="","",IF('FUENTE NO BORRAR'!$A2219&lt;&gt;"Resultado total",('FUENTE NO BORRAR'!H2219),""))</f>
        <v>5451.88</v>
      </c>
      <c r="I2201" s="6">
        <f>IF('FUENTE NO BORRAR'!I2219="","",IF('FUENTE NO BORRAR'!$A2219&lt;&gt;"Resultado total",('FUENTE NO BORRAR'!I2219),""))</f>
        <v>0</v>
      </c>
    </row>
    <row r="2202" spans="1:9" x14ac:dyDescent="0.2">
      <c r="A2202" s="5" t="str">
        <f>IF('FUENTE NO BORRAR'!A2220="","",(IF('FUENTE NO BORRAR'!A2220&lt;&gt;"Resultado total",'FUENTE NO BORRAR'!A2220,"")))</f>
        <v/>
      </c>
      <c r="B2202" s="5" t="str">
        <f>IF('FUENTE NO BORRAR'!B2220="","",'FUENTE NO BORRAR'!B2220)</f>
        <v/>
      </c>
      <c r="C2202" s="5" t="str">
        <f>IF('FUENTE NO BORRAR'!C2220="","",'FUENTE NO BORRAR'!C2220)</f>
        <v/>
      </c>
      <c r="D2202" s="5" t="str">
        <f>IF('FUENTE NO BORRAR'!D2220="","",'FUENTE NO BORRAR'!D2220)</f>
        <v/>
      </c>
      <c r="E2202" s="5" t="str">
        <f>IF('FUENTE NO BORRAR'!E2220="","",'FUENTE NO BORRAR'!E2220)</f>
        <v/>
      </c>
      <c r="F2202" s="6">
        <f>IF('FUENTE NO BORRAR'!F2220="","",IF('FUENTE NO BORRAR'!$A2220&lt;&gt;"Resultado total",('FUENTE NO BORRAR'!F2220),""))</f>
        <v>2190</v>
      </c>
      <c r="G2202" s="6">
        <f>IF('FUENTE NO BORRAR'!G2220="","",IF('FUENTE NO BORRAR'!$A2220&lt;&gt;"Resultado total",('FUENTE NO BORRAR'!G2220),""))</f>
        <v>2190</v>
      </c>
      <c r="H2202" s="6">
        <f>IF('FUENTE NO BORRAR'!H2220="","",IF('FUENTE NO BORRAR'!$A2220&lt;&gt;"Resultado total",('FUENTE NO BORRAR'!H2220),""))</f>
        <v>2190</v>
      </c>
      <c r="I2202" s="6">
        <f>IF('FUENTE NO BORRAR'!I2220="","",IF('FUENTE NO BORRAR'!$A2220&lt;&gt;"Resultado total",('FUENTE NO BORRAR'!I2220),""))</f>
        <v>0</v>
      </c>
    </row>
    <row r="2203" spans="1:9" x14ac:dyDescent="0.2">
      <c r="A2203" s="5" t="str">
        <f>IF('FUENTE NO BORRAR'!A2221="","",(IF('FUENTE NO BORRAR'!A2221&lt;&gt;"Resultado total",'FUENTE NO BORRAR'!A2221,"")))</f>
        <v/>
      </c>
      <c r="B2203" s="5" t="str">
        <f>IF('FUENTE NO BORRAR'!B2221="","",'FUENTE NO BORRAR'!B2221)</f>
        <v/>
      </c>
      <c r="C2203" s="5" t="str">
        <f>IF('FUENTE NO BORRAR'!C2221="","",'FUENTE NO BORRAR'!C2221)</f>
        <v/>
      </c>
      <c r="D2203" s="5" t="str">
        <f>IF('FUENTE NO BORRAR'!D2221="","",'FUENTE NO BORRAR'!D2221)</f>
        <v/>
      </c>
      <c r="E2203" s="5" t="str">
        <f>IF('FUENTE NO BORRAR'!E2221="","",'FUENTE NO BORRAR'!E2221)</f>
        <v/>
      </c>
      <c r="F2203" s="6">
        <f>IF('FUENTE NO BORRAR'!F2221="","",IF('FUENTE NO BORRAR'!$A2221&lt;&gt;"Resultado total",('FUENTE NO BORRAR'!F2221),""))</f>
        <v>0</v>
      </c>
      <c r="G2203" s="6">
        <f>IF('FUENTE NO BORRAR'!G2221="","",IF('FUENTE NO BORRAR'!$A2221&lt;&gt;"Resultado total",('FUENTE NO BORRAR'!G2221),""))</f>
        <v>0</v>
      </c>
      <c r="H2203" s="6">
        <f>IF('FUENTE NO BORRAR'!H2221="","",IF('FUENTE NO BORRAR'!$A2221&lt;&gt;"Resultado total",('FUENTE NO BORRAR'!H2221),""))</f>
        <v>0</v>
      </c>
      <c r="I2203" s="6">
        <f>IF('FUENTE NO BORRAR'!I2221="","",IF('FUENTE NO BORRAR'!$A2221&lt;&gt;"Resultado total",('FUENTE NO BORRAR'!I2221),""))</f>
        <v>0</v>
      </c>
    </row>
    <row r="2204" spans="1:9" x14ac:dyDescent="0.2">
      <c r="A2204" s="5" t="str">
        <f>IF('FUENTE NO BORRAR'!A2222="","",(IF('FUENTE NO BORRAR'!A2222&lt;&gt;"Resultado total",'FUENTE NO BORRAR'!A2222,"")))</f>
        <v/>
      </c>
      <c r="B2204" s="5" t="str">
        <f>IF('FUENTE NO BORRAR'!B2222="","",'FUENTE NO BORRAR'!B2222)</f>
        <v/>
      </c>
      <c r="C2204" s="5" t="str">
        <f>IF('FUENTE NO BORRAR'!C2222="","",'FUENTE NO BORRAR'!C2222)</f>
        <v/>
      </c>
      <c r="D2204" s="5" t="str">
        <f>IF('FUENTE NO BORRAR'!D2222="","",'FUENTE NO BORRAR'!D2222)</f>
        <v/>
      </c>
      <c r="E2204" s="5" t="str">
        <f>IF('FUENTE NO BORRAR'!E2222="","",'FUENTE NO BORRAR'!E2222)</f>
        <v/>
      </c>
      <c r="F2204" s="6">
        <f>IF('FUENTE NO BORRAR'!F2222="","",IF('FUENTE NO BORRAR'!$A2222&lt;&gt;"Resultado total",('FUENTE NO BORRAR'!F2222),""))</f>
        <v>213168.56</v>
      </c>
      <c r="G2204" s="6">
        <f>IF('FUENTE NO BORRAR'!G2222="","",IF('FUENTE NO BORRAR'!$A2222&lt;&gt;"Resultado total",('FUENTE NO BORRAR'!G2222),""))</f>
        <v>213168.56</v>
      </c>
      <c r="H2204" s="6">
        <f>IF('FUENTE NO BORRAR'!H2222="","",IF('FUENTE NO BORRAR'!$A2222&lt;&gt;"Resultado total",('FUENTE NO BORRAR'!H2222),""))</f>
        <v>165934.88</v>
      </c>
      <c r="I2204" s="6">
        <f>IF('FUENTE NO BORRAR'!I2222="","",IF('FUENTE NO BORRAR'!$A2222&lt;&gt;"Resultado total",('FUENTE NO BORRAR'!I2222),""))</f>
        <v>0</v>
      </c>
    </row>
    <row r="2205" spans="1:9" x14ac:dyDescent="0.2">
      <c r="A2205" s="5" t="str">
        <f>IF('FUENTE NO BORRAR'!A2223="","",(IF('FUENTE NO BORRAR'!A2223&lt;&gt;"Resultado total",'FUENTE NO BORRAR'!A2223,"")))</f>
        <v/>
      </c>
      <c r="B2205" s="5" t="str">
        <f>IF('FUENTE NO BORRAR'!B2223="","",'FUENTE NO BORRAR'!B2223)</f>
        <v/>
      </c>
      <c r="C2205" s="5" t="str">
        <f>IF('FUENTE NO BORRAR'!C2223="","",'FUENTE NO BORRAR'!C2223)</f>
        <v/>
      </c>
      <c r="D2205" s="5" t="str">
        <f>IF('FUENTE NO BORRAR'!D2223="","",'FUENTE NO BORRAR'!D2223)</f>
        <v/>
      </c>
      <c r="E2205" s="5" t="str">
        <f>IF('FUENTE NO BORRAR'!E2223="","",'FUENTE NO BORRAR'!E2223)</f>
        <v/>
      </c>
      <c r="F2205" s="6">
        <f>IF('FUENTE NO BORRAR'!F2223="","",IF('FUENTE NO BORRAR'!$A2223&lt;&gt;"Resultado total",('FUENTE NO BORRAR'!F2223),""))</f>
        <v>3181.51</v>
      </c>
      <c r="G2205" s="6">
        <f>IF('FUENTE NO BORRAR'!G2223="","",IF('FUENTE NO BORRAR'!$A2223&lt;&gt;"Resultado total",('FUENTE NO BORRAR'!G2223),""))</f>
        <v>3181.51</v>
      </c>
      <c r="H2205" s="6">
        <f>IF('FUENTE NO BORRAR'!H2223="","",IF('FUENTE NO BORRAR'!$A2223&lt;&gt;"Resultado total",('FUENTE NO BORRAR'!H2223),""))</f>
        <v>3181.51</v>
      </c>
      <c r="I2205" s="6">
        <f>IF('FUENTE NO BORRAR'!I2223="","",IF('FUENTE NO BORRAR'!$A2223&lt;&gt;"Resultado total",('FUENTE NO BORRAR'!I2223),""))</f>
        <v>0</v>
      </c>
    </row>
    <row r="2206" spans="1:9" x14ac:dyDescent="0.2">
      <c r="A2206" s="5" t="str">
        <f>IF('FUENTE NO BORRAR'!A2224="","",(IF('FUENTE NO BORRAR'!A2224&lt;&gt;"Resultado total",'FUENTE NO BORRAR'!A2224,"")))</f>
        <v/>
      </c>
      <c r="B2206" s="5" t="str">
        <f>IF('FUENTE NO BORRAR'!B2224="","",'FUENTE NO BORRAR'!B2224)</f>
        <v/>
      </c>
      <c r="C2206" s="5" t="str">
        <f>IF('FUENTE NO BORRAR'!C2224="","",'FUENTE NO BORRAR'!C2224)</f>
        <v/>
      </c>
      <c r="D2206" s="5" t="str">
        <f>IF('FUENTE NO BORRAR'!D2224="","",'FUENTE NO BORRAR'!D2224)</f>
        <v/>
      </c>
      <c r="E2206" s="5" t="str">
        <f>IF('FUENTE NO BORRAR'!E2224="","",'FUENTE NO BORRAR'!E2224)</f>
        <v/>
      </c>
      <c r="F2206" s="6">
        <f>IF('FUENTE NO BORRAR'!F2224="","",IF('FUENTE NO BORRAR'!$A2224&lt;&gt;"Resultado total",('FUENTE NO BORRAR'!F2224),""))</f>
        <v>48207.48</v>
      </c>
      <c r="G2206" s="6">
        <f>IF('FUENTE NO BORRAR'!G2224="","",IF('FUENTE NO BORRAR'!$A2224&lt;&gt;"Resultado total",('FUENTE NO BORRAR'!G2224),""))</f>
        <v>48207.48</v>
      </c>
      <c r="H2206" s="6">
        <f>IF('FUENTE NO BORRAR'!H2224="","",IF('FUENTE NO BORRAR'!$A2224&lt;&gt;"Resultado total",('FUENTE NO BORRAR'!H2224),""))</f>
        <v>48207.48</v>
      </c>
      <c r="I2206" s="6">
        <f>IF('FUENTE NO BORRAR'!I2224="","",IF('FUENTE NO BORRAR'!$A2224&lt;&gt;"Resultado total",('FUENTE NO BORRAR'!I2224),""))</f>
        <v>0</v>
      </c>
    </row>
    <row r="2207" spans="1:9" x14ac:dyDescent="0.2">
      <c r="A2207" s="5" t="str">
        <f>IF('FUENTE NO BORRAR'!A2225="","",(IF('FUENTE NO BORRAR'!A2225&lt;&gt;"Resultado total",'FUENTE NO BORRAR'!A2225,"")))</f>
        <v/>
      </c>
      <c r="B2207" s="5" t="str">
        <f>IF('FUENTE NO BORRAR'!B2225="","",'FUENTE NO BORRAR'!B2225)</f>
        <v/>
      </c>
      <c r="C2207" s="5" t="str">
        <f>IF('FUENTE NO BORRAR'!C2225="","",'FUENTE NO BORRAR'!C2225)</f>
        <v/>
      </c>
      <c r="D2207" s="5" t="str">
        <f>IF('FUENTE NO BORRAR'!D2225="","",'FUENTE NO BORRAR'!D2225)</f>
        <v/>
      </c>
      <c r="E2207" s="5" t="str">
        <f>IF('FUENTE NO BORRAR'!E2225="","",'FUENTE NO BORRAR'!E2225)</f>
        <v/>
      </c>
      <c r="F2207" s="6">
        <f>IF('FUENTE NO BORRAR'!F2225="","",IF('FUENTE NO BORRAR'!$A2225&lt;&gt;"Resultado total",('FUENTE NO BORRAR'!F2225),""))</f>
        <v>298479.40000000002</v>
      </c>
      <c r="G2207" s="6">
        <f>IF('FUENTE NO BORRAR'!G2225="","",IF('FUENTE NO BORRAR'!$A2225&lt;&gt;"Resultado total",('FUENTE NO BORRAR'!G2225),""))</f>
        <v>298479.40000000002</v>
      </c>
      <c r="H2207" s="6">
        <f>IF('FUENTE NO BORRAR'!H2225="","",IF('FUENTE NO BORRAR'!$A2225&lt;&gt;"Resultado total",('FUENTE NO BORRAR'!H2225),""))</f>
        <v>298479.40000000002</v>
      </c>
      <c r="I2207" s="6">
        <f>IF('FUENTE NO BORRAR'!I2225="","",IF('FUENTE NO BORRAR'!$A2225&lt;&gt;"Resultado total",('FUENTE NO BORRAR'!I2225),""))</f>
        <v>0</v>
      </c>
    </row>
    <row r="2208" spans="1:9" x14ac:dyDescent="0.2">
      <c r="A2208" s="5" t="str">
        <f>IF('FUENTE NO BORRAR'!A2226="","",(IF('FUENTE NO BORRAR'!A2226&lt;&gt;"Resultado total",'FUENTE NO BORRAR'!A2226,"")))</f>
        <v/>
      </c>
      <c r="B2208" s="5" t="str">
        <f>IF('FUENTE NO BORRAR'!B2226="","",'FUENTE NO BORRAR'!B2226)</f>
        <v/>
      </c>
      <c r="C2208" s="5" t="str">
        <f>IF('FUENTE NO BORRAR'!C2226="","",'FUENTE NO BORRAR'!C2226)</f>
        <v/>
      </c>
      <c r="D2208" s="5" t="str">
        <f>IF('FUENTE NO BORRAR'!D2226="","",'FUENTE NO BORRAR'!D2226)</f>
        <v/>
      </c>
      <c r="E2208" s="5" t="str">
        <f>IF('FUENTE NO BORRAR'!E2226="","",'FUENTE NO BORRAR'!E2226)</f>
        <v/>
      </c>
      <c r="F2208" s="6">
        <f>IF('FUENTE NO BORRAR'!F2226="","",IF('FUENTE NO BORRAR'!$A2226&lt;&gt;"Resultado total",('FUENTE NO BORRAR'!F2226),""))</f>
        <v>70870.2</v>
      </c>
      <c r="G2208" s="6">
        <f>IF('FUENTE NO BORRAR'!G2226="","",IF('FUENTE NO BORRAR'!$A2226&lt;&gt;"Resultado total",('FUENTE NO BORRAR'!G2226),""))</f>
        <v>70870.2</v>
      </c>
      <c r="H2208" s="6">
        <f>IF('FUENTE NO BORRAR'!H2226="","",IF('FUENTE NO BORRAR'!$A2226&lt;&gt;"Resultado total",('FUENTE NO BORRAR'!H2226),""))</f>
        <v>70870.2</v>
      </c>
      <c r="I2208" s="6">
        <f>IF('FUENTE NO BORRAR'!I2226="","",IF('FUENTE NO BORRAR'!$A2226&lt;&gt;"Resultado total",('FUENTE NO BORRAR'!I2226),""))</f>
        <v>0</v>
      </c>
    </row>
    <row r="2209" spans="1:9" x14ac:dyDescent="0.2">
      <c r="A2209" s="5" t="str">
        <f>IF('FUENTE NO BORRAR'!A2227="","",(IF('FUENTE NO BORRAR'!A2227&lt;&gt;"Resultado total",'FUENTE NO BORRAR'!A2227,"")))</f>
        <v/>
      </c>
      <c r="B2209" s="5" t="str">
        <f>IF('FUENTE NO BORRAR'!B2227="","",'FUENTE NO BORRAR'!B2227)</f>
        <v/>
      </c>
      <c r="C2209" s="5" t="str">
        <f>IF('FUENTE NO BORRAR'!C2227="","",'FUENTE NO BORRAR'!C2227)</f>
        <v/>
      </c>
      <c r="D2209" s="5" t="str">
        <f>IF('FUENTE NO BORRAR'!D2227="","",'FUENTE NO BORRAR'!D2227)</f>
        <v/>
      </c>
      <c r="E2209" s="5" t="str">
        <f>IF('FUENTE NO BORRAR'!E2227="","",'FUENTE NO BORRAR'!E2227)</f>
        <v/>
      </c>
      <c r="F2209" s="6">
        <f>IF('FUENTE NO BORRAR'!F2227="","",IF('FUENTE NO BORRAR'!$A2227&lt;&gt;"Resultado total",('FUENTE NO BORRAR'!F2227),""))</f>
        <v>1399.71</v>
      </c>
      <c r="G2209" s="6">
        <f>IF('FUENTE NO BORRAR'!G2227="","",IF('FUENTE NO BORRAR'!$A2227&lt;&gt;"Resultado total",('FUENTE NO BORRAR'!G2227),""))</f>
        <v>1399.71</v>
      </c>
      <c r="H2209" s="6">
        <f>IF('FUENTE NO BORRAR'!H2227="","",IF('FUENTE NO BORRAR'!$A2227&lt;&gt;"Resultado total",('FUENTE NO BORRAR'!H2227),""))</f>
        <v>1399.71</v>
      </c>
      <c r="I2209" s="6">
        <f>IF('FUENTE NO BORRAR'!I2227="","",IF('FUENTE NO BORRAR'!$A2227&lt;&gt;"Resultado total",('FUENTE NO BORRAR'!I2227),""))</f>
        <v>0</v>
      </c>
    </row>
    <row r="2210" spans="1:9" x14ac:dyDescent="0.2">
      <c r="A2210" s="5" t="str">
        <f>IF('FUENTE NO BORRAR'!A2228="","",(IF('FUENTE NO BORRAR'!A2228&lt;&gt;"Resultado total",'FUENTE NO BORRAR'!A2228,"")))</f>
        <v/>
      </c>
      <c r="B2210" s="5" t="str">
        <f>IF('FUENTE NO BORRAR'!B2228="","",'FUENTE NO BORRAR'!B2228)</f>
        <v/>
      </c>
      <c r="C2210" s="5" t="str">
        <f>IF('FUENTE NO BORRAR'!C2228="","",'FUENTE NO BORRAR'!C2228)</f>
        <v/>
      </c>
      <c r="D2210" s="5" t="str">
        <f>IF('FUENTE NO BORRAR'!D2228="","",'FUENTE NO BORRAR'!D2228)</f>
        <v/>
      </c>
      <c r="E2210" s="5" t="str">
        <f>IF('FUENTE NO BORRAR'!E2228="","",'FUENTE NO BORRAR'!E2228)</f>
        <v/>
      </c>
      <c r="F2210" s="6">
        <f>IF('FUENTE NO BORRAR'!F2228="","",IF('FUENTE NO BORRAR'!$A2228&lt;&gt;"Resultado total",('FUENTE NO BORRAR'!F2228),""))</f>
        <v>399.01</v>
      </c>
      <c r="G2210" s="6">
        <f>IF('FUENTE NO BORRAR'!G2228="","",IF('FUENTE NO BORRAR'!$A2228&lt;&gt;"Resultado total",('FUENTE NO BORRAR'!G2228),""))</f>
        <v>399.01</v>
      </c>
      <c r="H2210" s="6">
        <f>IF('FUENTE NO BORRAR'!H2228="","",IF('FUENTE NO BORRAR'!$A2228&lt;&gt;"Resultado total",('FUENTE NO BORRAR'!H2228),""))</f>
        <v>399.01</v>
      </c>
      <c r="I2210" s="6">
        <f>IF('FUENTE NO BORRAR'!I2228="","",IF('FUENTE NO BORRAR'!$A2228&lt;&gt;"Resultado total",('FUENTE NO BORRAR'!I2228),""))</f>
        <v>0</v>
      </c>
    </row>
    <row r="2211" spans="1:9" x14ac:dyDescent="0.2">
      <c r="A2211" s="5" t="str">
        <f>IF('FUENTE NO BORRAR'!A2229="","",(IF('FUENTE NO BORRAR'!A2229&lt;&gt;"Resultado total",'FUENTE NO BORRAR'!A2229,"")))</f>
        <v/>
      </c>
      <c r="B2211" s="5" t="str">
        <f>IF('FUENTE NO BORRAR'!B2229="","",'FUENTE NO BORRAR'!B2229)</f>
        <v/>
      </c>
      <c r="C2211" s="5" t="str">
        <f>IF('FUENTE NO BORRAR'!C2229="","",'FUENTE NO BORRAR'!C2229)</f>
        <v/>
      </c>
      <c r="D2211" s="5" t="str">
        <f>IF('FUENTE NO BORRAR'!D2229="","",'FUENTE NO BORRAR'!D2229)</f>
        <v/>
      </c>
      <c r="E2211" s="5" t="str">
        <f>IF('FUENTE NO BORRAR'!E2229="","",'FUENTE NO BORRAR'!E2229)</f>
        <v/>
      </c>
      <c r="F2211" s="6">
        <f>IF('FUENTE NO BORRAR'!F2229="","",IF('FUENTE NO BORRAR'!$A2229&lt;&gt;"Resultado total",('FUENTE NO BORRAR'!F2229),""))</f>
        <v>16.010000000000002</v>
      </c>
      <c r="G2211" s="6">
        <f>IF('FUENTE NO BORRAR'!G2229="","",IF('FUENTE NO BORRAR'!$A2229&lt;&gt;"Resultado total",('FUENTE NO BORRAR'!G2229),""))</f>
        <v>16.010000000000002</v>
      </c>
      <c r="H2211" s="6">
        <f>IF('FUENTE NO BORRAR'!H2229="","",IF('FUENTE NO BORRAR'!$A2229&lt;&gt;"Resultado total",('FUENTE NO BORRAR'!H2229),""))</f>
        <v>16.010000000000002</v>
      </c>
      <c r="I2211" s="6">
        <f>IF('FUENTE NO BORRAR'!I2229="","",IF('FUENTE NO BORRAR'!$A2229&lt;&gt;"Resultado total",('FUENTE NO BORRAR'!I2229),""))</f>
        <v>0</v>
      </c>
    </row>
    <row r="2212" spans="1:9" x14ac:dyDescent="0.2">
      <c r="A2212" s="5" t="str">
        <f>IF('FUENTE NO BORRAR'!A2230="","",(IF('FUENTE NO BORRAR'!A2230&lt;&gt;"Resultado total",'FUENTE NO BORRAR'!A2230,"")))</f>
        <v/>
      </c>
      <c r="B2212" s="5" t="str">
        <f>IF('FUENTE NO BORRAR'!B2230="","",'FUENTE NO BORRAR'!B2230)</f>
        <v/>
      </c>
      <c r="C2212" s="5" t="str">
        <f>IF('FUENTE NO BORRAR'!C2230="","",'FUENTE NO BORRAR'!C2230)</f>
        <v/>
      </c>
      <c r="D2212" s="5" t="str">
        <f>IF('FUENTE NO BORRAR'!D2230="","",'FUENTE NO BORRAR'!D2230)</f>
        <v/>
      </c>
      <c r="E2212" s="5" t="str">
        <f>IF('FUENTE NO BORRAR'!E2230="","",'FUENTE NO BORRAR'!E2230)</f>
        <v/>
      </c>
      <c r="F2212" s="6">
        <f>IF('FUENTE NO BORRAR'!F2230="","",IF('FUENTE NO BORRAR'!$A2230&lt;&gt;"Resultado total",('FUENTE NO BORRAR'!F2230),""))</f>
        <v>4408</v>
      </c>
      <c r="G2212" s="6">
        <f>IF('FUENTE NO BORRAR'!G2230="","",IF('FUENTE NO BORRAR'!$A2230&lt;&gt;"Resultado total",('FUENTE NO BORRAR'!G2230),""))</f>
        <v>4408</v>
      </c>
      <c r="H2212" s="6">
        <f>IF('FUENTE NO BORRAR'!H2230="","",IF('FUENTE NO BORRAR'!$A2230&lt;&gt;"Resultado total",('FUENTE NO BORRAR'!H2230),""))</f>
        <v>4408</v>
      </c>
      <c r="I2212" s="6">
        <f>IF('FUENTE NO BORRAR'!I2230="","",IF('FUENTE NO BORRAR'!$A2230&lt;&gt;"Resultado total",('FUENTE NO BORRAR'!I2230),""))</f>
        <v>0</v>
      </c>
    </row>
    <row r="2213" spans="1:9" x14ac:dyDescent="0.2">
      <c r="A2213" s="5" t="str">
        <f>IF('FUENTE NO BORRAR'!A2231="","",(IF('FUENTE NO BORRAR'!A2231&lt;&gt;"Resultado total",'FUENTE NO BORRAR'!A2231,"")))</f>
        <v/>
      </c>
      <c r="B2213" s="5" t="str">
        <f>IF('FUENTE NO BORRAR'!B2231="","",'FUENTE NO BORRAR'!B2231)</f>
        <v/>
      </c>
      <c r="C2213" s="5" t="str">
        <f>IF('FUENTE NO BORRAR'!C2231="","",'FUENTE NO BORRAR'!C2231)</f>
        <v/>
      </c>
      <c r="D2213" s="5" t="str">
        <f>IF('FUENTE NO BORRAR'!D2231="","",'FUENTE NO BORRAR'!D2231)</f>
        <v/>
      </c>
      <c r="E2213" s="5" t="str">
        <f>IF('FUENTE NO BORRAR'!E2231="","",'FUENTE NO BORRAR'!E2231)</f>
        <v/>
      </c>
      <c r="F2213" s="6">
        <f>IF('FUENTE NO BORRAR'!F2231="","",IF('FUENTE NO BORRAR'!$A2231&lt;&gt;"Resultado total",('FUENTE NO BORRAR'!F2231),""))</f>
        <v>9133.65</v>
      </c>
      <c r="G2213" s="6">
        <f>IF('FUENTE NO BORRAR'!G2231="","",IF('FUENTE NO BORRAR'!$A2231&lt;&gt;"Resultado total",('FUENTE NO BORRAR'!G2231),""))</f>
        <v>9133.65</v>
      </c>
      <c r="H2213" s="6">
        <f>IF('FUENTE NO BORRAR'!H2231="","",IF('FUENTE NO BORRAR'!$A2231&lt;&gt;"Resultado total",('FUENTE NO BORRAR'!H2231),""))</f>
        <v>9133.65</v>
      </c>
      <c r="I2213" s="6">
        <f>IF('FUENTE NO BORRAR'!I2231="","",IF('FUENTE NO BORRAR'!$A2231&lt;&gt;"Resultado total",('FUENTE NO BORRAR'!I2231),""))</f>
        <v>0</v>
      </c>
    </row>
    <row r="2214" spans="1:9" x14ac:dyDescent="0.2">
      <c r="A2214" s="5" t="str">
        <f>IF('FUENTE NO BORRAR'!A2232="","",(IF('FUENTE NO BORRAR'!A2232&lt;&gt;"Resultado total",'FUENTE NO BORRAR'!A2232,"")))</f>
        <v/>
      </c>
      <c r="B2214" s="5" t="str">
        <f>IF('FUENTE NO BORRAR'!B2232="","",'FUENTE NO BORRAR'!B2232)</f>
        <v/>
      </c>
      <c r="C2214" s="5" t="str">
        <f>IF('FUENTE NO BORRAR'!C2232="","",'FUENTE NO BORRAR'!C2232)</f>
        <v/>
      </c>
      <c r="D2214" s="5" t="str">
        <f>IF('FUENTE NO BORRAR'!D2232="","",'FUENTE NO BORRAR'!D2232)</f>
        <v/>
      </c>
      <c r="E2214" s="5" t="str">
        <f>IF('FUENTE NO BORRAR'!E2232="","",'FUENTE NO BORRAR'!E2232)</f>
        <v/>
      </c>
      <c r="F2214" s="6">
        <f>IF('FUENTE NO BORRAR'!F2232="","",IF('FUENTE NO BORRAR'!$A2232&lt;&gt;"Resultado total",('FUENTE NO BORRAR'!F2232),""))</f>
        <v>905.04</v>
      </c>
      <c r="G2214" s="6">
        <f>IF('FUENTE NO BORRAR'!G2232="","",IF('FUENTE NO BORRAR'!$A2232&lt;&gt;"Resultado total",('FUENTE NO BORRAR'!G2232),""))</f>
        <v>905.04</v>
      </c>
      <c r="H2214" s="6">
        <f>IF('FUENTE NO BORRAR'!H2232="","",IF('FUENTE NO BORRAR'!$A2232&lt;&gt;"Resultado total",('FUENTE NO BORRAR'!H2232),""))</f>
        <v>905.04</v>
      </c>
      <c r="I2214" s="6">
        <f>IF('FUENTE NO BORRAR'!I2232="","",IF('FUENTE NO BORRAR'!$A2232&lt;&gt;"Resultado total",('FUENTE NO BORRAR'!I2232),""))</f>
        <v>0</v>
      </c>
    </row>
    <row r="2215" spans="1:9" x14ac:dyDescent="0.2">
      <c r="A2215" s="5" t="str">
        <f>IF('FUENTE NO BORRAR'!A2233="","",(IF('FUENTE NO BORRAR'!A2233&lt;&gt;"Resultado total",'FUENTE NO BORRAR'!A2233,"")))</f>
        <v/>
      </c>
      <c r="B2215" s="5" t="str">
        <f>IF('FUENTE NO BORRAR'!B2233="","",'FUENTE NO BORRAR'!B2233)</f>
        <v/>
      </c>
      <c r="C2215" s="5" t="str">
        <f>IF('FUENTE NO BORRAR'!C2233="","",'FUENTE NO BORRAR'!C2233)</f>
        <v/>
      </c>
      <c r="D2215" s="5" t="str">
        <f>IF('FUENTE NO BORRAR'!D2233="","",'FUENTE NO BORRAR'!D2233)</f>
        <v/>
      </c>
      <c r="E2215" s="5" t="str">
        <f>IF('FUENTE NO BORRAR'!E2233="","",'FUENTE NO BORRAR'!E2233)</f>
        <v/>
      </c>
      <c r="F2215" s="6">
        <f>IF('FUENTE NO BORRAR'!F2233="","",IF('FUENTE NO BORRAR'!$A2233&lt;&gt;"Resultado total",('FUENTE NO BORRAR'!F2233),""))</f>
        <v>0</v>
      </c>
      <c r="G2215" s="6">
        <f>IF('FUENTE NO BORRAR'!G2233="","",IF('FUENTE NO BORRAR'!$A2233&lt;&gt;"Resultado total",('FUENTE NO BORRAR'!G2233),""))</f>
        <v>0</v>
      </c>
      <c r="H2215" s="6">
        <f>IF('FUENTE NO BORRAR'!H2233="","",IF('FUENTE NO BORRAR'!$A2233&lt;&gt;"Resultado total",('FUENTE NO BORRAR'!H2233),""))</f>
        <v>0</v>
      </c>
      <c r="I2215" s="6">
        <f>IF('FUENTE NO BORRAR'!I2233="","",IF('FUENTE NO BORRAR'!$A2233&lt;&gt;"Resultado total",('FUENTE NO BORRAR'!I2233),""))</f>
        <v>0</v>
      </c>
    </row>
    <row r="2216" spans="1:9" x14ac:dyDescent="0.2">
      <c r="A2216" s="5" t="str">
        <f>IF('FUENTE NO BORRAR'!A2234="","",(IF('FUENTE NO BORRAR'!A2234&lt;&gt;"Resultado total",'FUENTE NO BORRAR'!A2234,"")))</f>
        <v/>
      </c>
      <c r="B2216" s="5" t="str">
        <f>IF('FUENTE NO BORRAR'!B2234="","",'FUENTE NO BORRAR'!B2234)</f>
        <v/>
      </c>
      <c r="C2216" s="5" t="str">
        <f>IF('FUENTE NO BORRAR'!C2234="","",'FUENTE NO BORRAR'!C2234)</f>
        <v/>
      </c>
      <c r="D2216" s="5" t="str">
        <f>IF('FUENTE NO BORRAR'!D2234="","",'FUENTE NO BORRAR'!D2234)</f>
        <v/>
      </c>
      <c r="E2216" s="5" t="str">
        <f>IF('FUENTE NO BORRAR'!E2234="","",'FUENTE NO BORRAR'!E2234)</f>
        <v/>
      </c>
      <c r="F2216" s="6">
        <f>IF('FUENTE NO BORRAR'!F2234="","",IF('FUENTE NO BORRAR'!$A2234&lt;&gt;"Resultado total",('FUENTE NO BORRAR'!F2234),""))</f>
        <v>63567.27</v>
      </c>
      <c r="G2216" s="6">
        <f>IF('FUENTE NO BORRAR'!G2234="","",IF('FUENTE NO BORRAR'!$A2234&lt;&gt;"Resultado total",('FUENTE NO BORRAR'!G2234),""))</f>
        <v>63567.27</v>
      </c>
      <c r="H2216" s="6">
        <f>IF('FUENTE NO BORRAR'!H2234="","",IF('FUENTE NO BORRAR'!$A2234&lt;&gt;"Resultado total",('FUENTE NO BORRAR'!H2234),""))</f>
        <v>35967.269999999997</v>
      </c>
      <c r="I2216" s="6">
        <f>IF('FUENTE NO BORRAR'!I2234="","",IF('FUENTE NO BORRAR'!$A2234&lt;&gt;"Resultado total",('FUENTE NO BORRAR'!I2234),""))</f>
        <v>0</v>
      </c>
    </row>
    <row r="2217" spans="1:9" x14ac:dyDescent="0.2">
      <c r="A2217" s="5" t="str">
        <f>IF('FUENTE NO BORRAR'!A2235="","",(IF('FUENTE NO BORRAR'!A2235&lt;&gt;"Resultado total",'FUENTE NO BORRAR'!A2235,"")))</f>
        <v/>
      </c>
      <c r="B2217" s="5" t="str">
        <f>IF('FUENTE NO BORRAR'!B2235="","",'FUENTE NO BORRAR'!B2235)</f>
        <v/>
      </c>
      <c r="C2217" s="5" t="str">
        <f>IF('FUENTE NO BORRAR'!C2235="","",'FUENTE NO BORRAR'!C2235)</f>
        <v/>
      </c>
      <c r="D2217" s="5" t="str">
        <f>IF('FUENTE NO BORRAR'!D2235="","",'FUENTE NO BORRAR'!D2235)</f>
        <v/>
      </c>
      <c r="E2217" s="5" t="str">
        <f>IF('FUENTE NO BORRAR'!E2235="","",'FUENTE NO BORRAR'!E2235)</f>
        <v/>
      </c>
      <c r="F2217" s="6">
        <f>IF('FUENTE NO BORRAR'!F2235="","",IF('FUENTE NO BORRAR'!$A2235&lt;&gt;"Resultado total",('FUENTE NO BORRAR'!F2235),""))</f>
        <v>0</v>
      </c>
      <c r="G2217" s="6">
        <f>IF('FUENTE NO BORRAR'!G2235="","",IF('FUENTE NO BORRAR'!$A2235&lt;&gt;"Resultado total",('FUENTE NO BORRAR'!G2235),""))</f>
        <v>0</v>
      </c>
      <c r="H2217" s="6">
        <f>IF('FUENTE NO BORRAR'!H2235="","",IF('FUENTE NO BORRAR'!$A2235&lt;&gt;"Resultado total",('FUENTE NO BORRAR'!H2235),""))</f>
        <v>0</v>
      </c>
      <c r="I2217" s="6">
        <f>IF('FUENTE NO BORRAR'!I2235="","",IF('FUENTE NO BORRAR'!$A2235&lt;&gt;"Resultado total",('FUENTE NO BORRAR'!I2235),""))</f>
        <v>0</v>
      </c>
    </row>
    <row r="2218" spans="1:9" x14ac:dyDescent="0.2">
      <c r="A2218" s="5" t="str">
        <f>IF('FUENTE NO BORRAR'!A2236="","",(IF('FUENTE NO BORRAR'!A2236&lt;&gt;"Resultado total",'FUENTE NO BORRAR'!A2236,"")))</f>
        <v/>
      </c>
      <c r="B2218" s="5" t="str">
        <f>IF('FUENTE NO BORRAR'!B2236="","",'FUENTE NO BORRAR'!B2236)</f>
        <v/>
      </c>
      <c r="C2218" s="5" t="str">
        <f>IF('FUENTE NO BORRAR'!C2236="","",'FUENTE NO BORRAR'!C2236)</f>
        <v/>
      </c>
      <c r="D2218" s="5" t="str">
        <f>IF('FUENTE NO BORRAR'!D2236="","",'FUENTE NO BORRAR'!D2236)</f>
        <v/>
      </c>
      <c r="E2218" s="5" t="str">
        <f>IF('FUENTE NO BORRAR'!E2236="","",'FUENTE NO BORRAR'!E2236)</f>
        <v/>
      </c>
      <c r="F2218" s="6">
        <f>IF('FUENTE NO BORRAR'!F2236="","",IF('FUENTE NO BORRAR'!$A2236&lt;&gt;"Resultado total",('FUENTE NO BORRAR'!F2236),""))</f>
        <v>1174.74</v>
      </c>
      <c r="G2218" s="6">
        <f>IF('FUENTE NO BORRAR'!G2236="","",IF('FUENTE NO BORRAR'!$A2236&lt;&gt;"Resultado total",('FUENTE NO BORRAR'!G2236),""))</f>
        <v>1174.74</v>
      </c>
      <c r="H2218" s="6">
        <f>IF('FUENTE NO BORRAR'!H2236="","",IF('FUENTE NO BORRAR'!$A2236&lt;&gt;"Resultado total",('FUENTE NO BORRAR'!H2236),""))</f>
        <v>1174.74</v>
      </c>
      <c r="I2218" s="6">
        <f>IF('FUENTE NO BORRAR'!I2236="","",IF('FUENTE NO BORRAR'!$A2236&lt;&gt;"Resultado total",('FUENTE NO BORRAR'!I2236),""))</f>
        <v>0</v>
      </c>
    </row>
    <row r="2219" spans="1:9" x14ac:dyDescent="0.2">
      <c r="A2219" s="5" t="str">
        <f>IF('FUENTE NO BORRAR'!A2237="","",(IF('FUENTE NO BORRAR'!A2237&lt;&gt;"Resultado total",'FUENTE NO BORRAR'!A2237,"")))</f>
        <v/>
      </c>
      <c r="B2219" s="5" t="str">
        <f>IF('FUENTE NO BORRAR'!B2237="","",'FUENTE NO BORRAR'!B2237)</f>
        <v/>
      </c>
      <c r="C2219" s="5" t="str">
        <f>IF('FUENTE NO BORRAR'!C2237="","",'FUENTE NO BORRAR'!C2237)</f>
        <v/>
      </c>
      <c r="D2219" s="5" t="str">
        <f>IF('FUENTE NO BORRAR'!D2237="","",'FUENTE NO BORRAR'!D2237)</f>
        <v/>
      </c>
      <c r="E2219" s="5" t="str">
        <f>IF('FUENTE NO BORRAR'!E2237="","",'FUENTE NO BORRAR'!E2237)</f>
        <v/>
      </c>
      <c r="F2219" s="6">
        <f>IF('FUENTE NO BORRAR'!F2237="","",IF('FUENTE NO BORRAR'!$A2237&lt;&gt;"Resultado total",('FUENTE NO BORRAR'!F2237),""))</f>
        <v>3950.15</v>
      </c>
      <c r="G2219" s="6">
        <f>IF('FUENTE NO BORRAR'!G2237="","",IF('FUENTE NO BORRAR'!$A2237&lt;&gt;"Resultado total",('FUENTE NO BORRAR'!G2237),""))</f>
        <v>3950.15</v>
      </c>
      <c r="H2219" s="6">
        <f>IF('FUENTE NO BORRAR'!H2237="","",IF('FUENTE NO BORRAR'!$A2237&lt;&gt;"Resultado total",('FUENTE NO BORRAR'!H2237),""))</f>
        <v>3950.15</v>
      </c>
      <c r="I2219" s="6">
        <f>IF('FUENTE NO BORRAR'!I2237="","",IF('FUENTE NO BORRAR'!$A2237&lt;&gt;"Resultado total",('FUENTE NO BORRAR'!I2237),""))</f>
        <v>0</v>
      </c>
    </row>
    <row r="2220" spans="1:9" x14ac:dyDescent="0.2">
      <c r="A2220" s="5" t="str">
        <f>IF('FUENTE NO BORRAR'!A2238="","",(IF('FUENTE NO BORRAR'!A2238&lt;&gt;"Resultado total",'FUENTE NO BORRAR'!A2238,"")))</f>
        <v/>
      </c>
      <c r="B2220" s="5" t="str">
        <f>IF('FUENTE NO BORRAR'!B2238="","",'FUENTE NO BORRAR'!B2238)</f>
        <v/>
      </c>
      <c r="C2220" s="5" t="str">
        <f>IF('FUENTE NO BORRAR'!C2238="","",'FUENTE NO BORRAR'!C2238)</f>
        <v/>
      </c>
      <c r="D2220" s="5" t="str">
        <f>IF('FUENTE NO BORRAR'!D2238="","",'FUENTE NO BORRAR'!D2238)</f>
        <v/>
      </c>
      <c r="E2220" s="5" t="str">
        <f>IF('FUENTE NO BORRAR'!E2238="","",'FUENTE NO BORRAR'!E2238)</f>
        <v/>
      </c>
      <c r="F2220" s="6">
        <f>IF('FUENTE NO BORRAR'!F2238="","",IF('FUENTE NO BORRAR'!$A2238&lt;&gt;"Resultado total",('FUENTE NO BORRAR'!F2238),""))</f>
        <v>0</v>
      </c>
      <c r="G2220" s="6">
        <f>IF('FUENTE NO BORRAR'!G2238="","",IF('FUENTE NO BORRAR'!$A2238&lt;&gt;"Resultado total",('FUENTE NO BORRAR'!G2238),""))</f>
        <v>0</v>
      </c>
      <c r="H2220" s="6">
        <f>IF('FUENTE NO BORRAR'!H2238="","",IF('FUENTE NO BORRAR'!$A2238&lt;&gt;"Resultado total",('FUENTE NO BORRAR'!H2238),""))</f>
        <v>0</v>
      </c>
      <c r="I2220" s="6">
        <f>IF('FUENTE NO BORRAR'!I2238="","",IF('FUENTE NO BORRAR'!$A2238&lt;&gt;"Resultado total",('FUENTE NO BORRAR'!I2238),""))</f>
        <v>0</v>
      </c>
    </row>
    <row r="2221" spans="1:9" x14ac:dyDescent="0.2">
      <c r="A2221" s="5" t="str">
        <f>IF('FUENTE NO BORRAR'!A2239="","",(IF('FUENTE NO BORRAR'!A2239&lt;&gt;"Resultado total",'FUENTE NO BORRAR'!A2239,"")))</f>
        <v/>
      </c>
      <c r="B2221" s="5" t="str">
        <f>IF('FUENTE NO BORRAR'!B2239="","",'FUENTE NO BORRAR'!B2239)</f>
        <v/>
      </c>
      <c r="C2221" s="5" t="str">
        <f>IF('FUENTE NO BORRAR'!C2239="","",'FUENTE NO BORRAR'!C2239)</f>
        <v/>
      </c>
      <c r="D2221" s="5" t="str">
        <f>IF('FUENTE NO BORRAR'!D2239="","",'FUENTE NO BORRAR'!D2239)</f>
        <v/>
      </c>
      <c r="E2221" s="5" t="str">
        <f>IF('FUENTE NO BORRAR'!E2239="","",'FUENTE NO BORRAR'!E2239)</f>
        <v/>
      </c>
      <c r="F2221" s="6">
        <f>IF('FUENTE NO BORRAR'!F2239="","",IF('FUENTE NO BORRAR'!$A2239&lt;&gt;"Resultado total",('FUENTE NO BORRAR'!F2239),""))</f>
        <v>11855.2</v>
      </c>
      <c r="G2221" s="6">
        <f>IF('FUENTE NO BORRAR'!G2239="","",IF('FUENTE NO BORRAR'!$A2239&lt;&gt;"Resultado total",('FUENTE NO BORRAR'!G2239),""))</f>
        <v>11855.2</v>
      </c>
      <c r="H2221" s="6">
        <f>IF('FUENTE NO BORRAR'!H2239="","",IF('FUENTE NO BORRAR'!$A2239&lt;&gt;"Resultado total",('FUENTE NO BORRAR'!H2239),""))</f>
        <v>11855.2</v>
      </c>
      <c r="I2221" s="6">
        <f>IF('FUENTE NO BORRAR'!I2239="","",IF('FUENTE NO BORRAR'!$A2239&lt;&gt;"Resultado total",('FUENTE NO BORRAR'!I2239),""))</f>
        <v>0</v>
      </c>
    </row>
    <row r="2222" spans="1:9" x14ac:dyDescent="0.2">
      <c r="A2222" s="5" t="str">
        <f>IF('FUENTE NO BORRAR'!A2240="","",(IF('FUENTE NO BORRAR'!A2240&lt;&gt;"Resultado total",'FUENTE NO BORRAR'!A2240,"")))</f>
        <v/>
      </c>
      <c r="B2222" s="5" t="str">
        <f>IF('FUENTE NO BORRAR'!B2240="","",'FUENTE NO BORRAR'!B2240)</f>
        <v/>
      </c>
      <c r="C2222" s="5" t="str">
        <f>IF('FUENTE NO BORRAR'!C2240="","",'FUENTE NO BORRAR'!C2240)</f>
        <v/>
      </c>
      <c r="D2222" s="5" t="str">
        <f>IF('FUENTE NO BORRAR'!D2240="","",'FUENTE NO BORRAR'!D2240)</f>
        <v/>
      </c>
      <c r="E2222" s="5" t="str">
        <f>IF('FUENTE NO BORRAR'!E2240="","",'FUENTE NO BORRAR'!E2240)</f>
        <v/>
      </c>
      <c r="F2222" s="6">
        <f>IF('FUENTE NO BORRAR'!F2240="","",IF('FUENTE NO BORRAR'!$A2240&lt;&gt;"Resultado total",('FUENTE NO BORRAR'!F2240),""))</f>
        <v>92762.880000000005</v>
      </c>
      <c r="G2222" s="6">
        <f>IF('FUENTE NO BORRAR'!G2240="","",IF('FUENTE NO BORRAR'!$A2240&lt;&gt;"Resultado total",('FUENTE NO BORRAR'!G2240),""))</f>
        <v>92762.880000000005</v>
      </c>
      <c r="H2222" s="6">
        <f>IF('FUENTE NO BORRAR'!H2240="","",IF('FUENTE NO BORRAR'!$A2240&lt;&gt;"Resultado total",('FUENTE NO BORRAR'!H2240),""))</f>
        <v>92762.880000000005</v>
      </c>
      <c r="I2222" s="6">
        <f>IF('FUENTE NO BORRAR'!I2240="","",IF('FUENTE NO BORRAR'!$A2240&lt;&gt;"Resultado total",('FUENTE NO BORRAR'!I2240),""))</f>
        <v>0</v>
      </c>
    </row>
    <row r="2223" spans="1:9" x14ac:dyDescent="0.2">
      <c r="A2223" s="5" t="str">
        <f>IF('FUENTE NO BORRAR'!A2241="","",(IF('FUENTE NO BORRAR'!A2241&lt;&gt;"Resultado total",'FUENTE NO BORRAR'!A2241,"")))</f>
        <v/>
      </c>
      <c r="B2223" s="5" t="str">
        <f>IF('FUENTE NO BORRAR'!B2241="","",'FUENTE NO BORRAR'!B2241)</f>
        <v/>
      </c>
      <c r="C2223" s="5" t="str">
        <f>IF('FUENTE NO BORRAR'!C2241="","",'FUENTE NO BORRAR'!C2241)</f>
        <v/>
      </c>
      <c r="D2223" s="5" t="str">
        <f>IF('FUENTE NO BORRAR'!D2241="","",'FUENTE NO BORRAR'!D2241)</f>
        <v/>
      </c>
      <c r="E2223" s="5" t="str">
        <f>IF('FUENTE NO BORRAR'!E2241="","",'FUENTE NO BORRAR'!E2241)</f>
        <v/>
      </c>
      <c r="F2223" s="6">
        <f>IF('FUENTE NO BORRAR'!F2241="","",IF('FUENTE NO BORRAR'!$A2241&lt;&gt;"Resultado total",('FUENTE NO BORRAR'!F2241),""))</f>
        <v>0</v>
      </c>
      <c r="G2223" s="6">
        <f>IF('FUENTE NO BORRAR'!G2241="","",IF('FUENTE NO BORRAR'!$A2241&lt;&gt;"Resultado total",('FUENTE NO BORRAR'!G2241),""))</f>
        <v>0</v>
      </c>
      <c r="H2223" s="6">
        <f>IF('FUENTE NO BORRAR'!H2241="","",IF('FUENTE NO BORRAR'!$A2241&lt;&gt;"Resultado total",('FUENTE NO BORRAR'!H2241),""))</f>
        <v>0</v>
      </c>
      <c r="I2223" s="6">
        <f>IF('FUENTE NO BORRAR'!I2241="","",IF('FUENTE NO BORRAR'!$A2241&lt;&gt;"Resultado total",('FUENTE NO BORRAR'!I2241),""))</f>
        <v>0</v>
      </c>
    </row>
    <row r="2224" spans="1:9" x14ac:dyDescent="0.2">
      <c r="A2224" s="5" t="str">
        <f>IF('FUENTE NO BORRAR'!A2242="","",(IF('FUENTE NO BORRAR'!A2242&lt;&gt;"Resultado total",'FUENTE NO BORRAR'!A2242,"")))</f>
        <v/>
      </c>
      <c r="B2224" s="5" t="str">
        <f>IF('FUENTE NO BORRAR'!B2242="","",'FUENTE NO BORRAR'!B2242)</f>
        <v/>
      </c>
      <c r="C2224" s="5" t="str">
        <f>IF('FUENTE NO BORRAR'!C2242="","",'FUENTE NO BORRAR'!C2242)</f>
        <v/>
      </c>
      <c r="D2224" s="5" t="str">
        <f>IF('FUENTE NO BORRAR'!D2242="","",'FUENTE NO BORRAR'!D2242)</f>
        <v/>
      </c>
      <c r="E2224" s="5" t="str">
        <f>IF('FUENTE NO BORRAR'!E2242="","",'FUENTE NO BORRAR'!E2242)</f>
        <v/>
      </c>
      <c r="F2224" s="6">
        <f>IF('FUENTE NO BORRAR'!F2242="","",IF('FUENTE NO BORRAR'!$A2242&lt;&gt;"Resultado total",('FUENTE NO BORRAR'!F2242),""))</f>
        <v>781.15</v>
      </c>
      <c r="G2224" s="6">
        <f>IF('FUENTE NO BORRAR'!G2242="","",IF('FUENTE NO BORRAR'!$A2242&lt;&gt;"Resultado total",('FUENTE NO BORRAR'!G2242),""))</f>
        <v>781.15</v>
      </c>
      <c r="H2224" s="6">
        <f>IF('FUENTE NO BORRAR'!H2242="","",IF('FUENTE NO BORRAR'!$A2242&lt;&gt;"Resultado total",('FUENTE NO BORRAR'!H2242),""))</f>
        <v>781.15</v>
      </c>
      <c r="I2224" s="6">
        <f>IF('FUENTE NO BORRAR'!I2242="","",IF('FUENTE NO BORRAR'!$A2242&lt;&gt;"Resultado total",('FUENTE NO BORRAR'!I2242),""))</f>
        <v>0</v>
      </c>
    </row>
    <row r="2225" spans="1:9" x14ac:dyDescent="0.2">
      <c r="A2225" s="5" t="str">
        <f>IF('FUENTE NO BORRAR'!A2243="","",(IF('FUENTE NO BORRAR'!A2243&lt;&gt;"Resultado total",'FUENTE NO BORRAR'!A2243,"")))</f>
        <v/>
      </c>
      <c r="B2225" s="5" t="str">
        <f>IF('FUENTE NO BORRAR'!B2243="","",'FUENTE NO BORRAR'!B2243)</f>
        <v/>
      </c>
      <c r="C2225" s="5" t="str">
        <f>IF('FUENTE NO BORRAR'!C2243="","",'FUENTE NO BORRAR'!C2243)</f>
        <v/>
      </c>
      <c r="D2225" s="5" t="str">
        <f>IF('FUENTE NO BORRAR'!D2243="","",'FUENTE NO BORRAR'!D2243)</f>
        <v/>
      </c>
      <c r="E2225" s="5" t="str">
        <f>IF('FUENTE NO BORRAR'!E2243="","",'FUENTE NO BORRAR'!E2243)</f>
        <v/>
      </c>
      <c r="F2225" s="6">
        <f>IF('FUENTE NO BORRAR'!F2243="","",IF('FUENTE NO BORRAR'!$A2243&lt;&gt;"Resultado total",('FUENTE NO BORRAR'!F2243),""))</f>
        <v>1185.7</v>
      </c>
      <c r="G2225" s="6">
        <f>IF('FUENTE NO BORRAR'!G2243="","",IF('FUENTE NO BORRAR'!$A2243&lt;&gt;"Resultado total",('FUENTE NO BORRAR'!G2243),""))</f>
        <v>1185.7</v>
      </c>
      <c r="H2225" s="6">
        <f>IF('FUENTE NO BORRAR'!H2243="","",IF('FUENTE NO BORRAR'!$A2243&lt;&gt;"Resultado total",('FUENTE NO BORRAR'!H2243),""))</f>
        <v>1185.7</v>
      </c>
      <c r="I2225" s="6">
        <f>IF('FUENTE NO BORRAR'!I2243="","",IF('FUENTE NO BORRAR'!$A2243&lt;&gt;"Resultado total",('FUENTE NO BORRAR'!I2243),""))</f>
        <v>0</v>
      </c>
    </row>
    <row r="2226" spans="1:9" x14ac:dyDescent="0.2">
      <c r="A2226" s="5" t="str">
        <f>IF('FUENTE NO BORRAR'!A2244="","",(IF('FUENTE NO BORRAR'!A2244&lt;&gt;"Resultado total",'FUENTE NO BORRAR'!A2244,"")))</f>
        <v/>
      </c>
      <c r="B2226" s="5" t="str">
        <f>IF('FUENTE NO BORRAR'!B2244="","",'FUENTE NO BORRAR'!B2244)</f>
        <v/>
      </c>
      <c r="C2226" s="5" t="str">
        <f>IF('FUENTE NO BORRAR'!C2244="","",'FUENTE NO BORRAR'!C2244)</f>
        <v/>
      </c>
      <c r="D2226" s="5" t="str">
        <f>IF('FUENTE NO BORRAR'!D2244="","",'FUENTE NO BORRAR'!D2244)</f>
        <v/>
      </c>
      <c r="E2226" s="5" t="str">
        <f>IF('FUENTE NO BORRAR'!E2244="","",'FUENTE NO BORRAR'!E2244)</f>
        <v/>
      </c>
      <c r="F2226" s="6">
        <f>IF('FUENTE NO BORRAR'!F2244="","",IF('FUENTE NO BORRAR'!$A2244&lt;&gt;"Resultado total",('FUENTE NO BORRAR'!F2244),""))</f>
        <v>0</v>
      </c>
      <c r="G2226" s="6">
        <f>IF('FUENTE NO BORRAR'!G2244="","",IF('FUENTE NO BORRAR'!$A2244&lt;&gt;"Resultado total",('FUENTE NO BORRAR'!G2244),""))</f>
        <v>0</v>
      </c>
      <c r="H2226" s="6">
        <f>IF('FUENTE NO BORRAR'!H2244="","",IF('FUENTE NO BORRAR'!$A2244&lt;&gt;"Resultado total",('FUENTE NO BORRAR'!H2244),""))</f>
        <v>0</v>
      </c>
      <c r="I2226" s="6">
        <f>IF('FUENTE NO BORRAR'!I2244="","",IF('FUENTE NO BORRAR'!$A2244&lt;&gt;"Resultado total",('FUENTE NO BORRAR'!I2244),""))</f>
        <v>0</v>
      </c>
    </row>
    <row r="2227" spans="1:9" x14ac:dyDescent="0.2">
      <c r="A2227" s="5" t="str">
        <f>IF('FUENTE NO BORRAR'!A2245="","",(IF('FUENTE NO BORRAR'!A2245&lt;&gt;"Resultado total",'FUENTE NO BORRAR'!A2245,"")))</f>
        <v/>
      </c>
      <c r="B2227" s="5" t="str">
        <f>IF('FUENTE NO BORRAR'!B2245="","",'FUENTE NO BORRAR'!B2245)</f>
        <v/>
      </c>
      <c r="C2227" s="5" t="str">
        <f>IF('FUENTE NO BORRAR'!C2245="","",'FUENTE NO BORRAR'!C2245)</f>
        <v/>
      </c>
      <c r="D2227" s="5" t="str">
        <f>IF('FUENTE NO BORRAR'!D2245="","",'FUENTE NO BORRAR'!D2245)</f>
        <v/>
      </c>
      <c r="E2227" s="5" t="str">
        <f>IF('FUENTE NO BORRAR'!E2245="","",'FUENTE NO BORRAR'!E2245)</f>
        <v/>
      </c>
      <c r="F2227" s="6">
        <f>IF('FUENTE NO BORRAR'!F2245="","",IF('FUENTE NO BORRAR'!$A2245&lt;&gt;"Resultado total",('FUENTE NO BORRAR'!F2245),""))</f>
        <v>2527.2399999999998</v>
      </c>
      <c r="G2227" s="6">
        <f>IF('FUENTE NO BORRAR'!G2245="","",IF('FUENTE NO BORRAR'!$A2245&lt;&gt;"Resultado total",('FUENTE NO BORRAR'!G2245),""))</f>
        <v>2527.2399999999998</v>
      </c>
      <c r="H2227" s="6">
        <f>IF('FUENTE NO BORRAR'!H2245="","",IF('FUENTE NO BORRAR'!$A2245&lt;&gt;"Resultado total",('FUENTE NO BORRAR'!H2245),""))</f>
        <v>2527.2399999999998</v>
      </c>
      <c r="I2227" s="6">
        <f>IF('FUENTE NO BORRAR'!I2245="","",IF('FUENTE NO BORRAR'!$A2245&lt;&gt;"Resultado total",('FUENTE NO BORRAR'!I2245),""))</f>
        <v>0</v>
      </c>
    </row>
    <row r="2228" spans="1:9" x14ac:dyDescent="0.2">
      <c r="A2228" s="5" t="str">
        <f>IF('FUENTE NO BORRAR'!A2246="","",(IF('FUENTE NO BORRAR'!A2246&lt;&gt;"Resultado total",'FUENTE NO BORRAR'!A2246,"")))</f>
        <v/>
      </c>
      <c r="B2228" s="5" t="str">
        <f>IF('FUENTE NO BORRAR'!B2246="","",'FUENTE NO BORRAR'!B2246)</f>
        <v/>
      </c>
      <c r="C2228" s="5" t="str">
        <f>IF('FUENTE NO BORRAR'!C2246="","",'FUENTE NO BORRAR'!C2246)</f>
        <v/>
      </c>
      <c r="D2228" s="5" t="str">
        <f>IF('FUENTE NO BORRAR'!D2246="","",'FUENTE NO BORRAR'!D2246)</f>
        <v/>
      </c>
      <c r="E2228" s="5" t="str">
        <f>IF('FUENTE NO BORRAR'!E2246="","",'FUENTE NO BORRAR'!E2246)</f>
        <v/>
      </c>
      <c r="F2228" s="6">
        <f>IF('FUENTE NO BORRAR'!F2246="","",IF('FUENTE NO BORRAR'!$A2246&lt;&gt;"Resultado total",('FUENTE NO BORRAR'!F2246),""))</f>
        <v>2359.6799999999998</v>
      </c>
      <c r="G2228" s="6">
        <f>IF('FUENTE NO BORRAR'!G2246="","",IF('FUENTE NO BORRAR'!$A2246&lt;&gt;"Resultado total",('FUENTE NO BORRAR'!G2246),""))</f>
        <v>2359.6799999999998</v>
      </c>
      <c r="H2228" s="6">
        <f>IF('FUENTE NO BORRAR'!H2246="","",IF('FUENTE NO BORRAR'!$A2246&lt;&gt;"Resultado total",('FUENTE NO BORRAR'!H2246),""))</f>
        <v>2359.6799999999998</v>
      </c>
      <c r="I2228" s="6">
        <f>IF('FUENTE NO BORRAR'!I2246="","",IF('FUENTE NO BORRAR'!$A2246&lt;&gt;"Resultado total",('FUENTE NO BORRAR'!I2246),""))</f>
        <v>0</v>
      </c>
    </row>
    <row r="2229" spans="1:9" x14ac:dyDescent="0.2">
      <c r="A2229" s="5" t="str">
        <f>IF('FUENTE NO BORRAR'!A2247="","",(IF('FUENTE NO BORRAR'!A2247&lt;&gt;"Resultado total",'FUENTE NO BORRAR'!A2247,"")))</f>
        <v/>
      </c>
      <c r="B2229" s="5" t="str">
        <f>IF('FUENTE NO BORRAR'!B2247="","",'FUENTE NO BORRAR'!B2247)</f>
        <v/>
      </c>
      <c r="C2229" s="5" t="str">
        <f>IF('FUENTE NO BORRAR'!C2247="","",'FUENTE NO BORRAR'!C2247)</f>
        <v/>
      </c>
      <c r="D2229" s="5" t="str">
        <f>IF('FUENTE NO BORRAR'!D2247="","",'FUENTE NO BORRAR'!D2247)</f>
        <v/>
      </c>
      <c r="E2229" s="5" t="str">
        <f>IF('FUENTE NO BORRAR'!E2247="","",'FUENTE NO BORRAR'!E2247)</f>
        <v/>
      </c>
      <c r="F2229" s="6">
        <f>IF('FUENTE NO BORRAR'!F2247="","",IF('FUENTE NO BORRAR'!$A2247&lt;&gt;"Resultado total",('FUENTE NO BORRAR'!F2247),""))</f>
        <v>15829.14</v>
      </c>
      <c r="G2229" s="6">
        <f>IF('FUENTE NO BORRAR'!G2247="","",IF('FUENTE NO BORRAR'!$A2247&lt;&gt;"Resultado total",('FUENTE NO BORRAR'!G2247),""))</f>
        <v>15829.14</v>
      </c>
      <c r="H2229" s="6">
        <f>IF('FUENTE NO BORRAR'!H2247="","",IF('FUENTE NO BORRAR'!$A2247&lt;&gt;"Resultado total",('FUENTE NO BORRAR'!H2247),""))</f>
        <v>15829.14</v>
      </c>
      <c r="I2229" s="6">
        <f>IF('FUENTE NO BORRAR'!I2247="","",IF('FUENTE NO BORRAR'!$A2247&lt;&gt;"Resultado total",('FUENTE NO BORRAR'!I2247),""))</f>
        <v>0</v>
      </c>
    </row>
    <row r="2230" spans="1:9" x14ac:dyDescent="0.2">
      <c r="A2230" s="5" t="str">
        <f>IF('FUENTE NO BORRAR'!A2248="","",(IF('FUENTE NO BORRAR'!A2248&lt;&gt;"Resultado total",'FUENTE NO BORRAR'!A2248,"")))</f>
        <v/>
      </c>
      <c r="B2230" s="5" t="str">
        <f>IF('FUENTE NO BORRAR'!B2248="","",'FUENTE NO BORRAR'!B2248)</f>
        <v/>
      </c>
      <c r="C2230" s="5" t="str">
        <f>IF('FUENTE NO BORRAR'!C2248="","",'FUENTE NO BORRAR'!C2248)</f>
        <v/>
      </c>
      <c r="D2230" s="5" t="str">
        <f>IF('FUENTE NO BORRAR'!D2248="","",'FUENTE NO BORRAR'!D2248)</f>
        <v/>
      </c>
      <c r="E2230" s="5" t="str">
        <f>IF('FUENTE NO BORRAR'!E2248="","",'FUENTE NO BORRAR'!E2248)</f>
        <v/>
      </c>
      <c r="F2230" s="6">
        <f>IF('FUENTE NO BORRAR'!F2248="","",IF('FUENTE NO BORRAR'!$A2248&lt;&gt;"Resultado total",('FUENTE NO BORRAR'!F2248),""))</f>
        <v>0</v>
      </c>
      <c r="G2230" s="6">
        <f>IF('FUENTE NO BORRAR'!G2248="","",IF('FUENTE NO BORRAR'!$A2248&lt;&gt;"Resultado total",('FUENTE NO BORRAR'!G2248),""))</f>
        <v>0</v>
      </c>
      <c r="H2230" s="6">
        <f>IF('FUENTE NO BORRAR'!H2248="","",IF('FUENTE NO BORRAR'!$A2248&lt;&gt;"Resultado total",('FUENTE NO BORRAR'!H2248),""))</f>
        <v>0</v>
      </c>
      <c r="I2230" s="6">
        <f>IF('FUENTE NO BORRAR'!I2248="","",IF('FUENTE NO BORRAR'!$A2248&lt;&gt;"Resultado total",('FUENTE NO BORRAR'!I2248),""))</f>
        <v>0</v>
      </c>
    </row>
    <row r="2231" spans="1:9" x14ac:dyDescent="0.2">
      <c r="A2231" s="5" t="str">
        <f>IF('FUENTE NO BORRAR'!A2249="","",(IF('FUENTE NO BORRAR'!A2249&lt;&gt;"Resultado total",'FUENTE NO BORRAR'!A2249,"")))</f>
        <v/>
      </c>
      <c r="B2231" s="5" t="str">
        <f>IF('FUENTE NO BORRAR'!B2249="","",'FUENTE NO BORRAR'!B2249)</f>
        <v/>
      </c>
      <c r="C2231" s="5" t="str">
        <f>IF('FUENTE NO BORRAR'!C2249="","",'FUENTE NO BORRAR'!C2249)</f>
        <v/>
      </c>
      <c r="D2231" s="5" t="str">
        <f>IF('FUENTE NO BORRAR'!D2249="","",'FUENTE NO BORRAR'!D2249)</f>
        <v/>
      </c>
      <c r="E2231" s="5" t="str">
        <f>IF('FUENTE NO BORRAR'!E2249="","",'FUENTE NO BORRAR'!E2249)</f>
        <v/>
      </c>
      <c r="F2231" s="6">
        <f>IF('FUENTE NO BORRAR'!F2249="","",IF('FUENTE NO BORRAR'!$A2249&lt;&gt;"Resultado total",('FUENTE NO BORRAR'!F2249),""))</f>
        <v>37160.6</v>
      </c>
      <c r="G2231" s="6">
        <f>IF('FUENTE NO BORRAR'!G2249="","",IF('FUENTE NO BORRAR'!$A2249&lt;&gt;"Resultado total",('FUENTE NO BORRAR'!G2249),""))</f>
        <v>37160.6</v>
      </c>
      <c r="H2231" s="6">
        <f>IF('FUENTE NO BORRAR'!H2249="","",IF('FUENTE NO BORRAR'!$A2249&lt;&gt;"Resultado total",('FUENTE NO BORRAR'!H2249),""))</f>
        <v>37160.6</v>
      </c>
      <c r="I2231" s="6">
        <f>IF('FUENTE NO BORRAR'!I2249="","",IF('FUENTE NO BORRAR'!$A2249&lt;&gt;"Resultado total",('FUENTE NO BORRAR'!I2249),""))</f>
        <v>0</v>
      </c>
    </row>
    <row r="2232" spans="1:9" x14ac:dyDescent="0.2">
      <c r="A2232" s="5" t="str">
        <f>IF('FUENTE NO BORRAR'!A2250="","",(IF('FUENTE NO BORRAR'!A2250&lt;&gt;"Resultado total",'FUENTE NO BORRAR'!A2250,"")))</f>
        <v/>
      </c>
      <c r="B2232" s="5" t="str">
        <f>IF('FUENTE NO BORRAR'!B2250="","",'FUENTE NO BORRAR'!B2250)</f>
        <v/>
      </c>
      <c r="C2232" s="5" t="str">
        <f>IF('FUENTE NO BORRAR'!C2250="","",'FUENTE NO BORRAR'!C2250)</f>
        <v/>
      </c>
      <c r="D2232" s="5" t="str">
        <f>IF('FUENTE NO BORRAR'!D2250="","",'FUENTE NO BORRAR'!D2250)</f>
        <v/>
      </c>
      <c r="E2232" s="5" t="str">
        <f>IF('FUENTE NO BORRAR'!E2250="","",'FUENTE NO BORRAR'!E2250)</f>
        <v/>
      </c>
      <c r="F2232" s="6">
        <f>IF('FUENTE NO BORRAR'!F2250="","",IF('FUENTE NO BORRAR'!$A2250&lt;&gt;"Resultado total",('FUENTE NO BORRAR'!F2250),""))</f>
        <v>0</v>
      </c>
      <c r="G2232" s="6">
        <f>IF('FUENTE NO BORRAR'!G2250="","",IF('FUENTE NO BORRAR'!$A2250&lt;&gt;"Resultado total",('FUENTE NO BORRAR'!G2250),""))</f>
        <v>0</v>
      </c>
      <c r="H2232" s="6">
        <f>IF('FUENTE NO BORRAR'!H2250="","",IF('FUENTE NO BORRAR'!$A2250&lt;&gt;"Resultado total",('FUENTE NO BORRAR'!H2250),""))</f>
        <v>0</v>
      </c>
      <c r="I2232" s="6">
        <f>IF('FUENTE NO BORRAR'!I2250="","",IF('FUENTE NO BORRAR'!$A2250&lt;&gt;"Resultado total",('FUENTE NO BORRAR'!I2250),""))</f>
        <v>0</v>
      </c>
    </row>
    <row r="2233" spans="1:9" x14ac:dyDescent="0.2">
      <c r="A2233" s="5" t="str">
        <f>IF('FUENTE NO BORRAR'!A2251="","",(IF('FUENTE NO BORRAR'!A2251&lt;&gt;"Resultado total",'FUENTE NO BORRAR'!A2251,"")))</f>
        <v/>
      </c>
      <c r="B2233" s="5" t="str">
        <f>IF('FUENTE NO BORRAR'!B2251="","",'FUENTE NO BORRAR'!B2251)</f>
        <v/>
      </c>
      <c r="C2233" s="5" t="str">
        <f>IF('FUENTE NO BORRAR'!C2251="","",'FUENTE NO BORRAR'!C2251)</f>
        <v/>
      </c>
      <c r="D2233" s="5" t="str">
        <f>IF('FUENTE NO BORRAR'!D2251="","",'FUENTE NO BORRAR'!D2251)</f>
        <v/>
      </c>
      <c r="E2233" s="5" t="str">
        <f>IF('FUENTE NO BORRAR'!E2251="","",'FUENTE NO BORRAR'!E2251)</f>
        <v/>
      </c>
      <c r="F2233" s="6">
        <f>IF('FUENTE NO BORRAR'!F2251="","",IF('FUENTE NO BORRAR'!$A2251&lt;&gt;"Resultado total",('FUENTE NO BORRAR'!F2251),""))</f>
        <v>63851.37</v>
      </c>
      <c r="G2233" s="6">
        <f>IF('FUENTE NO BORRAR'!G2251="","",IF('FUENTE NO BORRAR'!$A2251&lt;&gt;"Resultado total",('FUENTE NO BORRAR'!G2251),""))</f>
        <v>63851.37</v>
      </c>
      <c r="H2233" s="6">
        <f>IF('FUENTE NO BORRAR'!H2251="","",IF('FUENTE NO BORRAR'!$A2251&lt;&gt;"Resultado total",('FUENTE NO BORRAR'!H2251),""))</f>
        <v>63851.37</v>
      </c>
      <c r="I2233" s="6">
        <f>IF('FUENTE NO BORRAR'!I2251="","",IF('FUENTE NO BORRAR'!$A2251&lt;&gt;"Resultado total",('FUENTE NO BORRAR'!I2251),""))</f>
        <v>0</v>
      </c>
    </row>
    <row r="2234" spans="1:9" x14ac:dyDescent="0.2">
      <c r="A2234" s="5" t="str">
        <f>IF('FUENTE NO BORRAR'!A2252="","",(IF('FUENTE NO BORRAR'!A2252&lt;&gt;"Resultado total",'FUENTE NO BORRAR'!A2252,"")))</f>
        <v/>
      </c>
      <c r="B2234" s="5" t="str">
        <f>IF('FUENTE NO BORRAR'!B2252="","",'FUENTE NO BORRAR'!B2252)</f>
        <v/>
      </c>
      <c r="C2234" s="5" t="str">
        <f>IF('FUENTE NO BORRAR'!C2252="","",'FUENTE NO BORRAR'!C2252)</f>
        <v/>
      </c>
      <c r="D2234" s="5" t="str">
        <f>IF('FUENTE NO BORRAR'!D2252="","",'FUENTE NO BORRAR'!D2252)</f>
        <v/>
      </c>
      <c r="E2234" s="5" t="str">
        <f>IF('FUENTE NO BORRAR'!E2252="","",'FUENTE NO BORRAR'!E2252)</f>
        <v/>
      </c>
      <c r="F2234" s="6">
        <f>IF('FUENTE NO BORRAR'!F2252="","",IF('FUENTE NO BORRAR'!$A2252&lt;&gt;"Resultado total",('FUENTE NO BORRAR'!F2252),""))</f>
        <v>14975</v>
      </c>
      <c r="G2234" s="6">
        <f>IF('FUENTE NO BORRAR'!G2252="","",IF('FUENTE NO BORRAR'!$A2252&lt;&gt;"Resultado total",('FUENTE NO BORRAR'!G2252),""))</f>
        <v>14975</v>
      </c>
      <c r="H2234" s="6">
        <f>IF('FUENTE NO BORRAR'!H2252="","",IF('FUENTE NO BORRAR'!$A2252&lt;&gt;"Resultado total",('FUENTE NO BORRAR'!H2252),""))</f>
        <v>14975</v>
      </c>
      <c r="I2234" s="6">
        <f>IF('FUENTE NO BORRAR'!I2252="","",IF('FUENTE NO BORRAR'!$A2252&lt;&gt;"Resultado total",('FUENTE NO BORRAR'!I2252),""))</f>
        <v>0</v>
      </c>
    </row>
    <row r="2235" spans="1:9" x14ac:dyDescent="0.2">
      <c r="A2235" s="5" t="str">
        <f>IF('FUENTE NO BORRAR'!A2253="","",(IF('FUENTE NO BORRAR'!A2253&lt;&gt;"Resultado total",'FUENTE NO BORRAR'!A2253,"")))</f>
        <v/>
      </c>
      <c r="B2235" s="5" t="str">
        <f>IF('FUENTE NO BORRAR'!B2253="","",'FUENTE NO BORRAR'!B2253)</f>
        <v/>
      </c>
      <c r="C2235" s="5" t="str">
        <f>IF('FUENTE NO BORRAR'!C2253="","",'FUENTE NO BORRAR'!C2253)</f>
        <v/>
      </c>
      <c r="D2235" s="5" t="str">
        <f>IF('FUENTE NO BORRAR'!D2253="","",'FUENTE NO BORRAR'!D2253)</f>
        <v/>
      </c>
      <c r="E2235" s="5" t="str">
        <f>IF('FUENTE NO BORRAR'!E2253="","",'FUENTE NO BORRAR'!E2253)</f>
        <v/>
      </c>
      <c r="F2235" s="6">
        <f>IF('FUENTE NO BORRAR'!F2253="","",IF('FUENTE NO BORRAR'!$A2253&lt;&gt;"Resultado total",('FUENTE NO BORRAR'!F2253),""))</f>
        <v>144761.92000000001</v>
      </c>
      <c r="G2235" s="6">
        <f>IF('FUENTE NO BORRAR'!G2253="","",IF('FUENTE NO BORRAR'!$A2253&lt;&gt;"Resultado total",('FUENTE NO BORRAR'!G2253),""))</f>
        <v>144761.92000000001</v>
      </c>
      <c r="H2235" s="6">
        <f>IF('FUENTE NO BORRAR'!H2253="","",IF('FUENTE NO BORRAR'!$A2253&lt;&gt;"Resultado total",('FUENTE NO BORRAR'!H2253),""))</f>
        <v>144761.94</v>
      </c>
      <c r="I2235" s="6">
        <f>IF('FUENTE NO BORRAR'!I2253="","",IF('FUENTE NO BORRAR'!$A2253&lt;&gt;"Resultado total",('FUENTE NO BORRAR'!I2253),""))</f>
        <v>0</v>
      </c>
    </row>
    <row r="2236" spans="1:9" x14ac:dyDescent="0.2">
      <c r="A2236" s="5" t="str">
        <f>IF('FUENTE NO BORRAR'!A2254="","",(IF('FUENTE NO BORRAR'!A2254&lt;&gt;"Resultado total",'FUENTE NO BORRAR'!A2254,"")))</f>
        <v/>
      </c>
      <c r="B2236" s="5" t="str">
        <f>IF('FUENTE NO BORRAR'!B2254="","",'FUENTE NO BORRAR'!B2254)</f>
        <v/>
      </c>
      <c r="C2236" s="5" t="str">
        <f>IF('FUENTE NO BORRAR'!C2254="","",'FUENTE NO BORRAR'!C2254)</f>
        <v/>
      </c>
      <c r="D2236" s="5" t="str">
        <f>IF('FUENTE NO BORRAR'!D2254="","",'FUENTE NO BORRAR'!D2254)</f>
        <v/>
      </c>
      <c r="E2236" s="5" t="str">
        <f>IF('FUENTE NO BORRAR'!E2254="","",'FUENTE NO BORRAR'!E2254)</f>
        <v/>
      </c>
      <c r="F2236" s="6">
        <f>IF('FUENTE NO BORRAR'!F2254="","",IF('FUENTE NO BORRAR'!$A2254&lt;&gt;"Resultado total",('FUENTE NO BORRAR'!F2254),""))</f>
        <v>0</v>
      </c>
      <c r="G2236" s="6">
        <f>IF('FUENTE NO BORRAR'!G2254="","",IF('FUENTE NO BORRAR'!$A2254&lt;&gt;"Resultado total",('FUENTE NO BORRAR'!G2254),""))</f>
        <v>0</v>
      </c>
      <c r="H2236" s="6">
        <f>IF('FUENTE NO BORRAR'!H2254="","",IF('FUENTE NO BORRAR'!$A2254&lt;&gt;"Resultado total",('FUENTE NO BORRAR'!H2254),""))</f>
        <v>0</v>
      </c>
      <c r="I2236" s="6">
        <f>IF('FUENTE NO BORRAR'!I2254="","",IF('FUENTE NO BORRAR'!$A2254&lt;&gt;"Resultado total",('FUENTE NO BORRAR'!I2254),""))</f>
        <v>0</v>
      </c>
    </row>
    <row r="2237" spans="1:9" x14ac:dyDescent="0.2">
      <c r="A2237" s="5" t="str">
        <f>IF('FUENTE NO BORRAR'!A2255="","",(IF('FUENTE NO BORRAR'!A2255&lt;&gt;"Resultado total",'FUENTE NO BORRAR'!A2255,"")))</f>
        <v/>
      </c>
      <c r="B2237" s="5" t="str">
        <f>IF('FUENTE NO BORRAR'!B2255="","",'FUENTE NO BORRAR'!B2255)</f>
        <v/>
      </c>
      <c r="C2237" s="5" t="str">
        <f>IF('FUENTE NO BORRAR'!C2255="","",'FUENTE NO BORRAR'!C2255)</f>
        <v/>
      </c>
      <c r="D2237" s="5" t="str">
        <f>IF('FUENTE NO BORRAR'!D2255="","",'FUENTE NO BORRAR'!D2255)</f>
        <v/>
      </c>
      <c r="E2237" s="5" t="str">
        <f>IF('FUENTE NO BORRAR'!E2255="","",'FUENTE NO BORRAR'!E2255)</f>
        <v/>
      </c>
      <c r="F2237" s="6">
        <f>IF('FUENTE NO BORRAR'!F2255="","",IF('FUENTE NO BORRAR'!$A2255&lt;&gt;"Resultado total",('FUENTE NO BORRAR'!F2255),""))</f>
        <v>576960.29</v>
      </c>
      <c r="G2237" s="6">
        <f>IF('FUENTE NO BORRAR'!G2255="","",IF('FUENTE NO BORRAR'!$A2255&lt;&gt;"Resultado total",('FUENTE NO BORRAR'!G2255),""))</f>
        <v>576960.29</v>
      </c>
      <c r="H2237" s="6">
        <f>IF('FUENTE NO BORRAR'!H2255="","",IF('FUENTE NO BORRAR'!$A2255&lt;&gt;"Resultado total",('FUENTE NO BORRAR'!H2255),""))</f>
        <v>576960.42000000004</v>
      </c>
      <c r="I2237" s="6">
        <f>IF('FUENTE NO BORRAR'!I2255="","",IF('FUENTE NO BORRAR'!$A2255&lt;&gt;"Resultado total",('FUENTE NO BORRAR'!I2255),""))</f>
        <v>0</v>
      </c>
    </row>
    <row r="2238" spans="1:9" x14ac:dyDescent="0.2">
      <c r="A2238" s="5" t="str">
        <f>IF('FUENTE NO BORRAR'!A2256="","",(IF('FUENTE NO BORRAR'!A2256&lt;&gt;"Resultado total",'FUENTE NO BORRAR'!A2256,"")))</f>
        <v/>
      </c>
      <c r="B2238" s="5" t="str">
        <f>IF('FUENTE NO BORRAR'!B2256="","",'FUENTE NO BORRAR'!B2256)</f>
        <v/>
      </c>
      <c r="C2238" s="5" t="str">
        <f>IF('FUENTE NO BORRAR'!C2256="","",'FUENTE NO BORRAR'!C2256)</f>
        <v/>
      </c>
      <c r="D2238" s="5" t="str">
        <f>IF('FUENTE NO BORRAR'!D2256="","",'FUENTE NO BORRAR'!D2256)</f>
        <v/>
      </c>
      <c r="E2238" s="5" t="str">
        <f>IF('FUENTE NO BORRAR'!E2256="","",'FUENTE NO BORRAR'!E2256)</f>
        <v/>
      </c>
      <c r="F2238" s="6">
        <f>IF('FUENTE NO BORRAR'!F2256="","",IF('FUENTE NO BORRAR'!$A2256&lt;&gt;"Resultado total",('FUENTE NO BORRAR'!F2256),""))</f>
        <v>506</v>
      </c>
      <c r="G2238" s="6">
        <f>IF('FUENTE NO BORRAR'!G2256="","",IF('FUENTE NO BORRAR'!$A2256&lt;&gt;"Resultado total",('FUENTE NO BORRAR'!G2256),""))</f>
        <v>506</v>
      </c>
      <c r="H2238" s="6">
        <f>IF('FUENTE NO BORRAR'!H2256="","",IF('FUENTE NO BORRAR'!$A2256&lt;&gt;"Resultado total",('FUENTE NO BORRAR'!H2256),""))</f>
        <v>506</v>
      </c>
      <c r="I2238" s="6">
        <f>IF('FUENTE NO BORRAR'!I2256="","",IF('FUENTE NO BORRAR'!$A2256&lt;&gt;"Resultado total",('FUENTE NO BORRAR'!I2256),""))</f>
        <v>0</v>
      </c>
    </row>
    <row r="2239" spans="1:9" x14ac:dyDescent="0.2">
      <c r="A2239" s="5" t="str">
        <f>IF('FUENTE NO BORRAR'!A2257="","",(IF('FUENTE NO BORRAR'!A2257&lt;&gt;"Resultado total",'FUENTE NO BORRAR'!A2257,"")))</f>
        <v/>
      </c>
      <c r="B2239" s="5" t="str">
        <f>IF('FUENTE NO BORRAR'!B2257="","",'FUENTE NO BORRAR'!B2257)</f>
        <v/>
      </c>
      <c r="C2239" s="5" t="str">
        <f>IF('FUENTE NO BORRAR'!C2257="","",'FUENTE NO BORRAR'!C2257)</f>
        <v/>
      </c>
      <c r="D2239" s="5" t="str">
        <f>IF('FUENTE NO BORRAR'!D2257="","",'FUENTE NO BORRAR'!D2257)</f>
        <v/>
      </c>
      <c r="E2239" s="5" t="str">
        <f>IF('FUENTE NO BORRAR'!E2257="","",'FUENTE NO BORRAR'!E2257)</f>
        <v/>
      </c>
      <c r="F2239" s="6">
        <f>IF('FUENTE NO BORRAR'!F2257="","",IF('FUENTE NO BORRAR'!$A2257&lt;&gt;"Resultado total",('FUENTE NO BORRAR'!F2257),""))</f>
        <v>0</v>
      </c>
      <c r="G2239" s="6">
        <f>IF('FUENTE NO BORRAR'!G2257="","",IF('FUENTE NO BORRAR'!$A2257&lt;&gt;"Resultado total",('FUENTE NO BORRAR'!G2257),""))</f>
        <v>0</v>
      </c>
      <c r="H2239" s="6">
        <f>IF('FUENTE NO BORRAR'!H2257="","",IF('FUENTE NO BORRAR'!$A2257&lt;&gt;"Resultado total",('FUENTE NO BORRAR'!H2257),""))</f>
        <v>0</v>
      </c>
      <c r="I2239" s="6">
        <f>IF('FUENTE NO BORRAR'!I2257="","",IF('FUENTE NO BORRAR'!$A2257&lt;&gt;"Resultado total",('FUENTE NO BORRAR'!I2257),""))</f>
        <v>0</v>
      </c>
    </row>
    <row r="2240" spans="1:9" x14ac:dyDescent="0.2">
      <c r="A2240" s="5" t="str">
        <f>IF('FUENTE NO BORRAR'!A2258="","",(IF('FUENTE NO BORRAR'!A2258&lt;&gt;"Resultado total",'FUENTE NO BORRAR'!A2258,"")))</f>
        <v/>
      </c>
      <c r="B2240" s="5" t="str">
        <f>IF('FUENTE NO BORRAR'!B2258="","",'FUENTE NO BORRAR'!B2258)</f>
        <v/>
      </c>
      <c r="C2240" s="5" t="str">
        <f>IF('FUENTE NO BORRAR'!C2258="","",'FUENTE NO BORRAR'!C2258)</f>
        <v/>
      </c>
      <c r="D2240" s="5" t="str">
        <f>IF('FUENTE NO BORRAR'!D2258="","",'FUENTE NO BORRAR'!D2258)</f>
        <v/>
      </c>
      <c r="E2240" s="5" t="str">
        <f>IF('FUENTE NO BORRAR'!E2258="","",'FUENTE NO BORRAR'!E2258)</f>
        <v/>
      </c>
      <c r="F2240" s="6">
        <f>IF('FUENTE NO BORRAR'!F2258="","",IF('FUENTE NO BORRAR'!$A2258&lt;&gt;"Resultado total",('FUENTE NO BORRAR'!F2258),""))</f>
        <v>227647.68</v>
      </c>
      <c r="G2240" s="6">
        <f>IF('FUENTE NO BORRAR'!G2258="","",IF('FUENTE NO BORRAR'!$A2258&lt;&gt;"Resultado total",('FUENTE NO BORRAR'!G2258),""))</f>
        <v>227647.68</v>
      </c>
      <c r="H2240" s="6">
        <f>IF('FUENTE NO BORRAR'!H2258="","",IF('FUENTE NO BORRAR'!$A2258&lt;&gt;"Resultado total",('FUENTE NO BORRAR'!H2258),""))</f>
        <v>208677.04</v>
      </c>
      <c r="I2240" s="6">
        <f>IF('FUENTE NO BORRAR'!I2258="","",IF('FUENTE NO BORRAR'!$A2258&lt;&gt;"Resultado total",('FUENTE NO BORRAR'!I2258),""))</f>
        <v>0</v>
      </c>
    </row>
    <row r="2241" spans="1:9" x14ac:dyDescent="0.2">
      <c r="A2241" s="5" t="str">
        <f>IF('FUENTE NO BORRAR'!A2259="","",(IF('FUENTE NO BORRAR'!A2259&lt;&gt;"Resultado total",'FUENTE NO BORRAR'!A2259,"")))</f>
        <v/>
      </c>
      <c r="B2241" s="5" t="str">
        <f>IF('FUENTE NO BORRAR'!B2259="","",'FUENTE NO BORRAR'!B2259)</f>
        <v/>
      </c>
      <c r="C2241" s="5" t="str">
        <f>IF('FUENTE NO BORRAR'!C2259="","",'FUENTE NO BORRAR'!C2259)</f>
        <v/>
      </c>
      <c r="D2241" s="5" t="str">
        <f>IF('FUENTE NO BORRAR'!D2259="","",'FUENTE NO BORRAR'!D2259)</f>
        <v/>
      </c>
      <c r="E2241" s="5" t="str">
        <f>IF('FUENTE NO BORRAR'!E2259="","",'FUENTE NO BORRAR'!E2259)</f>
        <v/>
      </c>
      <c r="F2241" s="6">
        <f>IF('FUENTE NO BORRAR'!F2259="","",IF('FUENTE NO BORRAR'!$A2259&lt;&gt;"Resultado total",('FUENTE NO BORRAR'!F2259),""))</f>
        <v>0</v>
      </c>
      <c r="G2241" s="6">
        <f>IF('FUENTE NO BORRAR'!G2259="","",IF('FUENTE NO BORRAR'!$A2259&lt;&gt;"Resultado total",('FUENTE NO BORRAR'!G2259),""))</f>
        <v>0</v>
      </c>
      <c r="H2241" s="6">
        <f>IF('FUENTE NO BORRAR'!H2259="","",IF('FUENTE NO BORRAR'!$A2259&lt;&gt;"Resultado total",('FUENTE NO BORRAR'!H2259),""))</f>
        <v>0</v>
      </c>
      <c r="I2241" s="6">
        <f>IF('FUENTE NO BORRAR'!I2259="","",IF('FUENTE NO BORRAR'!$A2259&lt;&gt;"Resultado total",('FUENTE NO BORRAR'!I2259),""))</f>
        <v>0</v>
      </c>
    </row>
    <row r="2242" spans="1:9" x14ac:dyDescent="0.2">
      <c r="A2242" s="5" t="str">
        <f>IF('FUENTE NO BORRAR'!A2260="","",(IF('FUENTE NO BORRAR'!A2260&lt;&gt;"Resultado total",'FUENTE NO BORRAR'!A2260,"")))</f>
        <v/>
      </c>
      <c r="B2242" s="5" t="str">
        <f>IF('FUENTE NO BORRAR'!B2260="","",'FUENTE NO BORRAR'!B2260)</f>
        <v/>
      </c>
      <c r="C2242" s="5" t="str">
        <f>IF('FUENTE NO BORRAR'!C2260="","",'FUENTE NO BORRAR'!C2260)</f>
        <v/>
      </c>
      <c r="D2242" s="5" t="str">
        <f>IF('FUENTE NO BORRAR'!D2260="","",'FUENTE NO BORRAR'!D2260)</f>
        <v/>
      </c>
      <c r="E2242" s="5" t="str">
        <f>IF('FUENTE NO BORRAR'!E2260="","",'FUENTE NO BORRAR'!E2260)</f>
        <v/>
      </c>
      <c r="F2242" s="6">
        <f>IF('FUENTE NO BORRAR'!F2260="","",IF('FUENTE NO BORRAR'!$A2260&lt;&gt;"Resultado total",('FUENTE NO BORRAR'!F2260),""))</f>
        <v>750</v>
      </c>
      <c r="G2242" s="6">
        <f>IF('FUENTE NO BORRAR'!G2260="","",IF('FUENTE NO BORRAR'!$A2260&lt;&gt;"Resultado total",('FUENTE NO BORRAR'!G2260),""))</f>
        <v>750</v>
      </c>
      <c r="H2242" s="6">
        <f>IF('FUENTE NO BORRAR'!H2260="","",IF('FUENTE NO BORRAR'!$A2260&lt;&gt;"Resultado total",('FUENTE NO BORRAR'!H2260),""))</f>
        <v>750</v>
      </c>
      <c r="I2242" s="6">
        <f>IF('FUENTE NO BORRAR'!I2260="","",IF('FUENTE NO BORRAR'!$A2260&lt;&gt;"Resultado total",('FUENTE NO BORRAR'!I2260),""))</f>
        <v>0</v>
      </c>
    </row>
    <row r="2243" spans="1:9" x14ac:dyDescent="0.2">
      <c r="A2243" s="5" t="str">
        <f>IF('FUENTE NO BORRAR'!A2261="","",(IF('FUENTE NO BORRAR'!A2261&lt;&gt;"Resultado total",'FUENTE NO BORRAR'!A2261,"")))</f>
        <v/>
      </c>
      <c r="B2243" s="5" t="str">
        <f>IF('FUENTE NO BORRAR'!B2261="","",'FUENTE NO BORRAR'!B2261)</f>
        <v/>
      </c>
      <c r="C2243" s="5" t="str">
        <f>IF('FUENTE NO BORRAR'!C2261="","",'FUENTE NO BORRAR'!C2261)</f>
        <v/>
      </c>
      <c r="D2243" s="5" t="str">
        <f>IF('FUENTE NO BORRAR'!D2261="","",'FUENTE NO BORRAR'!D2261)</f>
        <v/>
      </c>
      <c r="E2243" s="5" t="str">
        <f>IF('FUENTE NO BORRAR'!E2261="","",'FUENTE NO BORRAR'!E2261)</f>
        <v/>
      </c>
      <c r="F2243" s="6">
        <f>IF('FUENTE NO BORRAR'!F2261="","",IF('FUENTE NO BORRAR'!$A2261&lt;&gt;"Resultado total",('FUENTE NO BORRAR'!F2261),""))</f>
        <v>451430.43</v>
      </c>
      <c r="G2243" s="6">
        <f>IF('FUENTE NO BORRAR'!G2261="","",IF('FUENTE NO BORRAR'!$A2261&lt;&gt;"Resultado total",('FUENTE NO BORRAR'!G2261),""))</f>
        <v>451430.43</v>
      </c>
      <c r="H2243" s="6">
        <f>IF('FUENTE NO BORRAR'!H2261="","",IF('FUENTE NO BORRAR'!$A2261&lt;&gt;"Resultado total",('FUENTE NO BORRAR'!H2261),""))</f>
        <v>451430.43</v>
      </c>
      <c r="I2243" s="6">
        <f>IF('FUENTE NO BORRAR'!I2261="","",IF('FUENTE NO BORRAR'!$A2261&lt;&gt;"Resultado total",('FUENTE NO BORRAR'!I2261),""))</f>
        <v>0</v>
      </c>
    </row>
    <row r="2244" spans="1:9" x14ac:dyDescent="0.2">
      <c r="A2244" s="5" t="str">
        <f>IF('FUENTE NO BORRAR'!A2262="","",(IF('FUENTE NO BORRAR'!A2262&lt;&gt;"Resultado total",'FUENTE NO BORRAR'!A2262,"")))</f>
        <v/>
      </c>
      <c r="B2244" s="5" t="str">
        <f>IF('FUENTE NO BORRAR'!B2262="","",'FUENTE NO BORRAR'!B2262)</f>
        <v/>
      </c>
      <c r="C2244" s="5" t="str">
        <f>IF('FUENTE NO BORRAR'!C2262="","",'FUENTE NO BORRAR'!C2262)</f>
        <v/>
      </c>
      <c r="D2244" s="5" t="str">
        <f>IF('FUENTE NO BORRAR'!D2262="","",'FUENTE NO BORRAR'!D2262)</f>
        <v/>
      </c>
      <c r="E2244" s="5" t="str">
        <f>IF('FUENTE NO BORRAR'!E2262="","",'FUENTE NO BORRAR'!E2262)</f>
        <v/>
      </c>
      <c r="F2244" s="6">
        <f>IF('FUENTE NO BORRAR'!F2262="","",IF('FUENTE NO BORRAR'!$A2262&lt;&gt;"Resultado total",('FUENTE NO BORRAR'!F2262),""))</f>
        <v>14964</v>
      </c>
      <c r="G2244" s="6">
        <f>IF('FUENTE NO BORRAR'!G2262="","",IF('FUENTE NO BORRAR'!$A2262&lt;&gt;"Resultado total",('FUENTE NO BORRAR'!G2262),""))</f>
        <v>14964</v>
      </c>
      <c r="H2244" s="6">
        <f>IF('FUENTE NO BORRAR'!H2262="","",IF('FUENTE NO BORRAR'!$A2262&lt;&gt;"Resultado total",('FUENTE NO BORRAR'!H2262),""))</f>
        <v>14964</v>
      </c>
      <c r="I2244" s="6">
        <f>IF('FUENTE NO BORRAR'!I2262="","",IF('FUENTE NO BORRAR'!$A2262&lt;&gt;"Resultado total",('FUENTE NO BORRAR'!I2262),""))</f>
        <v>0</v>
      </c>
    </row>
    <row r="2245" spans="1:9" x14ac:dyDescent="0.2">
      <c r="A2245" s="5" t="str">
        <f>IF('FUENTE NO BORRAR'!A2263="","",(IF('FUENTE NO BORRAR'!A2263&lt;&gt;"Resultado total",'FUENTE NO BORRAR'!A2263,"")))</f>
        <v/>
      </c>
      <c r="B2245" s="5" t="str">
        <f>IF('FUENTE NO BORRAR'!B2263="","",'FUENTE NO BORRAR'!B2263)</f>
        <v/>
      </c>
      <c r="C2245" s="5" t="str">
        <f>IF('FUENTE NO BORRAR'!C2263="","",'FUENTE NO BORRAR'!C2263)</f>
        <v/>
      </c>
      <c r="D2245" s="5" t="str">
        <f>IF('FUENTE NO BORRAR'!D2263="","",'FUENTE NO BORRAR'!D2263)</f>
        <v/>
      </c>
      <c r="E2245" s="5" t="str">
        <f>IF('FUENTE NO BORRAR'!E2263="","",'FUENTE NO BORRAR'!E2263)</f>
        <v/>
      </c>
      <c r="F2245" s="6">
        <f>IF('FUENTE NO BORRAR'!F2263="","",IF('FUENTE NO BORRAR'!$A2263&lt;&gt;"Resultado total",('FUENTE NO BORRAR'!F2263),""))</f>
        <v>232000</v>
      </c>
      <c r="G2245" s="6">
        <f>IF('FUENTE NO BORRAR'!G2263="","",IF('FUENTE NO BORRAR'!$A2263&lt;&gt;"Resultado total",('FUENTE NO BORRAR'!G2263),""))</f>
        <v>232000</v>
      </c>
      <c r="H2245" s="6">
        <f>IF('FUENTE NO BORRAR'!H2263="","",IF('FUENTE NO BORRAR'!$A2263&lt;&gt;"Resultado total",('FUENTE NO BORRAR'!H2263),""))</f>
        <v>232000</v>
      </c>
      <c r="I2245" s="6">
        <f>IF('FUENTE NO BORRAR'!I2263="","",IF('FUENTE NO BORRAR'!$A2263&lt;&gt;"Resultado total",('FUENTE NO BORRAR'!I2263),""))</f>
        <v>0</v>
      </c>
    </row>
    <row r="2246" spans="1:9" x14ac:dyDescent="0.2">
      <c r="A2246" s="5" t="str">
        <f>IF('FUENTE NO BORRAR'!A2264="","",(IF('FUENTE NO BORRAR'!A2264&lt;&gt;"Resultado total",'FUENTE NO BORRAR'!A2264,"")))</f>
        <v/>
      </c>
      <c r="B2246" s="5" t="str">
        <f>IF('FUENTE NO BORRAR'!B2264="","",'FUENTE NO BORRAR'!B2264)</f>
        <v/>
      </c>
      <c r="C2246" s="5" t="str">
        <f>IF('FUENTE NO BORRAR'!C2264="","",'FUENTE NO BORRAR'!C2264)</f>
        <v/>
      </c>
      <c r="D2246" s="5" t="str">
        <f>IF('FUENTE NO BORRAR'!D2264="","",'FUENTE NO BORRAR'!D2264)</f>
        <v/>
      </c>
      <c r="E2246" s="5" t="str">
        <f>IF('FUENTE NO BORRAR'!E2264="","",'FUENTE NO BORRAR'!E2264)</f>
        <v/>
      </c>
      <c r="F2246" s="6">
        <f>IF('FUENTE NO BORRAR'!F2264="","",IF('FUENTE NO BORRAR'!$A2264&lt;&gt;"Resultado total",('FUENTE NO BORRAR'!F2264),""))</f>
        <v>255200</v>
      </c>
      <c r="G2246" s="6">
        <f>IF('FUENTE NO BORRAR'!G2264="","",IF('FUENTE NO BORRAR'!$A2264&lt;&gt;"Resultado total",('FUENTE NO BORRAR'!G2264),""))</f>
        <v>255200</v>
      </c>
      <c r="H2246" s="6">
        <f>IF('FUENTE NO BORRAR'!H2264="","",IF('FUENTE NO BORRAR'!$A2264&lt;&gt;"Resultado total",('FUENTE NO BORRAR'!H2264),""))</f>
        <v>255200</v>
      </c>
      <c r="I2246" s="6">
        <f>IF('FUENTE NO BORRAR'!I2264="","",IF('FUENTE NO BORRAR'!$A2264&lt;&gt;"Resultado total",('FUENTE NO BORRAR'!I2264),""))</f>
        <v>0</v>
      </c>
    </row>
    <row r="2247" spans="1:9" x14ac:dyDescent="0.2">
      <c r="A2247" s="5" t="str">
        <f>IF('FUENTE NO BORRAR'!A2265="","",(IF('FUENTE NO BORRAR'!A2265&lt;&gt;"Resultado total",'FUENTE NO BORRAR'!A2265,"")))</f>
        <v/>
      </c>
      <c r="B2247" s="5" t="str">
        <f>IF('FUENTE NO BORRAR'!B2265="","",'FUENTE NO BORRAR'!B2265)</f>
        <v/>
      </c>
      <c r="C2247" s="5" t="str">
        <f>IF('FUENTE NO BORRAR'!C2265="","",'FUENTE NO BORRAR'!C2265)</f>
        <v/>
      </c>
      <c r="D2247" s="5" t="str">
        <f>IF('FUENTE NO BORRAR'!D2265="","",'FUENTE NO BORRAR'!D2265)</f>
        <v/>
      </c>
      <c r="E2247" s="5" t="str">
        <f>IF('FUENTE NO BORRAR'!E2265="","",'FUENTE NO BORRAR'!E2265)</f>
        <v/>
      </c>
      <c r="F2247" s="6">
        <f>IF('FUENTE NO BORRAR'!F2265="","",IF('FUENTE NO BORRAR'!$A2265&lt;&gt;"Resultado total",('FUENTE NO BORRAR'!F2265),""))</f>
        <v>13990002.93</v>
      </c>
      <c r="G2247" s="6">
        <f>IF('FUENTE NO BORRAR'!G2265="","",IF('FUENTE NO BORRAR'!$A2265&lt;&gt;"Resultado total",('FUENTE NO BORRAR'!G2265),""))</f>
        <v>13990002.93</v>
      </c>
      <c r="H2247" s="6">
        <f>IF('FUENTE NO BORRAR'!H2265="","",IF('FUENTE NO BORRAR'!$A2265&lt;&gt;"Resultado total",('FUENTE NO BORRAR'!H2265),""))</f>
        <v>12550052.59</v>
      </c>
      <c r="I2247" s="6">
        <f>IF('FUENTE NO BORRAR'!I2265="","",IF('FUENTE NO BORRAR'!$A2265&lt;&gt;"Resultado total",('FUENTE NO BORRAR'!I2265),""))</f>
        <v>2.0000000000000001E-9</v>
      </c>
    </row>
    <row r="2248" spans="1:9" x14ac:dyDescent="0.2">
      <c r="A2248" s="5" t="str">
        <f>IF('FUENTE NO BORRAR'!A2266="","",(IF('FUENTE NO BORRAR'!A2266&lt;&gt;"Resultado total",'FUENTE NO BORRAR'!A2266,"")))</f>
        <v/>
      </c>
      <c r="B2248" s="5" t="str">
        <f>IF('FUENTE NO BORRAR'!B2266="","",'FUENTE NO BORRAR'!B2266)</f>
        <v/>
      </c>
      <c r="C2248" s="5" t="str">
        <f>IF('FUENTE NO BORRAR'!C2266="","",'FUENTE NO BORRAR'!C2266)</f>
        <v/>
      </c>
      <c r="D2248" s="5" t="str">
        <f>IF('FUENTE NO BORRAR'!D2266="","",'FUENTE NO BORRAR'!D2266)</f>
        <v/>
      </c>
      <c r="E2248" s="5" t="str">
        <f>IF('FUENTE NO BORRAR'!E2266="","",'FUENTE NO BORRAR'!E2266)</f>
        <v/>
      </c>
      <c r="F2248" s="6">
        <f>IF('FUENTE NO BORRAR'!F2266="","",IF('FUENTE NO BORRAR'!$A2266&lt;&gt;"Resultado total",('FUENTE NO BORRAR'!F2266),""))</f>
        <v>0</v>
      </c>
      <c r="G2248" s="6">
        <f>IF('FUENTE NO BORRAR'!G2266="","",IF('FUENTE NO BORRAR'!$A2266&lt;&gt;"Resultado total",('FUENTE NO BORRAR'!G2266),""))</f>
        <v>0</v>
      </c>
      <c r="H2248" s="6">
        <f>IF('FUENTE NO BORRAR'!H2266="","",IF('FUENTE NO BORRAR'!$A2266&lt;&gt;"Resultado total",('FUENTE NO BORRAR'!H2266),""))</f>
        <v>0</v>
      </c>
      <c r="I2248" s="6">
        <f>IF('FUENTE NO BORRAR'!I2266="","",IF('FUENTE NO BORRAR'!$A2266&lt;&gt;"Resultado total",('FUENTE NO BORRAR'!I2266),""))</f>
        <v>0</v>
      </c>
    </row>
    <row r="2249" spans="1:9" x14ac:dyDescent="0.2">
      <c r="A2249" s="5" t="str">
        <f>IF('FUENTE NO BORRAR'!A2267="","",(IF('FUENTE NO BORRAR'!A2267&lt;&gt;"Resultado total",'FUENTE NO BORRAR'!A2267,"")))</f>
        <v/>
      </c>
      <c r="B2249" s="5" t="str">
        <f>IF('FUENTE NO BORRAR'!B2267="","",'FUENTE NO BORRAR'!B2267)</f>
        <v/>
      </c>
      <c r="C2249" s="5" t="str">
        <f>IF('FUENTE NO BORRAR'!C2267="","",'FUENTE NO BORRAR'!C2267)</f>
        <v/>
      </c>
      <c r="D2249" s="5" t="str">
        <f>IF('FUENTE NO BORRAR'!D2267="","",'FUENTE NO BORRAR'!D2267)</f>
        <v/>
      </c>
      <c r="E2249" s="5" t="str">
        <f>IF('FUENTE NO BORRAR'!E2267="","",'FUENTE NO BORRAR'!E2267)</f>
        <v/>
      </c>
      <c r="F2249" s="6">
        <f>IF('FUENTE NO BORRAR'!F2267="","",IF('FUENTE NO BORRAR'!$A2267&lt;&gt;"Resultado total",('FUENTE NO BORRAR'!F2267),""))</f>
        <v>776759</v>
      </c>
      <c r="G2249" s="6">
        <f>IF('FUENTE NO BORRAR'!G2267="","",IF('FUENTE NO BORRAR'!$A2267&lt;&gt;"Resultado total",('FUENTE NO BORRAR'!G2267),""))</f>
        <v>776759</v>
      </c>
      <c r="H2249" s="6">
        <f>IF('FUENTE NO BORRAR'!H2267="","",IF('FUENTE NO BORRAR'!$A2267&lt;&gt;"Resultado total",('FUENTE NO BORRAR'!H2267),""))</f>
        <v>466639.96</v>
      </c>
      <c r="I2249" s="6">
        <f>IF('FUENTE NO BORRAR'!I2267="","",IF('FUENTE NO BORRAR'!$A2267&lt;&gt;"Resultado total",('FUENTE NO BORRAR'!I2267),""))</f>
        <v>0</v>
      </c>
    </row>
    <row r="2250" spans="1:9" x14ac:dyDescent="0.2">
      <c r="A2250" s="5" t="str">
        <f>IF('FUENTE NO BORRAR'!A2268="","",(IF('FUENTE NO BORRAR'!A2268&lt;&gt;"Resultado total",'FUENTE NO BORRAR'!A2268,"")))</f>
        <v/>
      </c>
      <c r="B2250" s="5" t="str">
        <f>IF('FUENTE NO BORRAR'!B2268="","",'FUENTE NO BORRAR'!B2268)</f>
        <v/>
      </c>
      <c r="C2250" s="5" t="str">
        <f>IF('FUENTE NO BORRAR'!C2268="","",'FUENTE NO BORRAR'!C2268)</f>
        <v/>
      </c>
      <c r="D2250" s="5" t="str">
        <f>IF('FUENTE NO BORRAR'!D2268="","",'FUENTE NO BORRAR'!D2268)</f>
        <v/>
      </c>
      <c r="E2250" s="5" t="str">
        <f>IF('FUENTE NO BORRAR'!E2268="","",'FUENTE NO BORRAR'!E2268)</f>
        <v/>
      </c>
      <c r="F2250" s="6">
        <f>IF('FUENTE NO BORRAR'!F2268="","",IF('FUENTE NO BORRAR'!$A2268&lt;&gt;"Resultado total",('FUENTE NO BORRAR'!F2268),""))</f>
        <v>456185.24</v>
      </c>
      <c r="G2250" s="6">
        <f>IF('FUENTE NO BORRAR'!G2268="","",IF('FUENTE NO BORRAR'!$A2268&lt;&gt;"Resultado total",('FUENTE NO BORRAR'!G2268),""))</f>
        <v>456185.24</v>
      </c>
      <c r="H2250" s="6">
        <f>IF('FUENTE NO BORRAR'!H2268="","",IF('FUENTE NO BORRAR'!$A2268&lt;&gt;"Resultado total",('FUENTE NO BORRAR'!H2268),""))</f>
        <v>418764.31</v>
      </c>
      <c r="I2250" s="6">
        <f>IF('FUENTE NO BORRAR'!I2268="","",IF('FUENTE NO BORRAR'!$A2268&lt;&gt;"Resultado total",('FUENTE NO BORRAR'!I2268),""))</f>
        <v>0</v>
      </c>
    </row>
    <row r="2251" spans="1:9" x14ac:dyDescent="0.2">
      <c r="A2251" s="5" t="str">
        <f>IF('FUENTE NO BORRAR'!A2269="","",(IF('FUENTE NO BORRAR'!A2269&lt;&gt;"Resultado total",'FUENTE NO BORRAR'!A2269,"")))</f>
        <v/>
      </c>
      <c r="B2251" s="5" t="str">
        <f>IF('FUENTE NO BORRAR'!B2269="","",'FUENTE NO BORRAR'!B2269)</f>
        <v/>
      </c>
      <c r="C2251" s="5" t="str">
        <f>IF('FUENTE NO BORRAR'!C2269="","",'FUENTE NO BORRAR'!C2269)</f>
        <v/>
      </c>
      <c r="D2251" s="5" t="str">
        <f>IF('FUENTE NO BORRAR'!D2269="","",'FUENTE NO BORRAR'!D2269)</f>
        <v/>
      </c>
      <c r="E2251" s="5" t="str">
        <f>IF('FUENTE NO BORRAR'!E2269="","",'FUENTE NO BORRAR'!E2269)</f>
        <v/>
      </c>
      <c r="F2251" s="6">
        <f>IF('FUENTE NO BORRAR'!F2269="","",IF('FUENTE NO BORRAR'!$A2269&lt;&gt;"Resultado total",('FUENTE NO BORRAR'!F2269),""))</f>
        <v>12000.47</v>
      </c>
      <c r="G2251" s="6">
        <f>IF('FUENTE NO BORRAR'!G2269="","",IF('FUENTE NO BORRAR'!$A2269&lt;&gt;"Resultado total",('FUENTE NO BORRAR'!G2269),""))</f>
        <v>12000.47</v>
      </c>
      <c r="H2251" s="6">
        <f>IF('FUENTE NO BORRAR'!H2269="","",IF('FUENTE NO BORRAR'!$A2269&lt;&gt;"Resultado total",('FUENTE NO BORRAR'!H2269),""))</f>
        <v>12000.47</v>
      </c>
      <c r="I2251" s="6">
        <f>IF('FUENTE NO BORRAR'!I2269="","",IF('FUENTE NO BORRAR'!$A2269&lt;&gt;"Resultado total",('FUENTE NO BORRAR'!I2269),""))</f>
        <v>0</v>
      </c>
    </row>
    <row r="2252" spans="1:9" x14ac:dyDescent="0.2">
      <c r="A2252" s="5" t="str">
        <f>IF('FUENTE NO BORRAR'!A2270="","",(IF('FUENTE NO BORRAR'!A2270&lt;&gt;"Resultado total",'FUENTE NO BORRAR'!A2270,"")))</f>
        <v/>
      </c>
      <c r="B2252" s="5" t="str">
        <f>IF('FUENTE NO BORRAR'!B2270="","",'FUENTE NO BORRAR'!B2270)</f>
        <v/>
      </c>
      <c r="C2252" s="5" t="str">
        <f>IF('FUENTE NO BORRAR'!C2270="","",'FUENTE NO BORRAR'!C2270)</f>
        <v/>
      </c>
      <c r="D2252" s="5" t="str">
        <f>IF('FUENTE NO BORRAR'!D2270="","",'FUENTE NO BORRAR'!D2270)</f>
        <v/>
      </c>
      <c r="E2252" s="5" t="str">
        <f>IF('FUENTE NO BORRAR'!E2270="","",'FUENTE NO BORRAR'!E2270)</f>
        <v/>
      </c>
      <c r="F2252" s="6">
        <f>IF('FUENTE NO BORRAR'!F2270="","",IF('FUENTE NO BORRAR'!$A2270&lt;&gt;"Resultado total",('FUENTE NO BORRAR'!F2270),""))</f>
        <v>696</v>
      </c>
      <c r="G2252" s="6">
        <f>IF('FUENTE NO BORRAR'!G2270="","",IF('FUENTE NO BORRAR'!$A2270&lt;&gt;"Resultado total",('FUENTE NO BORRAR'!G2270),""))</f>
        <v>696</v>
      </c>
      <c r="H2252" s="6">
        <f>IF('FUENTE NO BORRAR'!H2270="","",IF('FUENTE NO BORRAR'!$A2270&lt;&gt;"Resultado total",('FUENTE NO BORRAR'!H2270),""))</f>
        <v>696</v>
      </c>
      <c r="I2252" s="6">
        <f>IF('FUENTE NO BORRAR'!I2270="","",IF('FUENTE NO BORRAR'!$A2270&lt;&gt;"Resultado total",('FUENTE NO BORRAR'!I2270),""))</f>
        <v>0</v>
      </c>
    </row>
    <row r="2253" spans="1:9" x14ac:dyDescent="0.2">
      <c r="A2253" s="5" t="str">
        <f>IF('FUENTE NO BORRAR'!A2271="","",(IF('FUENTE NO BORRAR'!A2271&lt;&gt;"Resultado total",'FUENTE NO BORRAR'!A2271,"")))</f>
        <v/>
      </c>
      <c r="B2253" s="5" t="str">
        <f>IF('FUENTE NO BORRAR'!B2271="","",'FUENTE NO BORRAR'!B2271)</f>
        <v/>
      </c>
      <c r="C2253" s="5" t="str">
        <f>IF('FUENTE NO BORRAR'!C2271="","",'FUENTE NO BORRAR'!C2271)</f>
        <v/>
      </c>
      <c r="D2253" s="5" t="str">
        <f>IF('FUENTE NO BORRAR'!D2271="","",'FUENTE NO BORRAR'!D2271)</f>
        <v/>
      </c>
      <c r="E2253" s="5" t="str">
        <f>IF('FUENTE NO BORRAR'!E2271="","",'FUENTE NO BORRAR'!E2271)</f>
        <v/>
      </c>
      <c r="F2253" s="6">
        <f>IF('FUENTE NO BORRAR'!F2271="","",IF('FUENTE NO BORRAR'!$A2271&lt;&gt;"Resultado total",('FUENTE NO BORRAR'!F2271),""))</f>
        <v>50720.42</v>
      </c>
      <c r="G2253" s="6">
        <f>IF('FUENTE NO BORRAR'!G2271="","",IF('FUENTE NO BORRAR'!$A2271&lt;&gt;"Resultado total",('FUENTE NO BORRAR'!G2271),""))</f>
        <v>50720.42</v>
      </c>
      <c r="H2253" s="6">
        <f>IF('FUENTE NO BORRAR'!H2271="","",IF('FUENTE NO BORRAR'!$A2271&lt;&gt;"Resultado total",('FUENTE NO BORRAR'!H2271),""))</f>
        <v>50720.42</v>
      </c>
      <c r="I2253" s="6">
        <f>IF('FUENTE NO BORRAR'!I2271="","",IF('FUENTE NO BORRAR'!$A2271&lt;&gt;"Resultado total",('FUENTE NO BORRAR'!I2271),""))</f>
        <v>0</v>
      </c>
    </row>
    <row r="2254" spans="1:9" x14ac:dyDescent="0.2">
      <c r="A2254" s="5" t="str">
        <f>IF('FUENTE NO BORRAR'!A2272="","",(IF('FUENTE NO BORRAR'!A2272&lt;&gt;"Resultado total",'FUENTE NO BORRAR'!A2272,"")))</f>
        <v/>
      </c>
      <c r="B2254" s="5" t="str">
        <f>IF('FUENTE NO BORRAR'!B2272="","",'FUENTE NO BORRAR'!B2272)</f>
        <v/>
      </c>
      <c r="C2254" s="5" t="str">
        <f>IF('FUENTE NO BORRAR'!C2272="","",'FUENTE NO BORRAR'!C2272)</f>
        <v/>
      </c>
      <c r="D2254" s="5" t="str">
        <f>IF('FUENTE NO BORRAR'!D2272="","",'FUENTE NO BORRAR'!D2272)</f>
        <v/>
      </c>
      <c r="E2254" s="5" t="str">
        <f>IF('FUENTE NO BORRAR'!E2272="","",'FUENTE NO BORRAR'!E2272)</f>
        <v/>
      </c>
      <c r="F2254" s="6">
        <f>IF('FUENTE NO BORRAR'!F2272="","",IF('FUENTE NO BORRAR'!$A2272&lt;&gt;"Resultado total",('FUENTE NO BORRAR'!F2272),""))</f>
        <v>1102</v>
      </c>
      <c r="G2254" s="6">
        <f>IF('FUENTE NO BORRAR'!G2272="","",IF('FUENTE NO BORRAR'!$A2272&lt;&gt;"Resultado total",('FUENTE NO BORRAR'!G2272),""))</f>
        <v>1102</v>
      </c>
      <c r="H2254" s="6">
        <f>IF('FUENTE NO BORRAR'!H2272="","",IF('FUENTE NO BORRAR'!$A2272&lt;&gt;"Resultado total",('FUENTE NO BORRAR'!H2272),""))</f>
        <v>1102</v>
      </c>
      <c r="I2254" s="6">
        <f>IF('FUENTE NO BORRAR'!I2272="","",IF('FUENTE NO BORRAR'!$A2272&lt;&gt;"Resultado total",('FUENTE NO BORRAR'!I2272),""))</f>
        <v>0</v>
      </c>
    </row>
    <row r="2255" spans="1:9" x14ac:dyDescent="0.2">
      <c r="A2255" s="5" t="str">
        <f>IF('FUENTE NO BORRAR'!A2273="","",(IF('FUENTE NO BORRAR'!A2273&lt;&gt;"Resultado total",'FUENTE NO BORRAR'!A2273,"")))</f>
        <v/>
      </c>
      <c r="B2255" s="5" t="str">
        <f>IF('FUENTE NO BORRAR'!B2273="","",'FUENTE NO BORRAR'!B2273)</f>
        <v/>
      </c>
      <c r="C2255" s="5" t="str">
        <f>IF('FUENTE NO BORRAR'!C2273="","",'FUENTE NO BORRAR'!C2273)</f>
        <v/>
      </c>
      <c r="D2255" s="5" t="str">
        <f>IF('FUENTE NO BORRAR'!D2273="","",'FUENTE NO BORRAR'!D2273)</f>
        <v/>
      </c>
      <c r="E2255" s="5" t="str">
        <f>IF('FUENTE NO BORRAR'!E2273="","",'FUENTE NO BORRAR'!E2273)</f>
        <v/>
      </c>
      <c r="F2255" s="6">
        <f>IF('FUENTE NO BORRAR'!F2273="","",IF('FUENTE NO BORRAR'!$A2273&lt;&gt;"Resultado total",('FUENTE NO BORRAR'!F2273),""))</f>
        <v>10208</v>
      </c>
      <c r="G2255" s="6">
        <f>IF('FUENTE NO BORRAR'!G2273="","",IF('FUENTE NO BORRAR'!$A2273&lt;&gt;"Resultado total",('FUENTE NO BORRAR'!G2273),""))</f>
        <v>10208</v>
      </c>
      <c r="H2255" s="6">
        <f>IF('FUENTE NO BORRAR'!H2273="","",IF('FUENTE NO BORRAR'!$A2273&lt;&gt;"Resultado total",('FUENTE NO BORRAR'!H2273),""))</f>
        <v>10208</v>
      </c>
      <c r="I2255" s="6">
        <f>IF('FUENTE NO BORRAR'!I2273="","",IF('FUENTE NO BORRAR'!$A2273&lt;&gt;"Resultado total",('FUENTE NO BORRAR'!I2273),""))</f>
        <v>0</v>
      </c>
    </row>
    <row r="2256" spans="1:9" x14ac:dyDescent="0.2">
      <c r="A2256" s="5" t="str">
        <f>IF('FUENTE NO BORRAR'!A2274="","",(IF('FUENTE NO BORRAR'!A2274&lt;&gt;"Resultado total",'FUENTE NO BORRAR'!A2274,"")))</f>
        <v/>
      </c>
      <c r="B2256" s="5" t="str">
        <f>IF('FUENTE NO BORRAR'!B2274="","",'FUENTE NO BORRAR'!B2274)</f>
        <v/>
      </c>
      <c r="C2256" s="5" t="str">
        <f>IF('FUENTE NO BORRAR'!C2274="","",'FUENTE NO BORRAR'!C2274)</f>
        <v/>
      </c>
      <c r="D2256" s="5" t="str">
        <f>IF('FUENTE NO BORRAR'!D2274="","",'FUENTE NO BORRAR'!D2274)</f>
        <v/>
      </c>
      <c r="E2256" s="5" t="str">
        <f>IF('FUENTE NO BORRAR'!E2274="","",'FUENTE NO BORRAR'!E2274)</f>
        <v/>
      </c>
      <c r="F2256" s="6">
        <f>IF('FUENTE NO BORRAR'!F2274="","",IF('FUENTE NO BORRAR'!$A2274&lt;&gt;"Resultado total",('FUENTE NO BORRAR'!F2274),""))</f>
        <v>0</v>
      </c>
      <c r="G2256" s="6">
        <f>IF('FUENTE NO BORRAR'!G2274="","",IF('FUENTE NO BORRAR'!$A2274&lt;&gt;"Resultado total",('FUENTE NO BORRAR'!G2274),""))</f>
        <v>0</v>
      </c>
      <c r="H2256" s="6">
        <f>IF('FUENTE NO BORRAR'!H2274="","",IF('FUENTE NO BORRAR'!$A2274&lt;&gt;"Resultado total",('FUENTE NO BORRAR'!H2274),""))</f>
        <v>0</v>
      </c>
      <c r="I2256" s="6">
        <f>IF('FUENTE NO BORRAR'!I2274="","",IF('FUENTE NO BORRAR'!$A2274&lt;&gt;"Resultado total",('FUENTE NO BORRAR'!I2274),""))</f>
        <v>0</v>
      </c>
    </row>
    <row r="2257" spans="1:9" x14ac:dyDescent="0.2">
      <c r="A2257" s="5" t="str">
        <f>IF('FUENTE NO BORRAR'!A2275="","",(IF('FUENTE NO BORRAR'!A2275&lt;&gt;"Resultado total",'FUENTE NO BORRAR'!A2275,"")))</f>
        <v/>
      </c>
      <c r="B2257" s="5" t="str">
        <f>IF('FUENTE NO BORRAR'!B2275="","",'FUENTE NO BORRAR'!B2275)</f>
        <v/>
      </c>
      <c r="C2257" s="5" t="str">
        <f>IF('FUENTE NO BORRAR'!C2275="","",'FUENTE NO BORRAR'!C2275)</f>
        <v/>
      </c>
      <c r="D2257" s="5" t="str">
        <f>IF('FUENTE NO BORRAR'!D2275="","",'FUENTE NO BORRAR'!D2275)</f>
        <v/>
      </c>
      <c r="E2257" s="5" t="str">
        <f>IF('FUENTE NO BORRAR'!E2275="","",'FUENTE NO BORRAR'!E2275)</f>
        <v/>
      </c>
      <c r="F2257" s="6">
        <f>IF('FUENTE NO BORRAR'!F2275="","",IF('FUENTE NO BORRAR'!$A2275&lt;&gt;"Resultado total",('FUENTE NO BORRAR'!F2275),""))</f>
        <v>0</v>
      </c>
      <c r="G2257" s="6">
        <f>IF('FUENTE NO BORRAR'!G2275="","",IF('FUENTE NO BORRAR'!$A2275&lt;&gt;"Resultado total",('FUENTE NO BORRAR'!G2275),""))</f>
        <v>0</v>
      </c>
      <c r="H2257" s="6">
        <f>IF('FUENTE NO BORRAR'!H2275="","",IF('FUENTE NO BORRAR'!$A2275&lt;&gt;"Resultado total",('FUENTE NO BORRAR'!H2275),""))</f>
        <v>0</v>
      </c>
      <c r="I2257" s="6">
        <f>IF('FUENTE NO BORRAR'!I2275="","",IF('FUENTE NO BORRAR'!$A2275&lt;&gt;"Resultado total",('FUENTE NO BORRAR'!I2275),""))</f>
        <v>0</v>
      </c>
    </row>
    <row r="2258" spans="1:9" x14ac:dyDescent="0.2">
      <c r="A2258" s="5" t="str">
        <f>IF('FUENTE NO BORRAR'!A2276="","",(IF('FUENTE NO BORRAR'!A2276&lt;&gt;"Resultado total",'FUENTE NO BORRAR'!A2276,"")))</f>
        <v/>
      </c>
      <c r="B2258" s="5" t="str">
        <f>IF('FUENTE NO BORRAR'!B2276="","",'FUENTE NO BORRAR'!B2276)</f>
        <v/>
      </c>
      <c r="C2258" s="5" t="str">
        <f>IF('FUENTE NO BORRAR'!C2276="","",'FUENTE NO BORRAR'!C2276)</f>
        <v/>
      </c>
      <c r="D2258" s="5" t="str">
        <f>IF('FUENTE NO BORRAR'!D2276="","",'FUENTE NO BORRAR'!D2276)</f>
        <v/>
      </c>
      <c r="E2258" s="5" t="str">
        <f>IF('FUENTE NO BORRAR'!E2276="","",'FUENTE NO BORRAR'!E2276)</f>
        <v/>
      </c>
      <c r="F2258" s="6">
        <f>IF('FUENTE NO BORRAR'!F2276="","",IF('FUENTE NO BORRAR'!$A2276&lt;&gt;"Resultado total",('FUENTE NO BORRAR'!F2276),""))</f>
        <v>0</v>
      </c>
      <c r="G2258" s="6">
        <f>IF('FUENTE NO BORRAR'!G2276="","",IF('FUENTE NO BORRAR'!$A2276&lt;&gt;"Resultado total",('FUENTE NO BORRAR'!G2276),""))</f>
        <v>0</v>
      </c>
      <c r="H2258" s="6">
        <f>IF('FUENTE NO BORRAR'!H2276="","",IF('FUENTE NO BORRAR'!$A2276&lt;&gt;"Resultado total",('FUENTE NO BORRAR'!H2276),""))</f>
        <v>0</v>
      </c>
      <c r="I2258" s="6">
        <f>IF('FUENTE NO BORRAR'!I2276="","",IF('FUENTE NO BORRAR'!$A2276&lt;&gt;"Resultado total",('FUENTE NO BORRAR'!I2276),""))</f>
        <v>0</v>
      </c>
    </row>
    <row r="2259" spans="1:9" x14ac:dyDescent="0.2">
      <c r="A2259" s="5" t="str">
        <f>IF('FUENTE NO BORRAR'!A2277="","",(IF('FUENTE NO BORRAR'!A2277&lt;&gt;"Resultado total",'FUENTE NO BORRAR'!A2277,"")))</f>
        <v/>
      </c>
      <c r="B2259" s="5" t="str">
        <f>IF('FUENTE NO BORRAR'!B2277="","",'FUENTE NO BORRAR'!B2277)</f>
        <v/>
      </c>
      <c r="C2259" s="5" t="str">
        <f>IF('FUENTE NO BORRAR'!C2277="","",'FUENTE NO BORRAR'!C2277)</f>
        <v/>
      </c>
      <c r="D2259" s="5" t="str">
        <f>IF('FUENTE NO BORRAR'!D2277="","",'FUENTE NO BORRAR'!D2277)</f>
        <v/>
      </c>
      <c r="E2259" s="5" t="str">
        <f>IF('FUENTE NO BORRAR'!E2277="","",'FUENTE NO BORRAR'!E2277)</f>
        <v/>
      </c>
      <c r="F2259" s="6">
        <f>IF('FUENTE NO BORRAR'!F2277="","",IF('FUENTE NO BORRAR'!$A2277&lt;&gt;"Resultado total",('FUENTE NO BORRAR'!F2277),""))</f>
        <v>34471.35</v>
      </c>
      <c r="G2259" s="6">
        <f>IF('FUENTE NO BORRAR'!G2277="","",IF('FUENTE NO BORRAR'!$A2277&lt;&gt;"Resultado total",('FUENTE NO BORRAR'!G2277),""))</f>
        <v>34471.35</v>
      </c>
      <c r="H2259" s="6">
        <f>IF('FUENTE NO BORRAR'!H2277="","",IF('FUENTE NO BORRAR'!$A2277&lt;&gt;"Resultado total",('FUENTE NO BORRAR'!H2277),""))</f>
        <v>34471.35</v>
      </c>
      <c r="I2259" s="6">
        <f>IF('FUENTE NO BORRAR'!I2277="","",IF('FUENTE NO BORRAR'!$A2277&lt;&gt;"Resultado total",('FUENTE NO BORRAR'!I2277),""))</f>
        <v>0</v>
      </c>
    </row>
    <row r="2260" spans="1:9" x14ac:dyDescent="0.2">
      <c r="A2260" s="5" t="str">
        <f>IF('FUENTE NO BORRAR'!A2278="","",(IF('FUENTE NO BORRAR'!A2278&lt;&gt;"Resultado total",'FUENTE NO BORRAR'!A2278,"")))</f>
        <v/>
      </c>
      <c r="B2260" s="5" t="str">
        <f>IF('FUENTE NO BORRAR'!B2278="","",'FUENTE NO BORRAR'!B2278)</f>
        <v/>
      </c>
      <c r="C2260" s="5" t="str">
        <f>IF('FUENTE NO BORRAR'!C2278="","",'FUENTE NO BORRAR'!C2278)</f>
        <v/>
      </c>
      <c r="D2260" s="5" t="str">
        <f>IF('FUENTE NO BORRAR'!D2278="","",'FUENTE NO BORRAR'!D2278)</f>
        <v/>
      </c>
      <c r="E2260" s="5" t="str">
        <f>IF('FUENTE NO BORRAR'!E2278="","",'FUENTE NO BORRAR'!E2278)</f>
        <v/>
      </c>
      <c r="F2260" s="6">
        <f>IF('FUENTE NO BORRAR'!F2278="","",IF('FUENTE NO BORRAR'!$A2278&lt;&gt;"Resultado total",('FUENTE NO BORRAR'!F2278),""))</f>
        <v>0</v>
      </c>
      <c r="G2260" s="6">
        <f>IF('FUENTE NO BORRAR'!G2278="","",IF('FUENTE NO BORRAR'!$A2278&lt;&gt;"Resultado total",('FUENTE NO BORRAR'!G2278),""))</f>
        <v>0</v>
      </c>
      <c r="H2260" s="6">
        <f>IF('FUENTE NO BORRAR'!H2278="","",IF('FUENTE NO BORRAR'!$A2278&lt;&gt;"Resultado total",('FUENTE NO BORRAR'!H2278),""))</f>
        <v>0</v>
      </c>
      <c r="I2260" s="6">
        <f>IF('FUENTE NO BORRAR'!I2278="","",IF('FUENTE NO BORRAR'!$A2278&lt;&gt;"Resultado total",('FUENTE NO BORRAR'!I2278),""))</f>
        <v>0</v>
      </c>
    </row>
    <row r="2261" spans="1:9" x14ac:dyDescent="0.2">
      <c r="A2261" s="5" t="str">
        <f>IF('FUENTE NO BORRAR'!A2279="","",(IF('FUENTE NO BORRAR'!A2279&lt;&gt;"Resultado total",'FUENTE NO BORRAR'!A2279,"")))</f>
        <v/>
      </c>
      <c r="B2261" s="5" t="str">
        <f>IF('FUENTE NO BORRAR'!B2279="","",'FUENTE NO BORRAR'!B2279)</f>
        <v/>
      </c>
      <c r="C2261" s="5" t="str">
        <f>IF('FUENTE NO BORRAR'!C2279="","",'FUENTE NO BORRAR'!C2279)</f>
        <v/>
      </c>
      <c r="D2261" s="5" t="str">
        <f>IF('FUENTE NO BORRAR'!D2279="","",'FUENTE NO BORRAR'!D2279)</f>
        <v/>
      </c>
      <c r="E2261" s="5" t="str">
        <f>IF('FUENTE NO BORRAR'!E2279="","",'FUENTE NO BORRAR'!E2279)</f>
        <v/>
      </c>
      <c r="F2261" s="6">
        <f>IF('FUENTE NO BORRAR'!F2279="","",IF('FUENTE NO BORRAR'!$A2279&lt;&gt;"Resultado total",('FUENTE NO BORRAR'!F2279),""))</f>
        <v>74166.48</v>
      </c>
      <c r="G2261" s="6">
        <f>IF('FUENTE NO BORRAR'!G2279="","",IF('FUENTE NO BORRAR'!$A2279&lt;&gt;"Resultado total",('FUENTE NO BORRAR'!G2279),""))</f>
        <v>74166.48</v>
      </c>
      <c r="H2261" s="6">
        <f>IF('FUENTE NO BORRAR'!H2279="","",IF('FUENTE NO BORRAR'!$A2279&lt;&gt;"Resultado total",('FUENTE NO BORRAR'!H2279),""))</f>
        <v>74166.48</v>
      </c>
      <c r="I2261" s="6">
        <f>IF('FUENTE NO BORRAR'!I2279="","",IF('FUENTE NO BORRAR'!$A2279&lt;&gt;"Resultado total",('FUENTE NO BORRAR'!I2279),""))</f>
        <v>0</v>
      </c>
    </row>
    <row r="2262" spans="1:9" x14ac:dyDescent="0.2">
      <c r="A2262" s="5" t="str">
        <f>IF('FUENTE NO BORRAR'!A2280="","",(IF('FUENTE NO BORRAR'!A2280&lt;&gt;"Resultado total",'FUENTE NO BORRAR'!A2280,"")))</f>
        <v/>
      </c>
      <c r="B2262" s="5" t="str">
        <f>IF('FUENTE NO BORRAR'!B2280="","",'FUENTE NO BORRAR'!B2280)</f>
        <v/>
      </c>
      <c r="C2262" s="5" t="str">
        <f>IF('FUENTE NO BORRAR'!C2280="","",'FUENTE NO BORRAR'!C2280)</f>
        <v/>
      </c>
      <c r="D2262" s="5" t="str">
        <f>IF('FUENTE NO BORRAR'!D2280="","",'FUENTE NO BORRAR'!D2280)</f>
        <v/>
      </c>
      <c r="E2262" s="5" t="str">
        <f>IF('FUENTE NO BORRAR'!E2280="","",'FUENTE NO BORRAR'!E2280)</f>
        <v/>
      </c>
      <c r="F2262" s="6">
        <f>IF('FUENTE NO BORRAR'!F2280="","",IF('FUENTE NO BORRAR'!$A2280&lt;&gt;"Resultado total",('FUENTE NO BORRAR'!F2280),""))</f>
        <v>0</v>
      </c>
      <c r="G2262" s="6">
        <f>IF('FUENTE NO BORRAR'!G2280="","",IF('FUENTE NO BORRAR'!$A2280&lt;&gt;"Resultado total",('FUENTE NO BORRAR'!G2280),""))</f>
        <v>0</v>
      </c>
      <c r="H2262" s="6">
        <f>IF('FUENTE NO BORRAR'!H2280="","",IF('FUENTE NO BORRAR'!$A2280&lt;&gt;"Resultado total",('FUENTE NO BORRAR'!H2280),""))</f>
        <v>0</v>
      </c>
      <c r="I2262" s="6">
        <f>IF('FUENTE NO BORRAR'!I2280="","",IF('FUENTE NO BORRAR'!$A2280&lt;&gt;"Resultado total",('FUENTE NO BORRAR'!I2280),""))</f>
        <v>0</v>
      </c>
    </row>
    <row r="2263" spans="1:9" x14ac:dyDescent="0.2">
      <c r="A2263" s="5" t="str">
        <f>IF('FUENTE NO BORRAR'!A2281="","",(IF('FUENTE NO BORRAR'!A2281&lt;&gt;"Resultado total",'FUENTE NO BORRAR'!A2281,"")))</f>
        <v/>
      </c>
      <c r="B2263" s="5" t="str">
        <f>IF('FUENTE NO BORRAR'!B2281="","",'FUENTE NO BORRAR'!B2281)</f>
        <v/>
      </c>
      <c r="C2263" s="5" t="str">
        <f>IF('FUENTE NO BORRAR'!C2281="","",'FUENTE NO BORRAR'!C2281)</f>
        <v/>
      </c>
      <c r="D2263" s="5" t="str">
        <f>IF('FUENTE NO BORRAR'!D2281="","",'FUENTE NO BORRAR'!D2281)</f>
        <v/>
      </c>
      <c r="E2263" s="5" t="str">
        <f>IF('FUENTE NO BORRAR'!E2281="","",'FUENTE NO BORRAR'!E2281)</f>
        <v/>
      </c>
      <c r="F2263" s="6">
        <f>IF('FUENTE NO BORRAR'!F2281="","",IF('FUENTE NO BORRAR'!$A2281&lt;&gt;"Resultado total",('FUENTE NO BORRAR'!F2281),""))</f>
        <v>23200</v>
      </c>
      <c r="G2263" s="6">
        <f>IF('FUENTE NO BORRAR'!G2281="","",IF('FUENTE NO BORRAR'!$A2281&lt;&gt;"Resultado total",('FUENTE NO BORRAR'!G2281),""))</f>
        <v>23200</v>
      </c>
      <c r="H2263" s="6">
        <f>IF('FUENTE NO BORRAR'!H2281="","",IF('FUENTE NO BORRAR'!$A2281&lt;&gt;"Resultado total",('FUENTE NO BORRAR'!H2281),""))</f>
        <v>0</v>
      </c>
      <c r="I2263" s="6">
        <f>IF('FUENTE NO BORRAR'!I2281="","",IF('FUENTE NO BORRAR'!$A2281&lt;&gt;"Resultado total",('FUENTE NO BORRAR'!I2281),""))</f>
        <v>0</v>
      </c>
    </row>
    <row r="2264" spans="1:9" x14ac:dyDescent="0.2">
      <c r="A2264" s="5" t="str">
        <f>IF('FUENTE NO BORRAR'!A2282="","",(IF('FUENTE NO BORRAR'!A2282&lt;&gt;"Resultado total",'FUENTE NO BORRAR'!A2282,"")))</f>
        <v/>
      </c>
      <c r="B2264" s="5" t="str">
        <f>IF('FUENTE NO BORRAR'!B2282="","",'FUENTE NO BORRAR'!B2282)</f>
        <v/>
      </c>
      <c r="C2264" s="5" t="str">
        <f>IF('FUENTE NO BORRAR'!C2282="","",'FUENTE NO BORRAR'!C2282)</f>
        <v/>
      </c>
      <c r="D2264" s="5" t="str">
        <f>IF('FUENTE NO BORRAR'!D2282="","",'FUENTE NO BORRAR'!D2282)</f>
        <v/>
      </c>
      <c r="E2264" s="5" t="str">
        <f>IF('FUENTE NO BORRAR'!E2282="","",'FUENTE NO BORRAR'!E2282)</f>
        <v/>
      </c>
      <c r="F2264" s="6">
        <f>IF('FUENTE NO BORRAR'!F2282="","",IF('FUENTE NO BORRAR'!$A2282&lt;&gt;"Resultado total",('FUENTE NO BORRAR'!F2282),""))</f>
        <v>0</v>
      </c>
      <c r="G2264" s="6">
        <f>IF('FUENTE NO BORRAR'!G2282="","",IF('FUENTE NO BORRAR'!$A2282&lt;&gt;"Resultado total",('FUENTE NO BORRAR'!G2282),""))</f>
        <v>0</v>
      </c>
      <c r="H2264" s="6">
        <f>IF('FUENTE NO BORRAR'!H2282="","",IF('FUENTE NO BORRAR'!$A2282&lt;&gt;"Resultado total",('FUENTE NO BORRAR'!H2282),""))</f>
        <v>0</v>
      </c>
      <c r="I2264" s="6">
        <f>IF('FUENTE NO BORRAR'!I2282="","",IF('FUENTE NO BORRAR'!$A2282&lt;&gt;"Resultado total",('FUENTE NO BORRAR'!I2282),""))</f>
        <v>0</v>
      </c>
    </row>
    <row r="2265" spans="1:9" x14ac:dyDescent="0.2">
      <c r="A2265" s="5" t="str">
        <f>IF('FUENTE NO BORRAR'!A2283="","",(IF('FUENTE NO BORRAR'!A2283&lt;&gt;"Resultado total",'FUENTE NO BORRAR'!A2283,"")))</f>
        <v/>
      </c>
      <c r="B2265" s="5" t="str">
        <f>IF('FUENTE NO BORRAR'!B2283="","",'FUENTE NO BORRAR'!B2283)</f>
        <v/>
      </c>
      <c r="C2265" s="5" t="str">
        <f>IF('FUENTE NO BORRAR'!C2283="","",'FUENTE NO BORRAR'!C2283)</f>
        <v/>
      </c>
      <c r="D2265" s="5" t="str">
        <f>IF('FUENTE NO BORRAR'!D2283="","",'FUENTE NO BORRAR'!D2283)</f>
        <v/>
      </c>
      <c r="E2265" s="5" t="str">
        <f>IF('FUENTE NO BORRAR'!E2283="","",'FUENTE NO BORRAR'!E2283)</f>
        <v/>
      </c>
      <c r="F2265" s="6">
        <f>IF('FUENTE NO BORRAR'!F2283="","",IF('FUENTE NO BORRAR'!$A2283&lt;&gt;"Resultado total",('FUENTE NO BORRAR'!F2283),""))</f>
        <v>5500</v>
      </c>
      <c r="G2265" s="6">
        <f>IF('FUENTE NO BORRAR'!G2283="","",IF('FUENTE NO BORRAR'!$A2283&lt;&gt;"Resultado total",('FUENTE NO BORRAR'!G2283),""))</f>
        <v>5500</v>
      </c>
      <c r="H2265" s="6">
        <f>IF('FUENTE NO BORRAR'!H2283="","",IF('FUENTE NO BORRAR'!$A2283&lt;&gt;"Resultado total",('FUENTE NO BORRAR'!H2283),""))</f>
        <v>0</v>
      </c>
      <c r="I2265" s="6">
        <f>IF('FUENTE NO BORRAR'!I2283="","",IF('FUENTE NO BORRAR'!$A2283&lt;&gt;"Resultado total",('FUENTE NO BORRAR'!I2283),""))</f>
        <v>0</v>
      </c>
    </row>
    <row r="2266" spans="1:9" x14ac:dyDescent="0.2">
      <c r="A2266" s="5" t="str">
        <f>IF('FUENTE NO BORRAR'!A2284="","",(IF('FUENTE NO BORRAR'!A2284&lt;&gt;"Resultado total",'FUENTE NO BORRAR'!A2284,"")))</f>
        <v/>
      </c>
      <c r="B2266" s="5" t="str">
        <f>IF('FUENTE NO BORRAR'!B2284="","",'FUENTE NO BORRAR'!B2284)</f>
        <v/>
      </c>
      <c r="C2266" s="5" t="str">
        <f>IF('FUENTE NO BORRAR'!C2284="","",'FUENTE NO BORRAR'!C2284)</f>
        <v/>
      </c>
      <c r="D2266" s="5" t="str">
        <f>IF('FUENTE NO BORRAR'!D2284="","",'FUENTE NO BORRAR'!D2284)</f>
        <v/>
      </c>
      <c r="E2266" s="5" t="str">
        <f>IF('FUENTE NO BORRAR'!E2284="","",'FUENTE NO BORRAR'!E2284)</f>
        <v/>
      </c>
      <c r="F2266" s="6">
        <f>IF('FUENTE NO BORRAR'!F2284="","",IF('FUENTE NO BORRAR'!$A2284&lt;&gt;"Resultado total",('FUENTE NO BORRAR'!F2284),""))</f>
        <v>37305.599999999999</v>
      </c>
      <c r="G2266" s="6">
        <f>IF('FUENTE NO BORRAR'!G2284="","",IF('FUENTE NO BORRAR'!$A2284&lt;&gt;"Resultado total",('FUENTE NO BORRAR'!G2284),""))</f>
        <v>37305.599999999999</v>
      </c>
      <c r="H2266" s="6">
        <f>IF('FUENTE NO BORRAR'!H2284="","",IF('FUENTE NO BORRAR'!$A2284&lt;&gt;"Resultado total",('FUENTE NO BORRAR'!H2284),""))</f>
        <v>37305.599999999999</v>
      </c>
      <c r="I2266" s="6">
        <f>IF('FUENTE NO BORRAR'!I2284="","",IF('FUENTE NO BORRAR'!$A2284&lt;&gt;"Resultado total",('FUENTE NO BORRAR'!I2284),""))</f>
        <v>0</v>
      </c>
    </row>
    <row r="2267" spans="1:9" x14ac:dyDescent="0.2">
      <c r="A2267" s="5" t="str">
        <f>IF('FUENTE NO BORRAR'!A2285="","",(IF('FUENTE NO BORRAR'!A2285&lt;&gt;"Resultado total",'FUENTE NO BORRAR'!A2285,"")))</f>
        <v/>
      </c>
      <c r="B2267" s="5" t="str">
        <f>IF('FUENTE NO BORRAR'!B2285="","",'FUENTE NO BORRAR'!B2285)</f>
        <v/>
      </c>
      <c r="C2267" s="5" t="str">
        <f>IF('FUENTE NO BORRAR'!C2285="","",'FUENTE NO BORRAR'!C2285)</f>
        <v/>
      </c>
      <c r="D2267" s="5" t="str">
        <f>IF('FUENTE NO BORRAR'!D2285="","",'FUENTE NO BORRAR'!D2285)</f>
        <v/>
      </c>
      <c r="E2267" s="5" t="str">
        <f>IF('FUENTE NO BORRAR'!E2285="","",'FUENTE NO BORRAR'!E2285)</f>
        <v/>
      </c>
      <c r="F2267" s="6">
        <f>IF('FUENTE NO BORRAR'!F2285="","",IF('FUENTE NO BORRAR'!$A2285&lt;&gt;"Resultado total",('FUENTE NO BORRAR'!F2285),""))</f>
        <v>187011.36</v>
      </c>
      <c r="G2267" s="6">
        <f>IF('FUENTE NO BORRAR'!G2285="","",IF('FUENTE NO BORRAR'!$A2285&lt;&gt;"Resultado total",('FUENTE NO BORRAR'!G2285),""))</f>
        <v>187011.36</v>
      </c>
      <c r="H2267" s="6">
        <f>IF('FUENTE NO BORRAR'!H2285="","",IF('FUENTE NO BORRAR'!$A2285&lt;&gt;"Resultado total",('FUENTE NO BORRAR'!H2285),""))</f>
        <v>180747.36</v>
      </c>
      <c r="I2267" s="6">
        <f>IF('FUENTE NO BORRAR'!I2285="","",IF('FUENTE NO BORRAR'!$A2285&lt;&gt;"Resultado total",('FUENTE NO BORRAR'!I2285),""))</f>
        <v>0</v>
      </c>
    </row>
    <row r="2268" spans="1:9" x14ac:dyDescent="0.2">
      <c r="A2268" s="5" t="str">
        <f>IF('FUENTE NO BORRAR'!A2286="","",(IF('FUENTE NO BORRAR'!A2286&lt;&gt;"Resultado total",'FUENTE NO BORRAR'!A2286,"")))</f>
        <v/>
      </c>
      <c r="B2268" s="5" t="str">
        <f>IF('FUENTE NO BORRAR'!B2286="","",'FUENTE NO BORRAR'!B2286)</f>
        <v/>
      </c>
      <c r="C2268" s="5" t="str">
        <f>IF('FUENTE NO BORRAR'!C2286="","",'FUENTE NO BORRAR'!C2286)</f>
        <v/>
      </c>
      <c r="D2268" s="5" t="str">
        <f>IF('FUENTE NO BORRAR'!D2286="","",'FUENTE NO BORRAR'!D2286)</f>
        <v/>
      </c>
      <c r="E2268" s="5" t="str">
        <f>IF('FUENTE NO BORRAR'!E2286="","",'FUENTE NO BORRAR'!E2286)</f>
        <v/>
      </c>
      <c r="F2268" s="6">
        <f>IF('FUENTE NO BORRAR'!F2286="","",IF('FUENTE NO BORRAR'!$A2286&lt;&gt;"Resultado total",('FUENTE NO BORRAR'!F2286),""))</f>
        <v>0</v>
      </c>
      <c r="G2268" s="6">
        <f>IF('FUENTE NO BORRAR'!G2286="","",IF('FUENTE NO BORRAR'!$A2286&lt;&gt;"Resultado total",('FUENTE NO BORRAR'!G2286),""))</f>
        <v>0</v>
      </c>
      <c r="H2268" s="6">
        <f>IF('FUENTE NO BORRAR'!H2286="","",IF('FUENTE NO BORRAR'!$A2286&lt;&gt;"Resultado total",('FUENTE NO BORRAR'!H2286),""))</f>
        <v>0</v>
      </c>
      <c r="I2268" s="6">
        <f>IF('FUENTE NO BORRAR'!I2286="","",IF('FUENTE NO BORRAR'!$A2286&lt;&gt;"Resultado total",('FUENTE NO BORRAR'!I2286),""))</f>
        <v>0</v>
      </c>
    </row>
    <row r="2269" spans="1:9" x14ac:dyDescent="0.2">
      <c r="A2269" s="5" t="str">
        <f>IF('FUENTE NO BORRAR'!A2287="","",(IF('FUENTE NO BORRAR'!A2287&lt;&gt;"Resultado total",'FUENTE NO BORRAR'!A2287,"")))</f>
        <v/>
      </c>
      <c r="B2269" s="5" t="str">
        <f>IF('FUENTE NO BORRAR'!B2287="","",'FUENTE NO BORRAR'!B2287)</f>
        <v/>
      </c>
      <c r="C2269" s="5" t="str">
        <f>IF('FUENTE NO BORRAR'!C2287="","",'FUENTE NO BORRAR'!C2287)</f>
        <v/>
      </c>
      <c r="D2269" s="5" t="str">
        <f>IF('FUENTE NO BORRAR'!D2287="","",'FUENTE NO BORRAR'!D2287)</f>
        <v/>
      </c>
      <c r="E2269" s="5" t="str">
        <f>IF('FUENTE NO BORRAR'!E2287="","",'FUENTE NO BORRAR'!E2287)</f>
        <v/>
      </c>
      <c r="F2269" s="6">
        <f>IF('FUENTE NO BORRAR'!F2287="","",IF('FUENTE NO BORRAR'!$A2287&lt;&gt;"Resultado total",('FUENTE NO BORRAR'!F2287),""))</f>
        <v>47285</v>
      </c>
      <c r="G2269" s="6">
        <f>IF('FUENTE NO BORRAR'!G2287="","",IF('FUENTE NO BORRAR'!$A2287&lt;&gt;"Resultado total",('FUENTE NO BORRAR'!G2287),""))</f>
        <v>47285</v>
      </c>
      <c r="H2269" s="6">
        <f>IF('FUENTE NO BORRAR'!H2287="","",IF('FUENTE NO BORRAR'!$A2287&lt;&gt;"Resultado total",('FUENTE NO BORRAR'!H2287),""))</f>
        <v>47285</v>
      </c>
      <c r="I2269" s="6">
        <f>IF('FUENTE NO BORRAR'!I2287="","",IF('FUENTE NO BORRAR'!$A2287&lt;&gt;"Resultado total",('FUENTE NO BORRAR'!I2287),""))</f>
        <v>0</v>
      </c>
    </row>
    <row r="2270" spans="1:9" x14ac:dyDescent="0.2">
      <c r="A2270" s="5" t="str">
        <f>IF('FUENTE NO BORRAR'!A2288="","",(IF('FUENTE NO BORRAR'!A2288&lt;&gt;"Resultado total",'FUENTE NO BORRAR'!A2288,"")))</f>
        <v/>
      </c>
      <c r="B2270" s="5" t="str">
        <f>IF('FUENTE NO BORRAR'!B2288="","",'FUENTE NO BORRAR'!B2288)</f>
        <v/>
      </c>
      <c r="C2270" s="5" t="str">
        <f>IF('FUENTE NO BORRAR'!C2288="","",'FUENTE NO BORRAR'!C2288)</f>
        <v/>
      </c>
      <c r="D2270" s="5" t="str">
        <f>IF('FUENTE NO BORRAR'!D2288="","",'FUENTE NO BORRAR'!D2288)</f>
        <v/>
      </c>
      <c r="E2270" s="5" t="str">
        <f>IF('FUENTE NO BORRAR'!E2288="","",'FUENTE NO BORRAR'!E2288)</f>
        <v/>
      </c>
      <c r="F2270" s="6">
        <f>IF('FUENTE NO BORRAR'!F2288="","",IF('FUENTE NO BORRAR'!$A2288&lt;&gt;"Resultado total",('FUENTE NO BORRAR'!F2288),""))</f>
        <v>0</v>
      </c>
      <c r="G2270" s="6">
        <f>IF('FUENTE NO BORRAR'!G2288="","",IF('FUENTE NO BORRAR'!$A2288&lt;&gt;"Resultado total",('FUENTE NO BORRAR'!G2288),""))</f>
        <v>0</v>
      </c>
      <c r="H2270" s="6">
        <f>IF('FUENTE NO BORRAR'!H2288="","",IF('FUENTE NO BORRAR'!$A2288&lt;&gt;"Resultado total",('FUENTE NO BORRAR'!H2288),""))</f>
        <v>0</v>
      </c>
      <c r="I2270" s="6">
        <f>IF('FUENTE NO BORRAR'!I2288="","",IF('FUENTE NO BORRAR'!$A2288&lt;&gt;"Resultado total",('FUENTE NO BORRAR'!I2288),""))</f>
        <v>0</v>
      </c>
    </row>
    <row r="2271" spans="1:9" x14ac:dyDescent="0.2">
      <c r="A2271" s="5" t="str">
        <f>IF('FUENTE NO BORRAR'!A2289="","",(IF('FUENTE NO BORRAR'!A2289&lt;&gt;"Resultado total",'FUENTE NO BORRAR'!A2289,"")))</f>
        <v/>
      </c>
      <c r="B2271" s="5" t="str">
        <f>IF('FUENTE NO BORRAR'!B2289="","",'FUENTE NO BORRAR'!B2289)</f>
        <v/>
      </c>
      <c r="C2271" s="5" t="str">
        <f>IF('FUENTE NO BORRAR'!C2289="","",'FUENTE NO BORRAR'!C2289)</f>
        <v/>
      </c>
      <c r="D2271" s="5" t="str">
        <f>IF('FUENTE NO BORRAR'!D2289="","",'FUENTE NO BORRAR'!D2289)</f>
        <v/>
      </c>
      <c r="E2271" s="5" t="str">
        <f>IF('FUENTE NO BORRAR'!E2289="","",'FUENTE NO BORRAR'!E2289)</f>
        <v/>
      </c>
      <c r="F2271" s="6">
        <f>IF('FUENTE NO BORRAR'!F2289="","",IF('FUENTE NO BORRAR'!$A2289&lt;&gt;"Resultado total",('FUENTE NO BORRAR'!F2289),""))</f>
        <v>121800</v>
      </c>
      <c r="G2271" s="6">
        <f>IF('FUENTE NO BORRAR'!G2289="","",IF('FUENTE NO BORRAR'!$A2289&lt;&gt;"Resultado total",('FUENTE NO BORRAR'!G2289),""))</f>
        <v>121800</v>
      </c>
      <c r="H2271" s="6">
        <f>IF('FUENTE NO BORRAR'!H2289="","",IF('FUENTE NO BORRAR'!$A2289&lt;&gt;"Resultado total",('FUENTE NO BORRAR'!H2289),""))</f>
        <v>102600</v>
      </c>
      <c r="I2271" s="6">
        <f>IF('FUENTE NO BORRAR'!I2289="","",IF('FUENTE NO BORRAR'!$A2289&lt;&gt;"Resultado total",('FUENTE NO BORRAR'!I2289),""))</f>
        <v>0</v>
      </c>
    </row>
    <row r="2272" spans="1:9" x14ac:dyDescent="0.2">
      <c r="A2272" s="5" t="str">
        <f>IF('FUENTE NO BORRAR'!A2290="","",(IF('FUENTE NO BORRAR'!A2290&lt;&gt;"Resultado total",'FUENTE NO BORRAR'!A2290,"")))</f>
        <v/>
      </c>
      <c r="B2272" s="5" t="str">
        <f>IF('FUENTE NO BORRAR'!B2290="","",'FUENTE NO BORRAR'!B2290)</f>
        <v/>
      </c>
      <c r="C2272" s="5" t="str">
        <f>IF('FUENTE NO BORRAR'!C2290="","",'FUENTE NO BORRAR'!C2290)</f>
        <v/>
      </c>
      <c r="D2272" s="5" t="str">
        <f>IF('FUENTE NO BORRAR'!D2290="","",'FUENTE NO BORRAR'!D2290)</f>
        <v/>
      </c>
      <c r="E2272" s="5" t="str">
        <f>IF('FUENTE NO BORRAR'!E2290="","",'FUENTE NO BORRAR'!E2290)</f>
        <v/>
      </c>
      <c r="F2272" s="6">
        <f>IF('FUENTE NO BORRAR'!F2290="","",IF('FUENTE NO BORRAR'!$A2290&lt;&gt;"Resultado total",('FUENTE NO BORRAR'!F2290),""))</f>
        <v>0</v>
      </c>
      <c r="G2272" s="6">
        <f>IF('FUENTE NO BORRAR'!G2290="","",IF('FUENTE NO BORRAR'!$A2290&lt;&gt;"Resultado total",('FUENTE NO BORRAR'!G2290),""))</f>
        <v>0</v>
      </c>
      <c r="H2272" s="6">
        <f>IF('FUENTE NO BORRAR'!H2290="","",IF('FUENTE NO BORRAR'!$A2290&lt;&gt;"Resultado total",('FUENTE NO BORRAR'!H2290),""))</f>
        <v>0</v>
      </c>
      <c r="I2272" s="6">
        <f>IF('FUENTE NO BORRAR'!I2290="","",IF('FUENTE NO BORRAR'!$A2290&lt;&gt;"Resultado total",('FUENTE NO BORRAR'!I2290),""))</f>
        <v>0</v>
      </c>
    </row>
    <row r="2273" spans="1:9" x14ac:dyDescent="0.2">
      <c r="A2273" s="5" t="str">
        <f>IF('FUENTE NO BORRAR'!A2291="","",(IF('FUENTE NO BORRAR'!A2291&lt;&gt;"Resultado total",'FUENTE NO BORRAR'!A2291,"")))</f>
        <v/>
      </c>
      <c r="B2273" s="5" t="str">
        <f>IF('FUENTE NO BORRAR'!B2291="","",'FUENTE NO BORRAR'!B2291)</f>
        <v/>
      </c>
      <c r="C2273" s="5" t="str">
        <f>IF('FUENTE NO BORRAR'!C2291="","",'FUENTE NO BORRAR'!C2291)</f>
        <v/>
      </c>
      <c r="D2273" s="5" t="str">
        <f>IF('FUENTE NO BORRAR'!D2291="","",'FUENTE NO BORRAR'!D2291)</f>
        <v/>
      </c>
      <c r="E2273" s="5" t="str">
        <f>IF('FUENTE NO BORRAR'!E2291="","",'FUENTE NO BORRAR'!E2291)</f>
        <v/>
      </c>
      <c r="F2273" s="6">
        <f>IF('FUENTE NO BORRAR'!F2291="","",IF('FUENTE NO BORRAR'!$A2291&lt;&gt;"Resultado total",('FUENTE NO BORRAR'!F2291),""))</f>
        <v>0</v>
      </c>
      <c r="G2273" s="6">
        <f>IF('FUENTE NO BORRAR'!G2291="","",IF('FUENTE NO BORRAR'!$A2291&lt;&gt;"Resultado total",('FUENTE NO BORRAR'!G2291),""))</f>
        <v>0</v>
      </c>
      <c r="H2273" s="6">
        <f>IF('FUENTE NO BORRAR'!H2291="","",IF('FUENTE NO BORRAR'!$A2291&lt;&gt;"Resultado total",('FUENTE NO BORRAR'!H2291),""))</f>
        <v>0</v>
      </c>
      <c r="I2273" s="6">
        <f>IF('FUENTE NO BORRAR'!I2291="","",IF('FUENTE NO BORRAR'!$A2291&lt;&gt;"Resultado total",('FUENTE NO BORRAR'!I2291),""))</f>
        <v>0</v>
      </c>
    </row>
    <row r="2274" spans="1:9" x14ac:dyDescent="0.2">
      <c r="A2274" s="5" t="str">
        <f>IF('FUENTE NO BORRAR'!A2292="","",(IF('FUENTE NO BORRAR'!A2292&lt;&gt;"Resultado total",'FUENTE NO BORRAR'!A2292,"")))</f>
        <v/>
      </c>
      <c r="B2274" s="5" t="str">
        <f>IF('FUENTE NO BORRAR'!B2292="","",'FUENTE NO BORRAR'!B2292)</f>
        <v/>
      </c>
      <c r="C2274" s="5" t="str">
        <f>IF('FUENTE NO BORRAR'!C2292="","",'FUENTE NO BORRAR'!C2292)</f>
        <v/>
      </c>
      <c r="D2274" s="5" t="str">
        <f>IF('FUENTE NO BORRAR'!D2292="","",'FUENTE NO BORRAR'!D2292)</f>
        <v/>
      </c>
      <c r="E2274" s="5" t="str">
        <f>IF('FUENTE NO BORRAR'!E2292="","",'FUENTE NO BORRAR'!E2292)</f>
        <v/>
      </c>
      <c r="F2274" s="6">
        <f>IF('FUENTE NO BORRAR'!F2292="","",IF('FUENTE NO BORRAR'!$A2292&lt;&gt;"Resultado total",('FUENTE NO BORRAR'!F2292),""))</f>
        <v>799787.4</v>
      </c>
      <c r="G2274" s="6">
        <f>IF('FUENTE NO BORRAR'!G2292="","",IF('FUENTE NO BORRAR'!$A2292&lt;&gt;"Resultado total",('FUENTE NO BORRAR'!G2292),""))</f>
        <v>799787.4</v>
      </c>
      <c r="H2274" s="6">
        <f>IF('FUENTE NO BORRAR'!H2292="","",IF('FUENTE NO BORRAR'!$A2292&lt;&gt;"Resultado total",('FUENTE NO BORRAR'!H2292),""))</f>
        <v>799787.4</v>
      </c>
      <c r="I2274" s="6">
        <f>IF('FUENTE NO BORRAR'!I2292="","",IF('FUENTE NO BORRAR'!$A2292&lt;&gt;"Resultado total",('FUENTE NO BORRAR'!I2292),""))</f>
        <v>0</v>
      </c>
    </row>
    <row r="2275" spans="1:9" x14ac:dyDescent="0.2">
      <c r="A2275" s="5" t="str">
        <f>IF('FUENTE NO BORRAR'!A2293="","",(IF('FUENTE NO BORRAR'!A2293&lt;&gt;"Resultado total",'FUENTE NO BORRAR'!A2293,"")))</f>
        <v/>
      </c>
      <c r="B2275" s="5" t="str">
        <f>IF('FUENTE NO BORRAR'!B2293="","",'FUENTE NO BORRAR'!B2293)</f>
        <v/>
      </c>
      <c r="C2275" s="5" t="str">
        <f>IF('FUENTE NO BORRAR'!C2293="","",'FUENTE NO BORRAR'!C2293)</f>
        <v/>
      </c>
      <c r="D2275" s="5" t="str">
        <f>IF('FUENTE NO BORRAR'!D2293="","",'FUENTE NO BORRAR'!D2293)</f>
        <v/>
      </c>
      <c r="E2275" s="5" t="str">
        <f>IF('FUENTE NO BORRAR'!E2293="","",'FUENTE NO BORRAR'!E2293)</f>
        <v/>
      </c>
      <c r="F2275" s="6">
        <f>IF('FUENTE NO BORRAR'!F2293="","",IF('FUENTE NO BORRAR'!$A2293&lt;&gt;"Resultado total",('FUENTE NO BORRAR'!F2293),""))</f>
        <v>0</v>
      </c>
      <c r="G2275" s="6">
        <f>IF('FUENTE NO BORRAR'!G2293="","",IF('FUENTE NO BORRAR'!$A2293&lt;&gt;"Resultado total",('FUENTE NO BORRAR'!G2293),""))</f>
        <v>0</v>
      </c>
      <c r="H2275" s="6">
        <f>IF('FUENTE NO BORRAR'!H2293="","",IF('FUENTE NO BORRAR'!$A2293&lt;&gt;"Resultado total",('FUENTE NO BORRAR'!H2293),""))</f>
        <v>0</v>
      </c>
      <c r="I2275" s="6">
        <f>IF('FUENTE NO BORRAR'!I2293="","",IF('FUENTE NO BORRAR'!$A2293&lt;&gt;"Resultado total",('FUENTE NO BORRAR'!I2293),""))</f>
        <v>0</v>
      </c>
    </row>
    <row r="2276" spans="1:9" x14ac:dyDescent="0.2">
      <c r="A2276" s="5" t="str">
        <f>IF('FUENTE NO BORRAR'!A2294="","",(IF('FUENTE NO BORRAR'!A2294&lt;&gt;"Resultado total",'FUENTE NO BORRAR'!A2294,"")))</f>
        <v/>
      </c>
      <c r="B2276" s="5" t="str">
        <f>IF('FUENTE NO BORRAR'!B2294="","",'FUENTE NO BORRAR'!B2294)</f>
        <v/>
      </c>
      <c r="C2276" s="5" t="str">
        <f>IF('FUENTE NO BORRAR'!C2294="","",'FUENTE NO BORRAR'!C2294)</f>
        <v/>
      </c>
      <c r="D2276" s="5" t="str">
        <f>IF('FUENTE NO BORRAR'!D2294="","",'FUENTE NO BORRAR'!D2294)</f>
        <v/>
      </c>
      <c r="E2276" s="5" t="str">
        <f>IF('FUENTE NO BORRAR'!E2294="","",'FUENTE NO BORRAR'!E2294)</f>
        <v/>
      </c>
      <c r="F2276" s="6">
        <f>IF('FUENTE NO BORRAR'!F2294="","",IF('FUENTE NO BORRAR'!$A2294&lt;&gt;"Resultado total",('FUENTE NO BORRAR'!F2294),""))</f>
        <v>5779</v>
      </c>
      <c r="G2276" s="6">
        <f>IF('FUENTE NO BORRAR'!G2294="","",IF('FUENTE NO BORRAR'!$A2294&lt;&gt;"Resultado total",('FUENTE NO BORRAR'!G2294),""))</f>
        <v>5779</v>
      </c>
      <c r="H2276" s="6">
        <f>IF('FUENTE NO BORRAR'!H2294="","",IF('FUENTE NO BORRAR'!$A2294&lt;&gt;"Resultado total",('FUENTE NO BORRAR'!H2294),""))</f>
        <v>4835</v>
      </c>
      <c r="I2276" s="6">
        <f>IF('FUENTE NO BORRAR'!I2294="","",IF('FUENTE NO BORRAR'!$A2294&lt;&gt;"Resultado total",('FUENTE NO BORRAR'!I2294),""))</f>
        <v>0</v>
      </c>
    </row>
    <row r="2277" spans="1:9" x14ac:dyDescent="0.2">
      <c r="A2277" s="5" t="str">
        <f>IF('FUENTE NO BORRAR'!A2295="","",(IF('FUENTE NO BORRAR'!A2295&lt;&gt;"Resultado total",'FUENTE NO BORRAR'!A2295,"")))</f>
        <v/>
      </c>
      <c r="B2277" s="5" t="str">
        <f>IF('FUENTE NO BORRAR'!B2295="","",'FUENTE NO BORRAR'!B2295)</f>
        <v/>
      </c>
      <c r="C2277" s="5" t="str">
        <f>IF('FUENTE NO BORRAR'!C2295="","",'FUENTE NO BORRAR'!C2295)</f>
        <v/>
      </c>
      <c r="D2277" s="5" t="str">
        <f>IF('FUENTE NO BORRAR'!D2295="","",'FUENTE NO BORRAR'!D2295)</f>
        <v/>
      </c>
      <c r="E2277" s="5" t="str">
        <f>IF('FUENTE NO BORRAR'!E2295="","",'FUENTE NO BORRAR'!E2295)</f>
        <v/>
      </c>
      <c r="F2277" s="6">
        <f>IF('FUENTE NO BORRAR'!F2295="","",IF('FUENTE NO BORRAR'!$A2295&lt;&gt;"Resultado total",('FUENTE NO BORRAR'!F2295),""))</f>
        <v>13</v>
      </c>
      <c r="G2277" s="6">
        <f>IF('FUENTE NO BORRAR'!G2295="","",IF('FUENTE NO BORRAR'!$A2295&lt;&gt;"Resultado total",('FUENTE NO BORRAR'!G2295),""))</f>
        <v>13</v>
      </c>
      <c r="H2277" s="6">
        <f>IF('FUENTE NO BORRAR'!H2295="","",IF('FUENTE NO BORRAR'!$A2295&lt;&gt;"Resultado total",('FUENTE NO BORRAR'!H2295),""))</f>
        <v>13</v>
      </c>
      <c r="I2277" s="6">
        <f>IF('FUENTE NO BORRAR'!I2295="","",IF('FUENTE NO BORRAR'!$A2295&lt;&gt;"Resultado total",('FUENTE NO BORRAR'!I2295),""))</f>
        <v>0</v>
      </c>
    </row>
    <row r="2278" spans="1:9" x14ac:dyDescent="0.2">
      <c r="A2278" s="5" t="str">
        <f>IF('FUENTE NO BORRAR'!A2296="","",(IF('FUENTE NO BORRAR'!A2296&lt;&gt;"Resultado total",'FUENTE NO BORRAR'!A2296,"")))</f>
        <v/>
      </c>
      <c r="B2278" s="5" t="str">
        <f>IF('FUENTE NO BORRAR'!B2296="","",'FUENTE NO BORRAR'!B2296)</f>
        <v/>
      </c>
      <c r="C2278" s="5" t="str">
        <f>IF('FUENTE NO BORRAR'!C2296="","",'FUENTE NO BORRAR'!C2296)</f>
        <v/>
      </c>
      <c r="D2278" s="5" t="str">
        <f>IF('FUENTE NO BORRAR'!D2296="","",'FUENTE NO BORRAR'!D2296)</f>
        <v/>
      </c>
      <c r="E2278" s="5" t="str">
        <f>IF('FUENTE NO BORRAR'!E2296="","",'FUENTE NO BORRAR'!E2296)</f>
        <v/>
      </c>
      <c r="F2278" s="6">
        <f>IF('FUENTE NO BORRAR'!F2296="","",IF('FUENTE NO BORRAR'!$A2296&lt;&gt;"Resultado total",('FUENTE NO BORRAR'!F2296),""))</f>
        <v>290</v>
      </c>
      <c r="G2278" s="6">
        <f>IF('FUENTE NO BORRAR'!G2296="","",IF('FUENTE NO BORRAR'!$A2296&lt;&gt;"Resultado total",('FUENTE NO BORRAR'!G2296),""))</f>
        <v>290</v>
      </c>
      <c r="H2278" s="6">
        <f>IF('FUENTE NO BORRAR'!H2296="","",IF('FUENTE NO BORRAR'!$A2296&lt;&gt;"Resultado total",('FUENTE NO BORRAR'!H2296),""))</f>
        <v>290</v>
      </c>
      <c r="I2278" s="6">
        <f>IF('FUENTE NO BORRAR'!I2296="","",IF('FUENTE NO BORRAR'!$A2296&lt;&gt;"Resultado total",('FUENTE NO BORRAR'!I2296),""))</f>
        <v>0</v>
      </c>
    </row>
    <row r="2279" spans="1:9" x14ac:dyDescent="0.2">
      <c r="A2279" s="5" t="str">
        <f>IF('FUENTE NO BORRAR'!A2297="","",(IF('FUENTE NO BORRAR'!A2297&lt;&gt;"Resultado total",'FUENTE NO BORRAR'!A2297,"")))</f>
        <v/>
      </c>
      <c r="B2279" s="5" t="str">
        <f>IF('FUENTE NO BORRAR'!B2297="","",'FUENTE NO BORRAR'!B2297)</f>
        <v/>
      </c>
      <c r="C2279" s="5" t="str">
        <f>IF('FUENTE NO BORRAR'!C2297="","",'FUENTE NO BORRAR'!C2297)</f>
        <v/>
      </c>
      <c r="D2279" s="5" t="str">
        <f>IF('FUENTE NO BORRAR'!D2297="","",'FUENTE NO BORRAR'!D2297)</f>
        <v/>
      </c>
      <c r="E2279" s="5" t="str">
        <f>IF('FUENTE NO BORRAR'!E2297="","",'FUENTE NO BORRAR'!E2297)</f>
        <v/>
      </c>
      <c r="F2279" s="6">
        <f>IF('FUENTE NO BORRAR'!F2297="","",IF('FUENTE NO BORRAR'!$A2297&lt;&gt;"Resultado total",('FUENTE NO BORRAR'!F2297),""))</f>
        <v>459780.4</v>
      </c>
      <c r="G2279" s="6">
        <f>IF('FUENTE NO BORRAR'!G2297="","",IF('FUENTE NO BORRAR'!$A2297&lt;&gt;"Resultado total",('FUENTE NO BORRAR'!G2297),""))</f>
        <v>459780.4</v>
      </c>
      <c r="H2279" s="6">
        <f>IF('FUENTE NO BORRAR'!H2297="","",IF('FUENTE NO BORRAR'!$A2297&lt;&gt;"Resultado total",('FUENTE NO BORRAR'!H2297),""))</f>
        <v>459780.4</v>
      </c>
      <c r="I2279" s="6">
        <f>IF('FUENTE NO BORRAR'!I2297="","",IF('FUENTE NO BORRAR'!$A2297&lt;&gt;"Resultado total",('FUENTE NO BORRAR'!I2297),""))</f>
        <v>0</v>
      </c>
    </row>
    <row r="2280" spans="1:9" x14ac:dyDescent="0.2">
      <c r="A2280" s="5" t="str">
        <f>IF('FUENTE NO BORRAR'!A2298="","",(IF('FUENTE NO BORRAR'!A2298&lt;&gt;"Resultado total",'FUENTE NO BORRAR'!A2298,"")))</f>
        <v/>
      </c>
      <c r="B2280" s="5" t="str">
        <f>IF('FUENTE NO BORRAR'!B2298="","",'FUENTE NO BORRAR'!B2298)</f>
        <v/>
      </c>
      <c r="C2280" s="5" t="str">
        <f>IF('FUENTE NO BORRAR'!C2298="","",'FUENTE NO BORRAR'!C2298)</f>
        <v/>
      </c>
      <c r="D2280" s="5" t="str">
        <f>IF('FUENTE NO BORRAR'!D2298="","",'FUENTE NO BORRAR'!D2298)</f>
        <v/>
      </c>
      <c r="E2280" s="5" t="str">
        <f>IF('FUENTE NO BORRAR'!E2298="","",'FUENTE NO BORRAR'!E2298)</f>
        <v/>
      </c>
      <c r="F2280" s="6">
        <f>IF('FUENTE NO BORRAR'!F2298="","",IF('FUENTE NO BORRAR'!$A2298&lt;&gt;"Resultado total",('FUENTE NO BORRAR'!F2298),""))</f>
        <v>64700.160000000003</v>
      </c>
      <c r="G2280" s="6">
        <f>IF('FUENTE NO BORRAR'!G2298="","",IF('FUENTE NO BORRAR'!$A2298&lt;&gt;"Resultado total",('FUENTE NO BORRAR'!G2298),""))</f>
        <v>64700.160000000003</v>
      </c>
      <c r="H2280" s="6">
        <f>IF('FUENTE NO BORRAR'!H2298="","",IF('FUENTE NO BORRAR'!$A2298&lt;&gt;"Resultado total",('FUENTE NO BORRAR'!H2298),""))</f>
        <v>64700.160000000003</v>
      </c>
      <c r="I2280" s="6">
        <f>IF('FUENTE NO BORRAR'!I2298="","",IF('FUENTE NO BORRAR'!$A2298&lt;&gt;"Resultado total",('FUENTE NO BORRAR'!I2298),""))</f>
        <v>0</v>
      </c>
    </row>
    <row r="2281" spans="1:9" x14ac:dyDescent="0.2">
      <c r="A2281" s="5" t="str">
        <f>IF('FUENTE NO BORRAR'!A2299="","",(IF('FUENTE NO BORRAR'!A2299&lt;&gt;"Resultado total",'FUENTE NO BORRAR'!A2299,"")))</f>
        <v/>
      </c>
      <c r="B2281" s="5" t="str">
        <f>IF('FUENTE NO BORRAR'!B2299="","",'FUENTE NO BORRAR'!B2299)</f>
        <v/>
      </c>
      <c r="C2281" s="5" t="str">
        <f>IF('FUENTE NO BORRAR'!C2299="","",'FUENTE NO BORRAR'!C2299)</f>
        <v/>
      </c>
      <c r="D2281" s="5" t="str">
        <f>IF('FUENTE NO BORRAR'!D2299="","",'FUENTE NO BORRAR'!D2299)</f>
        <v/>
      </c>
      <c r="E2281" s="5" t="str">
        <f>IF('FUENTE NO BORRAR'!E2299="","",'FUENTE NO BORRAR'!E2299)</f>
        <v/>
      </c>
      <c r="F2281" s="6">
        <f>IF('FUENTE NO BORRAR'!F2299="","",IF('FUENTE NO BORRAR'!$A2299&lt;&gt;"Resultado total",('FUENTE NO BORRAR'!F2299),""))</f>
        <v>127805.6</v>
      </c>
      <c r="G2281" s="6">
        <f>IF('FUENTE NO BORRAR'!G2299="","",IF('FUENTE NO BORRAR'!$A2299&lt;&gt;"Resultado total",('FUENTE NO BORRAR'!G2299),""))</f>
        <v>127805.6</v>
      </c>
      <c r="H2281" s="6">
        <f>IF('FUENTE NO BORRAR'!H2299="","",IF('FUENTE NO BORRAR'!$A2299&lt;&gt;"Resultado total",('FUENTE NO BORRAR'!H2299),""))</f>
        <v>127805.6</v>
      </c>
      <c r="I2281" s="6">
        <f>IF('FUENTE NO BORRAR'!I2299="","",IF('FUENTE NO BORRAR'!$A2299&lt;&gt;"Resultado total",('FUENTE NO BORRAR'!I2299),""))</f>
        <v>0</v>
      </c>
    </row>
    <row r="2282" spans="1:9" x14ac:dyDescent="0.2">
      <c r="A2282" s="5" t="str">
        <f>IF('FUENTE NO BORRAR'!A2300="","",(IF('FUENTE NO BORRAR'!A2300&lt;&gt;"Resultado total",'FUENTE NO BORRAR'!A2300,"")))</f>
        <v/>
      </c>
      <c r="B2282" s="5" t="str">
        <f>IF('FUENTE NO BORRAR'!B2300="","",'FUENTE NO BORRAR'!B2300)</f>
        <v/>
      </c>
      <c r="C2282" s="5" t="str">
        <f>IF('FUENTE NO BORRAR'!C2300="","",'FUENTE NO BORRAR'!C2300)</f>
        <v/>
      </c>
      <c r="D2282" s="5" t="str">
        <f>IF('FUENTE NO BORRAR'!D2300="","",'FUENTE NO BORRAR'!D2300)</f>
        <v/>
      </c>
      <c r="E2282" s="5" t="str">
        <f>IF('FUENTE NO BORRAR'!E2300="","",'FUENTE NO BORRAR'!E2300)</f>
        <v/>
      </c>
      <c r="F2282" s="6">
        <f>IF('FUENTE NO BORRAR'!F2300="","",IF('FUENTE NO BORRAR'!$A2300&lt;&gt;"Resultado total",('FUENTE NO BORRAR'!F2300),""))</f>
        <v>151676.91</v>
      </c>
      <c r="G2282" s="6">
        <f>IF('FUENTE NO BORRAR'!G2300="","",IF('FUENTE NO BORRAR'!$A2300&lt;&gt;"Resultado total",('FUENTE NO BORRAR'!G2300),""))</f>
        <v>151676.91</v>
      </c>
      <c r="H2282" s="6">
        <f>IF('FUENTE NO BORRAR'!H2300="","",IF('FUENTE NO BORRAR'!$A2300&lt;&gt;"Resultado total",('FUENTE NO BORRAR'!H2300),""))</f>
        <v>151676.91</v>
      </c>
      <c r="I2282" s="6">
        <f>IF('FUENTE NO BORRAR'!I2300="","",IF('FUENTE NO BORRAR'!$A2300&lt;&gt;"Resultado total",('FUENTE NO BORRAR'!I2300),""))</f>
        <v>0</v>
      </c>
    </row>
    <row r="2283" spans="1:9" x14ac:dyDescent="0.2">
      <c r="A2283" s="5" t="str">
        <f>IF('FUENTE NO BORRAR'!A2301="","",(IF('FUENTE NO BORRAR'!A2301&lt;&gt;"Resultado total",'FUENTE NO BORRAR'!A2301,"")))</f>
        <v/>
      </c>
      <c r="B2283" s="5" t="str">
        <f>IF('FUENTE NO BORRAR'!B2301="","",'FUENTE NO BORRAR'!B2301)</f>
        <v/>
      </c>
      <c r="C2283" s="5" t="str">
        <f>IF('FUENTE NO BORRAR'!C2301="","",'FUENTE NO BORRAR'!C2301)</f>
        <v/>
      </c>
      <c r="D2283" s="5" t="str">
        <f>IF('FUENTE NO BORRAR'!D2301="","",'FUENTE NO BORRAR'!D2301)</f>
        <v/>
      </c>
      <c r="E2283" s="5" t="str">
        <f>IF('FUENTE NO BORRAR'!E2301="","",'FUENTE NO BORRAR'!E2301)</f>
        <v/>
      </c>
      <c r="F2283" s="6">
        <f>IF('FUENTE NO BORRAR'!F2301="","",IF('FUENTE NO BORRAR'!$A2301&lt;&gt;"Resultado total",('FUENTE NO BORRAR'!F2301),""))</f>
        <v>462702.85</v>
      </c>
      <c r="G2283" s="6">
        <f>IF('FUENTE NO BORRAR'!G2301="","",IF('FUENTE NO BORRAR'!$A2301&lt;&gt;"Resultado total",('FUENTE NO BORRAR'!G2301),""))</f>
        <v>462702.85</v>
      </c>
      <c r="H2283" s="6">
        <f>IF('FUENTE NO BORRAR'!H2301="","",IF('FUENTE NO BORRAR'!$A2301&lt;&gt;"Resultado total",('FUENTE NO BORRAR'!H2301),""))</f>
        <v>462702.85</v>
      </c>
      <c r="I2283" s="6">
        <f>IF('FUENTE NO BORRAR'!I2301="","",IF('FUENTE NO BORRAR'!$A2301&lt;&gt;"Resultado total",('FUENTE NO BORRAR'!I2301),""))</f>
        <v>0</v>
      </c>
    </row>
    <row r="2284" spans="1:9" x14ac:dyDescent="0.2">
      <c r="A2284" s="5" t="str">
        <f>IF('FUENTE NO BORRAR'!A2302="","",(IF('FUENTE NO BORRAR'!A2302&lt;&gt;"Resultado total",'FUENTE NO BORRAR'!A2302,"")))</f>
        <v/>
      </c>
      <c r="B2284" s="5" t="str">
        <f>IF('FUENTE NO BORRAR'!B2302="","",'FUENTE NO BORRAR'!B2302)</f>
        <v/>
      </c>
      <c r="C2284" s="5" t="str">
        <f>IF('FUENTE NO BORRAR'!C2302="","",'FUENTE NO BORRAR'!C2302)</f>
        <v/>
      </c>
      <c r="D2284" s="5" t="str">
        <f>IF('FUENTE NO BORRAR'!D2302="","",'FUENTE NO BORRAR'!D2302)</f>
        <v/>
      </c>
      <c r="E2284" s="5" t="str">
        <f>IF('FUENTE NO BORRAR'!E2302="","",'FUENTE NO BORRAR'!E2302)</f>
        <v/>
      </c>
      <c r="F2284" s="6">
        <f>IF('FUENTE NO BORRAR'!F2302="","",IF('FUENTE NO BORRAR'!$A2302&lt;&gt;"Resultado total",('FUENTE NO BORRAR'!F2302),""))</f>
        <v>5831.99</v>
      </c>
      <c r="G2284" s="6">
        <f>IF('FUENTE NO BORRAR'!G2302="","",IF('FUENTE NO BORRAR'!$A2302&lt;&gt;"Resultado total",('FUENTE NO BORRAR'!G2302),""))</f>
        <v>5831.99</v>
      </c>
      <c r="H2284" s="6">
        <f>IF('FUENTE NO BORRAR'!H2302="","",IF('FUENTE NO BORRAR'!$A2302&lt;&gt;"Resultado total",('FUENTE NO BORRAR'!H2302),""))</f>
        <v>0</v>
      </c>
      <c r="I2284" s="6">
        <f>IF('FUENTE NO BORRAR'!I2302="","",IF('FUENTE NO BORRAR'!$A2302&lt;&gt;"Resultado total",('FUENTE NO BORRAR'!I2302),""))</f>
        <v>0</v>
      </c>
    </row>
    <row r="2285" spans="1:9" x14ac:dyDescent="0.2">
      <c r="A2285" s="5" t="str">
        <f>IF('FUENTE NO BORRAR'!A2303="","",(IF('FUENTE NO BORRAR'!A2303&lt;&gt;"Resultado total",'FUENTE NO BORRAR'!A2303,"")))</f>
        <v/>
      </c>
      <c r="B2285" s="5" t="str">
        <f>IF('FUENTE NO BORRAR'!B2303="","",'FUENTE NO BORRAR'!B2303)</f>
        <v/>
      </c>
      <c r="C2285" s="5" t="str">
        <f>IF('FUENTE NO BORRAR'!C2303="","",'FUENTE NO BORRAR'!C2303)</f>
        <v/>
      </c>
      <c r="D2285" s="5" t="str">
        <f>IF('FUENTE NO BORRAR'!D2303="","",'FUENTE NO BORRAR'!D2303)</f>
        <v/>
      </c>
      <c r="E2285" s="5" t="str">
        <f>IF('FUENTE NO BORRAR'!E2303="","",'FUENTE NO BORRAR'!E2303)</f>
        <v/>
      </c>
      <c r="F2285" s="6">
        <f>IF('FUENTE NO BORRAR'!F2303="","",IF('FUENTE NO BORRAR'!$A2303&lt;&gt;"Resultado total",('FUENTE NO BORRAR'!F2303),""))</f>
        <v>43395.12</v>
      </c>
      <c r="G2285" s="6">
        <f>IF('FUENTE NO BORRAR'!G2303="","",IF('FUENTE NO BORRAR'!$A2303&lt;&gt;"Resultado total",('FUENTE NO BORRAR'!G2303),""))</f>
        <v>43395.12</v>
      </c>
      <c r="H2285" s="6">
        <f>IF('FUENTE NO BORRAR'!H2303="","",IF('FUENTE NO BORRAR'!$A2303&lt;&gt;"Resultado total",('FUENTE NO BORRAR'!H2303),""))</f>
        <v>43395.12</v>
      </c>
      <c r="I2285" s="6">
        <f>IF('FUENTE NO BORRAR'!I2303="","",IF('FUENTE NO BORRAR'!$A2303&lt;&gt;"Resultado total",('FUENTE NO BORRAR'!I2303),""))</f>
        <v>0</v>
      </c>
    </row>
    <row r="2286" spans="1:9" x14ac:dyDescent="0.2">
      <c r="A2286" s="5" t="str">
        <f>IF('FUENTE NO BORRAR'!A2304="","",(IF('FUENTE NO BORRAR'!A2304&lt;&gt;"Resultado total",'FUENTE NO BORRAR'!A2304,"")))</f>
        <v/>
      </c>
      <c r="B2286" s="5" t="str">
        <f>IF('FUENTE NO BORRAR'!B2304="","",'FUENTE NO BORRAR'!B2304)</f>
        <v/>
      </c>
      <c r="C2286" s="5" t="str">
        <f>IF('FUENTE NO BORRAR'!C2304="","",'FUENTE NO BORRAR'!C2304)</f>
        <v/>
      </c>
      <c r="D2286" s="5" t="str">
        <f>IF('FUENTE NO BORRAR'!D2304="","",'FUENTE NO BORRAR'!D2304)</f>
        <v/>
      </c>
      <c r="E2286" s="5" t="str">
        <f>IF('FUENTE NO BORRAR'!E2304="","",'FUENTE NO BORRAR'!E2304)</f>
        <v/>
      </c>
      <c r="F2286" s="6">
        <f>IF('FUENTE NO BORRAR'!F2304="","",IF('FUENTE NO BORRAR'!$A2304&lt;&gt;"Resultado total",('FUENTE NO BORRAR'!F2304),""))</f>
        <v>8700</v>
      </c>
      <c r="G2286" s="6">
        <f>IF('FUENTE NO BORRAR'!G2304="","",IF('FUENTE NO BORRAR'!$A2304&lt;&gt;"Resultado total",('FUENTE NO BORRAR'!G2304),""))</f>
        <v>8700</v>
      </c>
      <c r="H2286" s="6">
        <f>IF('FUENTE NO BORRAR'!H2304="","",IF('FUENTE NO BORRAR'!$A2304&lt;&gt;"Resultado total",('FUENTE NO BORRAR'!H2304),""))</f>
        <v>8700</v>
      </c>
      <c r="I2286" s="6">
        <f>IF('FUENTE NO BORRAR'!I2304="","",IF('FUENTE NO BORRAR'!$A2304&lt;&gt;"Resultado total",('FUENTE NO BORRAR'!I2304),""))</f>
        <v>0</v>
      </c>
    </row>
    <row r="2287" spans="1:9" x14ac:dyDescent="0.2">
      <c r="A2287" s="5" t="str">
        <f>IF('FUENTE NO BORRAR'!A2305="","",(IF('FUENTE NO BORRAR'!A2305&lt;&gt;"Resultado total",'FUENTE NO BORRAR'!A2305,"")))</f>
        <v/>
      </c>
      <c r="B2287" s="5" t="str">
        <f>IF('FUENTE NO BORRAR'!B2305="","",'FUENTE NO BORRAR'!B2305)</f>
        <v/>
      </c>
      <c r="C2287" s="5" t="str">
        <f>IF('FUENTE NO BORRAR'!C2305="","",'FUENTE NO BORRAR'!C2305)</f>
        <v/>
      </c>
      <c r="D2287" s="5" t="str">
        <f>IF('FUENTE NO BORRAR'!D2305="","",'FUENTE NO BORRAR'!D2305)</f>
        <v/>
      </c>
      <c r="E2287" s="5" t="str">
        <f>IF('FUENTE NO BORRAR'!E2305="","",'FUENTE NO BORRAR'!E2305)</f>
        <v/>
      </c>
      <c r="F2287" s="6">
        <f>IF('FUENTE NO BORRAR'!F2305="","",IF('FUENTE NO BORRAR'!$A2305&lt;&gt;"Resultado total",('FUENTE NO BORRAR'!F2305),""))</f>
        <v>24400</v>
      </c>
      <c r="G2287" s="6">
        <f>IF('FUENTE NO BORRAR'!G2305="","",IF('FUENTE NO BORRAR'!$A2305&lt;&gt;"Resultado total",('FUENTE NO BORRAR'!G2305),""))</f>
        <v>24400</v>
      </c>
      <c r="H2287" s="6">
        <f>IF('FUENTE NO BORRAR'!H2305="","",IF('FUENTE NO BORRAR'!$A2305&lt;&gt;"Resultado total",('FUENTE NO BORRAR'!H2305),""))</f>
        <v>24400</v>
      </c>
      <c r="I2287" s="6">
        <f>IF('FUENTE NO BORRAR'!I2305="","",IF('FUENTE NO BORRAR'!$A2305&lt;&gt;"Resultado total",('FUENTE NO BORRAR'!I2305),""))</f>
        <v>0</v>
      </c>
    </row>
    <row r="2288" spans="1:9" x14ac:dyDescent="0.2">
      <c r="A2288" s="5" t="str">
        <f>IF('FUENTE NO BORRAR'!A2306="","",(IF('FUENTE NO BORRAR'!A2306&lt;&gt;"Resultado total",'FUENTE NO BORRAR'!A2306,"")))</f>
        <v/>
      </c>
      <c r="B2288" s="5" t="str">
        <f>IF('FUENTE NO BORRAR'!B2306="","",'FUENTE NO BORRAR'!B2306)</f>
        <v/>
      </c>
      <c r="C2288" s="5" t="str">
        <f>IF('FUENTE NO BORRAR'!C2306="","",'FUENTE NO BORRAR'!C2306)</f>
        <v/>
      </c>
      <c r="D2288" s="5" t="str">
        <f>IF('FUENTE NO BORRAR'!D2306="","",'FUENTE NO BORRAR'!D2306)</f>
        <v/>
      </c>
      <c r="E2288" s="5" t="str">
        <f>IF('FUENTE NO BORRAR'!E2306="","",'FUENTE NO BORRAR'!E2306)</f>
        <v/>
      </c>
      <c r="F2288" s="6">
        <f>IF('FUENTE NO BORRAR'!F2306="","",IF('FUENTE NO BORRAR'!$A2306&lt;&gt;"Resultado total",('FUENTE NO BORRAR'!F2306),""))</f>
        <v>26252183</v>
      </c>
      <c r="G2288" s="6">
        <f>IF('FUENTE NO BORRAR'!G2306="","",IF('FUENTE NO BORRAR'!$A2306&lt;&gt;"Resultado total",('FUENTE NO BORRAR'!G2306),""))</f>
        <v>26252183</v>
      </c>
      <c r="H2288" s="6">
        <f>IF('FUENTE NO BORRAR'!H2306="","",IF('FUENTE NO BORRAR'!$A2306&lt;&gt;"Resultado total",('FUENTE NO BORRAR'!H2306),""))</f>
        <v>26252183</v>
      </c>
      <c r="I2288" s="6">
        <f>IF('FUENTE NO BORRAR'!I2306="","",IF('FUENTE NO BORRAR'!$A2306&lt;&gt;"Resultado total",('FUENTE NO BORRAR'!I2306),""))</f>
        <v>0</v>
      </c>
    </row>
    <row r="2289" spans="1:9" x14ac:dyDescent="0.2">
      <c r="A2289" s="5" t="str">
        <f>IF('FUENTE NO BORRAR'!A2307="","",(IF('FUENTE NO BORRAR'!A2307&lt;&gt;"Resultado total",'FUENTE NO BORRAR'!A2307,"")))</f>
        <v/>
      </c>
      <c r="B2289" s="5" t="str">
        <f>IF('FUENTE NO BORRAR'!B2307="","",'FUENTE NO BORRAR'!B2307)</f>
        <v/>
      </c>
      <c r="C2289" s="5" t="str">
        <f>IF('FUENTE NO BORRAR'!C2307="","",'FUENTE NO BORRAR'!C2307)</f>
        <v>15025022M101</v>
      </c>
      <c r="D2289" s="5" t="str">
        <f>IF('FUENTE NO BORRAR'!D2307="","",'FUENTE NO BORRAR'!D2307)</f>
        <v>15025022M101</v>
      </c>
      <c r="E2289" s="5" t="str">
        <f>IF('FUENTE NO BORRAR'!E2307="","",'FUENTE NO BORRAR'!E2307)</f>
        <v/>
      </c>
      <c r="F2289" s="6">
        <f>IF('FUENTE NO BORRAR'!F2307="","",IF('FUENTE NO BORRAR'!$A2307&lt;&gt;"Resultado total",('FUENTE NO BORRAR'!F2307),""))</f>
        <v>104269.61</v>
      </c>
      <c r="G2289" s="6">
        <f>IF('FUENTE NO BORRAR'!G2307="","",IF('FUENTE NO BORRAR'!$A2307&lt;&gt;"Resultado total",('FUENTE NO BORRAR'!G2307),""))</f>
        <v>104269.61</v>
      </c>
      <c r="H2289" s="6">
        <f>IF('FUENTE NO BORRAR'!H2307="","",IF('FUENTE NO BORRAR'!$A2307&lt;&gt;"Resultado total",('FUENTE NO BORRAR'!H2307),""))</f>
        <v>104269.61</v>
      </c>
      <c r="I2289" s="6">
        <f>IF('FUENTE NO BORRAR'!I2307="","",IF('FUENTE NO BORRAR'!$A2307&lt;&gt;"Resultado total",('FUENTE NO BORRAR'!I2307),""))</f>
        <v>1.3300000000000001E-7</v>
      </c>
    </row>
    <row r="2290" spans="1:9" x14ac:dyDescent="0.2">
      <c r="A2290" s="5" t="str">
        <f>IF('FUENTE NO BORRAR'!A2308="","",(IF('FUENTE NO BORRAR'!A2308&lt;&gt;"Resultado total",'FUENTE NO BORRAR'!A2308,"")))</f>
        <v/>
      </c>
      <c r="B2290" s="5" t="str">
        <f>IF('FUENTE NO BORRAR'!B2308="","",'FUENTE NO BORRAR'!B2308)</f>
        <v/>
      </c>
      <c r="C2290" s="5" t="str">
        <f>IF('FUENTE NO BORRAR'!C2308="","",'FUENTE NO BORRAR'!C2308)</f>
        <v/>
      </c>
      <c r="D2290" s="5" t="str">
        <f>IF('FUENTE NO BORRAR'!D2308="","",'FUENTE NO BORRAR'!D2308)</f>
        <v/>
      </c>
      <c r="E2290" s="5" t="str">
        <f>IF('FUENTE NO BORRAR'!E2308="","",'FUENTE NO BORRAR'!E2308)</f>
        <v/>
      </c>
      <c r="F2290" s="6">
        <f>IF('FUENTE NO BORRAR'!F2308="","",IF('FUENTE NO BORRAR'!$A2308&lt;&gt;"Resultado total",('FUENTE NO BORRAR'!F2308),""))</f>
        <v>1145486.5900000001</v>
      </c>
      <c r="G2290" s="6">
        <f>IF('FUENTE NO BORRAR'!G2308="","",IF('FUENTE NO BORRAR'!$A2308&lt;&gt;"Resultado total",('FUENTE NO BORRAR'!G2308),""))</f>
        <v>1145486.5900000001</v>
      </c>
      <c r="H2290" s="6">
        <f>IF('FUENTE NO BORRAR'!H2308="","",IF('FUENTE NO BORRAR'!$A2308&lt;&gt;"Resultado total",('FUENTE NO BORRAR'!H2308),""))</f>
        <v>1145486.5900000001</v>
      </c>
      <c r="I2290" s="6">
        <f>IF('FUENTE NO BORRAR'!I2308="","",IF('FUENTE NO BORRAR'!$A2308&lt;&gt;"Resultado total",('FUENTE NO BORRAR'!I2308),""))</f>
        <v>-4.0000000000000002E-9</v>
      </c>
    </row>
    <row r="2291" spans="1:9" x14ac:dyDescent="0.2">
      <c r="A2291" s="5" t="str">
        <f>IF('FUENTE NO BORRAR'!A2309="","",(IF('FUENTE NO BORRAR'!A2309&lt;&gt;"Resultado total",'FUENTE NO BORRAR'!A2309,"")))</f>
        <v/>
      </c>
      <c r="B2291" s="5" t="str">
        <f>IF('FUENTE NO BORRAR'!B2309="","",'FUENTE NO BORRAR'!B2309)</f>
        <v/>
      </c>
      <c r="C2291" s="5" t="str">
        <f>IF('FUENTE NO BORRAR'!C2309="","",'FUENTE NO BORRAR'!C2309)</f>
        <v/>
      </c>
      <c r="D2291" s="5" t="str">
        <f>IF('FUENTE NO BORRAR'!D2309="","",'FUENTE NO BORRAR'!D2309)</f>
        <v/>
      </c>
      <c r="E2291" s="5" t="str">
        <f>IF('FUENTE NO BORRAR'!E2309="","",'FUENTE NO BORRAR'!E2309)</f>
        <v/>
      </c>
      <c r="F2291" s="6">
        <f>IF('FUENTE NO BORRAR'!F2309="","",IF('FUENTE NO BORRAR'!$A2309&lt;&gt;"Resultado total",('FUENTE NO BORRAR'!F2309),""))</f>
        <v>494642.24</v>
      </c>
      <c r="G2291" s="6">
        <f>IF('FUENTE NO BORRAR'!G2309="","",IF('FUENTE NO BORRAR'!$A2309&lt;&gt;"Resultado total",('FUENTE NO BORRAR'!G2309),""))</f>
        <v>494642.24</v>
      </c>
      <c r="H2291" s="6">
        <f>IF('FUENTE NO BORRAR'!H2309="","",IF('FUENTE NO BORRAR'!$A2309&lt;&gt;"Resultado total",('FUENTE NO BORRAR'!H2309),""))</f>
        <v>451210.26</v>
      </c>
      <c r="I2291" s="6">
        <f>IF('FUENTE NO BORRAR'!I2309="","",IF('FUENTE NO BORRAR'!$A2309&lt;&gt;"Resultado total",('FUENTE NO BORRAR'!I2309),""))</f>
        <v>0</v>
      </c>
    </row>
    <row r="2292" spans="1:9" x14ac:dyDescent="0.2">
      <c r="A2292" s="5" t="str">
        <f>IF('FUENTE NO BORRAR'!A2310="","",(IF('FUENTE NO BORRAR'!A2310&lt;&gt;"Resultado total",'FUENTE NO BORRAR'!A2310,"")))</f>
        <v/>
      </c>
      <c r="B2292" s="5" t="str">
        <f>IF('FUENTE NO BORRAR'!B2310="","",'FUENTE NO BORRAR'!B2310)</f>
        <v/>
      </c>
      <c r="C2292" s="5" t="str">
        <f>IF('FUENTE NO BORRAR'!C2310="","",'FUENTE NO BORRAR'!C2310)</f>
        <v/>
      </c>
      <c r="D2292" s="5" t="str">
        <f>IF('FUENTE NO BORRAR'!D2310="","",'FUENTE NO BORRAR'!D2310)</f>
        <v/>
      </c>
      <c r="E2292" s="5" t="str">
        <f>IF('FUENTE NO BORRAR'!E2310="","",'FUENTE NO BORRAR'!E2310)</f>
        <v/>
      </c>
      <c r="F2292" s="6">
        <f>IF('FUENTE NO BORRAR'!F2310="","",IF('FUENTE NO BORRAR'!$A2310&lt;&gt;"Resultado total",('FUENTE NO BORRAR'!F2310),""))</f>
        <v>711099.32</v>
      </c>
      <c r="G2292" s="6">
        <f>IF('FUENTE NO BORRAR'!G2310="","",IF('FUENTE NO BORRAR'!$A2310&lt;&gt;"Resultado total",('FUENTE NO BORRAR'!G2310),""))</f>
        <v>711099.32</v>
      </c>
      <c r="H2292" s="6">
        <f>IF('FUENTE NO BORRAR'!H2310="","",IF('FUENTE NO BORRAR'!$A2310&lt;&gt;"Resultado total",('FUENTE NO BORRAR'!H2310),""))</f>
        <v>711099.32</v>
      </c>
      <c r="I2292" s="6">
        <f>IF('FUENTE NO BORRAR'!I2310="","",IF('FUENTE NO BORRAR'!$A2310&lt;&gt;"Resultado total",('FUENTE NO BORRAR'!I2310),""))</f>
        <v>0</v>
      </c>
    </row>
    <row r="2293" spans="1:9" x14ac:dyDescent="0.2">
      <c r="A2293" s="5" t="str">
        <f>IF('FUENTE NO BORRAR'!A2311="","",(IF('FUENTE NO BORRAR'!A2311&lt;&gt;"Resultado total",'FUENTE NO BORRAR'!A2311,"")))</f>
        <v/>
      </c>
      <c r="B2293" s="5" t="str">
        <f>IF('FUENTE NO BORRAR'!B2311="","",'FUENTE NO BORRAR'!B2311)</f>
        <v/>
      </c>
      <c r="C2293" s="5" t="str">
        <f>IF('FUENTE NO BORRAR'!C2311="","",'FUENTE NO BORRAR'!C2311)</f>
        <v/>
      </c>
      <c r="D2293" s="5" t="str">
        <f>IF('FUENTE NO BORRAR'!D2311="","",'FUENTE NO BORRAR'!D2311)</f>
        <v/>
      </c>
      <c r="E2293" s="5" t="str">
        <f>IF('FUENTE NO BORRAR'!E2311="","",'FUENTE NO BORRAR'!E2311)</f>
        <v/>
      </c>
      <c r="F2293" s="6">
        <f>IF('FUENTE NO BORRAR'!F2311="","",IF('FUENTE NO BORRAR'!$A2311&lt;&gt;"Resultado total",('FUENTE NO BORRAR'!F2311),""))</f>
        <v>3174.2</v>
      </c>
      <c r="G2293" s="6">
        <f>IF('FUENTE NO BORRAR'!G2311="","",IF('FUENTE NO BORRAR'!$A2311&lt;&gt;"Resultado total",('FUENTE NO BORRAR'!G2311),""))</f>
        <v>3174.2</v>
      </c>
      <c r="H2293" s="6">
        <f>IF('FUENTE NO BORRAR'!H2311="","",IF('FUENTE NO BORRAR'!$A2311&lt;&gt;"Resultado total",('FUENTE NO BORRAR'!H2311),""))</f>
        <v>3174.2</v>
      </c>
      <c r="I2293" s="6">
        <f>IF('FUENTE NO BORRAR'!I2311="","",IF('FUENTE NO BORRAR'!$A2311&lt;&gt;"Resultado total",('FUENTE NO BORRAR'!I2311),""))</f>
        <v>0</v>
      </c>
    </row>
    <row r="2294" spans="1:9" x14ac:dyDescent="0.2">
      <c r="A2294" s="5" t="str">
        <f>IF('FUENTE NO BORRAR'!A2312="","",(IF('FUENTE NO BORRAR'!A2312&lt;&gt;"Resultado total",'FUENTE NO BORRAR'!A2312,"")))</f>
        <v/>
      </c>
      <c r="B2294" s="5" t="str">
        <f>IF('FUENTE NO BORRAR'!B2312="","",'FUENTE NO BORRAR'!B2312)</f>
        <v/>
      </c>
      <c r="C2294" s="5" t="str">
        <f>IF('FUENTE NO BORRAR'!C2312="","",'FUENTE NO BORRAR'!C2312)</f>
        <v/>
      </c>
      <c r="D2294" s="5" t="str">
        <f>IF('FUENTE NO BORRAR'!D2312="","",'FUENTE NO BORRAR'!D2312)</f>
        <v/>
      </c>
      <c r="E2294" s="5" t="str">
        <f>IF('FUENTE NO BORRAR'!E2312="","",'FUENTE NO BORRAR'!E2312)</f>
        <v/>
      </c>
      <c r="F2294" s="6">
        <f>IF('FUENTE NO BORRAR'!F2312="","",IF('FUENTE NO BORRAR'!$A2312&lt;&gt;"Resultado total",('FUENTE NO BORRAR'!F2312),""))</f>
        <v>62644.74</v>
      </c>
      <c r="G2294" s="6">
        <f>IF('FUENTE NO BORRAR'!G2312="","",IF('FUENTE NO BORRAR'!$A2312&lt;&gt;"Resultado total",('FUENTE NO BORRAR'!G2312),""))</f>
        <v>62644.74</v>
      </c>
      <c r="H2294" s="6">
        <f>IF('FUENTE NO BORRAR'!H2312="","",IF('FUENTE NO BORRAR'!$A2312&lt;&gt;"Resultado total",('FUENTE NO BORRAR'!H2312),""))</f>
        <v>62644.74</v>
      </c>
      <c r="I2294" s="6">
        <f>IF('FUENTE NO BORRAR'!I2312="","",IF('FUENTE NO BORRAR'!$A2312&lt;&gt;"Resultado total",('FUENTE NO BORRAR'!I2312),""))</f>
        <v>0</v>
      </c>
    </row>
    <row r="2295" spans="1:9" x14ac:dyDescent="0.2">
      <c r="A2295" s="5" t="str">
        <f>IF('FUENTE NO BORRAR'!A2313="","",(IF('FUENTE NO BORRAR'!A2313&lt;&gt;"Resultado total",'FUENTE NO BORRAR'!A2313,"")))</f>
        <v/>
      </c>
      <c r="B2295" s="5" t="str">
        <f>IF('FUENTE NO BORRAR'!B2313="","",'FUENTE NO BORRAR'!B2313)</f>
        <v/>
      </c>
      <c r="C2295" s="5" t="str">
        <f>IF('FUENTE NO BORRAR'!C2313="","",'FUENTE NO BORRAR'!C2313)</f>
        <v/>
      </c>
      <c r="D2295" s="5" t="str">
        <f>IF('FUENTE NO BORRAR'!D2313="","",'FUENTE NO BORRAR'!D2313)</f>
        <v/>
      </c>
      <c r="E2295" s="5" t="str">
        <f>IF('FUENTE NO BORRAR'!E2313="","",'FUENTE NO BORRAR'!E2313)</f>
        <v/>
      </c>
      <c r="F2295" s="6">
        <f>IF('FUENTE NO BORRAR'!F2313="","",IF('FUENTE NO BORRAR'!$A2313&lt;&gt;"Resultado total",('FUENTE NO BORRAR'!F2313),""))</f>
        <v>48746.37</v>
      </c>
      <c r="G2295" s="6">
        <f>IF('FUENTE NO BORRAR'!G2313="","",IF('FUENTE NO BORRAR'!$A2313&lt;&gt;"Resultado total",('FUENTE NO BORRAR'!G2313),""))</f>
        <v>48746.37</v>
      </c>
      <c r="H2295" s="6">
        <f>IF('FUENTE NO BORRAR'!H2313="","",IF('FUENTE NO BORRAR'!$A2313&lt;&gt;"Resultado total",('FUENTE NO BORRAR'!H2313),""))</f>
        <v>48746.37</v>
      </c>
      <c r="I2295" s="6">
        <f>IF('FUENTE NO BORRAR'!I2313="","",IF('FUENTE NO BORRAR'!$A2313&lt;&gt;"Resultado total",('FUENTE NO BORRAR'!I2313),""))</f>
        <v>0</v>
      </c>
    </row>
    <row r="2296" spans="1:9" x14ac:dyDescent="0.2">
      <c r="A2296" s="5" t="str">
        <f>IF('FUENTE NO BORRAR'!A2314="","",(IF('FUENTE NO BORRAR'!A2314&lt;&gt;"Resultado total",'FUENTE NO BORRAR'!A2314,"")))</f>
        <v/>
      </c>
      <c r="B2296" s="5" t="str">
        <f>IF('FUENTE NO BORRAR'!B2314="","",'FUENTE NO BORRAR'!B2314)</f>
        <v/>
      </c>
      <c r="C2296" s="5" t="str">
        <f>IF('FUENTE NO BORRAR'!C2314="","",'FUENTE NO BORRAR'!C2314)</f>
        <v/>
      </c>
      <c r="D2296" s="5" t="str">
        <f>IF('FUENTE NO BORRAR'!D2314="","",'FUENTE NO BORRAR'!D2314)</f>
        <v/>
      </c>
      <c r="E2296" s="5" t="str">
        <f>IF('FUENTE NO BORRAR'!E2314="","",'FUENTE NO BORRAR'!E2314)</f>
        <v/>
      </c>
      <c r="F2296" s="6">
        <f>IF('FUENTE NO BORRAR'!F2314="","",IF('FUENTE NO BORRAR'!$A2314&lt;&gt;"Resultado total",('FUENTE NO BORRAR'!F2314),""))</f>
        <v>275401.28999999998</v>
      </c>
      <c r="G2296" s="6">
        <f>IF('FUENTE NO BORRAR'!G2314="","",IF('FUENTE NO BORRAR'!$A2314&lt;&gt;"Resultado total",('FUENTE NO BORRAR'!G2314),""))</f>
        <v>275401.28999999998</v>
      </c>
      <c r="H2296" s="6">
        <f>IF('FUENTE NO BORRAR'!H2314="","",IF('FUENTE NO BORRAR'!$A2314&lt;&gt;"Resultado total",('FUENTE NO BORRAR'!H2314),""))</f>
        <v>275401.28999999998</v>
      </c>
      <c r="I2296" s="6">
        <f>IF('FUENTE NO BORRAR'!I2314="","",IF('FUENTE NO BORRAR'!$A2314&lt;&gt;"Resultado total",('FUENTE NO BORRAR'!I2314),""))</f>
        <v>0</v>
      </c>
    </row>
    <row r="2297" spans="1:9" x14ac:dyDescent="0.2">
      <c r="A2297" s="5" t="str">
        <f>IF('FUENTE NO BORRAR'!A2315="","",(IF('FUENTE NO BORRAR'!A2315&lt;&gt;"Resultado total",'FUENTE NO BORRAR'!A2315,"")))</f>
        <v/>
      </c>
      <c r="B2297" s="5" t="str">
        <f>IF('FUENTE NO BORRAR'!B2315="","",'FUENTE NO BORRAR'!B2315)</f>
        <v/>
      </c>
      <c r="C2297" s="5" t="str">
        <f>IF('FUENTE NO BORRAR'!C2315="","",'FUENTE NO BORRAR'!C2315)</f>
        <v/>
      </c>
      <c r="D2297" s="5" t="str">
        <f>IF('FUENTE NO BORRAR'!D2315="","",'FUENTE NO BORRAR'!D2315)</f>
        <v/>
      </c>
      <c r="E2297" s="5" t="str">
        <f>IF('FUENTE NO BORRAR'!E2315="","",'FUENTE NO BORRAR'!E2315)</f>
        <v/>
      </c>
      <c r="F2297" s="6">
        <f>IF('FUENTE NO BORRAR'!F2315="","",IF('FUENTE NO BORRAR'!$A2315&lt;&gt;"Resultado total",('FUENTE NO BORRAR'!F2315),""))</f>
        <v>1022917</v>
      </c>
      <c r="G2297" s="6">
        <f>IF('FUENTE NO BORRAR'!G2315="","",IF('FUENTE NO BORRAR'!$A2315&lt;&gt;"Resultado total",('FUENTE NO BORRAR'!G2315),""))</f>
        <v>1022917</v>
      </c>
      <c r="H2297" s="6">
        <f>IF('FUENTE NO BORRAR'!H2315="","",IF('FUENTE NO BORRAR'!$A2315&lt;&gt;"Resultado total",('FUENTE NO BORRAR'!H2315),""))</f>
        <v>998647.8</v>
      </c>
      <c r="I2297" s="6">
        <f>IF('FUENTE NO BORRAR'!I2315="","",IF('FUENTE NO BORRAR'!$A2315&lt;&gt;"Resultado total",('FUENTE NO BORRAR'!I2315),""))</f>
        <v>0</v>
      </c>
    </row>
    <row r="2298" spans="1:9" x14ac:dyDescent="0.2">
      <c r="A2298" s="5" t="str">
        <f>IF('FUENTE NO BORRAR'!A2316="","",(IF('FUENTE NO BORRAR'!A2316&lt;&gt;"Resultado total",'FUENTE NO BORRAR'!A2316,"")))</f>
        <v/>
      </c>
      <c r="B2298" s="5" t="str">
        <f>IF('FUENTE NO BORRAR'!B2316="","",'FUENTE NO BORRAR'!B2316)</f>
        <v/>
      </c>
      <c r="C2298" s="5" t="str">
        <f>IF('FUENTE NO BORRAR'!C2316="","",'FUENTE NO BORRAR'!C2316)</f>
        <v/>
      </c>
      <c r="D2298" s="5" t="str">
        <f>IF('FUENTE NO BORRAR'!D2316="","",'FUENTE NO BORRAR'!D2316)</f>
        <v/>
      </c>
      <c r="E2298" s="5" t="str">
        <f>IF('FUENTE NO BORRAR'!E2316="","",'FUENTE NO BORRAR'!E2316)</f>
        <v/>
      </c>
      <c r="F2298" s="6">
        <f>IF('FUENTE NO BORRAR'!F2316="","",IF('FUENTE NO BORRAR'!$A2316&lt;&gt;"Resultado total",('FUENTE NO BORRAR'!F2316),""))</f>
        <v>1024149.34</v>
      </c>
      <c r="G2298" s="6">
        <f>IF('FUENTE NO BORRAR'!G2316="","",IF('FUENTE NO BORRAR'!$A2316&lt;&gt;"Resultado total",('FUENTE NO BORRAR'!G2316),""))</f>
        <v>1024149.34</v>
      </c>
      <c r="H2298" s="6">
        <f>IF('FUENTE NO BORRAR'!H2316="","",IF('FUENTE NO BORRAR'!$A2316&lt;&gt;"Resultado total",('FUENTE NO BORRAR'!H2316),""))</f>
        <v>1024149.34</v>
      </c>
      <c r="I2298" s="6">
        <f>IF('FUENTE NO BORRAR'!I2316="","",IF('FUENTE NO BORRAR'!$A2316&lt;&gt;"Resultado total",('FUENTE NO BORRAR'!I2316),""))</f>
        <v>0</v>
      </c>
    </row>
    <row r="2299" spans="1:9" x14ac:dyDescent="0.2">
      <c r="A2299" s="5" t="str">
        <f>IF('FUENTE NO BORRAR'!A2317="","",(IF('FUENTE NO BORRAR'!A2317&lt;&gt;"Resultado total",'FUENTE NO BORRAR'!A2317,"")))</f>
        <v/>
      </c>
      <c r="B2299" s="5" t="str">
        <f>IF('FUENTE NO BORRAR'!B2317="","",'FUENTE NO BORRAR'!B2317)</f>
        <v/>
      </c>
      <c r="C2299" s="5" t="str">
        <f>IF('FUENTE NO BORRAR'!C2317="","",'FUENTE NO BORRAR'!C2317)</f>
        <v/>
      </c>
      <c r="D2299" s="5" t="str">
        <f>IF('FUENTE NO BORRAR'!D2317="","",'FUENTE NO BORRAR'!D2317)</f>
        <v/>
      </c>
      <c r="E2299" s="5" t="str">
        <f>IF('FUENTE NO BORRAR'!E2317="","",'FUENTE NO BORRAR'!E2317)</f>
        <v/>
      </c>
      <c r="F2299" s="6">
        <f>IF('FUENTE NO BORRAR'!F2317="","",IF('FUENTE NO BORRAR'!$A2317&lt;&gt;"Resultado total",('FUENTE NO BORRAR'!F2317),""))</f>
        <v>327577.53999999998</v>
      </c>
      <c r="G2299" s="6">
        <f>IF('FUENTE NO BORRAR'!G2317="","",IF('FUENTE NO BORRAR'!$A2317&lt;&gt;"Resultado total",('FUENTE NO BORRAR'!G2317),""))</f>
        <v>327577.53999999998</v>
      </c>
      <c r="H2299" s="6">
        <f>IF('FUENTE NO BORRAR'!H2317="","",IF('FUENTE NO BORRAR'!$A2317&lt;&gt;"Resultado total",('FUENTE NO BORRAR'!H2317),""))</f>
        <v>327577.53999999998</v>
      </c>
      <c r="I2299" s="6">
        <f>IF('FUENTE NO BORRAR'!I2317="","",IF('FUENTE NO BORRAR'!$A2317&lt;&gt;"Resultado total",('FUENTE NO BORRAR'!I2317),""))</f>
        <v>0</v>
      </c>
    </row>
    <row r="2300" spans="1:9" x14ac:dyDescent="0.2">
      <c r="A2300" s="5" t="str">
        <f>IF('FUENTE NO BORRAR'!A2318="","",(IF('FUENTE NO BORRAR'!A2318&lt;&gt;"Resultado total",'FUENTE NO BORRAR'!A2318,"")))</f>
        <v/>
      </c>
      <c r="B2300" s="5" t="str">
        <f>IF('FUENTE NO BORRAR'!B2318="","",'FUENTE NO BORRAR'!B2318)</f>
        <v/>
      </c>
      <c r="C2300" s="5" t="str">
        <f>IF('FUENTE NO BORRAR'!C2318="","",'FUENTE NO BORRAR'!C2318)</f>
        <v/>
      </c>
      <c r="D2300" s="5" t="str">
        <f>IF('FUENTE NO BORRAR'!D2318="","",'FUENTE NO BORRAR'!D2318)</f>
        <v/>
      </c>
      <c r="E2300" s="5" t="str">
        <f>IF('FUENTE NO BORRAR'!E2318="","",'FUENTE NO BORRAR'!E2318)</f>
        <v/>
      </c>
      <c r="F2300" s="6">
        <f>IF('FUENTE NO BORRAR'!F2318="","",IF('FUENTE NO BORRAR'!$A2318&lt;&gt;"Resultado total",('FUENTE NO BORRAR'!F2318),""))</f>
        <v>104157.35</v>
      </c>
      <c r="G2300" s="6">
        <f>IF('FUENTE NO BORRAR'!G2318="","",IF('FUENTE NO BORRAR'!$A2318&lt;&gt;"Resultado total",('FUENTE NO BORRAR'!G2318),""))</f>
        <v>104157.35</v>
      </c>
      <c r="H2300" s="6">
        <f>IF('FUENTE NO BORRAR'!H2318="","",IF('FUENTE NO BORRAR'!$A2318&lt;&gt;"Resultado total",('FUENTE NO BORRAR'!H2318),""))</f>
        <v>104157.35</v>
      </c>
      <c r="I2300" s="6">
        <f>IF('FUENTE NO BORRAR'!I2318="","",IF('FUENTE NO BORRAR'!$A2318&lt;&gt;"Resultado total",('FUENTE NO BORRAR'!I2318),""))</f>
        <v>0</v>
      </c>
    </row>
    <row r="2301" spans="1:9" x14ac:dyDescent="0.2">
      <c r="A2301" s="5" t="str">
        <f>IF('FUENTE NO BORRAR'!A2319="","",(IF('FUENTE NO BORRAR'!A2319&lt;&gt;"Resultado total",'FUENTE NO BORRAR'!A2319,"")))</f>
        <v/>
      </c>
      <c r="B2301" s="5" t="str">
        <f>IF('FUENTE NO BORRAR'!B2319="","",'FUENTE NO BORRAR'!B2319)</f>
        <v/>
      </c>
      <c r="C2301" s="5" t="str">
        <f>IF('FUENTE NO BORRAR'!C2319="","",'FUENTE NO BORRAR'!C2319)</f>
        <v/>
      </c>
      <c r="D2301" s="5" t="str">
        <f>IF('FUENTE NO BORRAR'!D2319="","",'FUENTE NO BORRAR'!D2319)</f>
        <v/>
      </c>
      <c r="E2301" s="5" t="str">
        <f>IF('FUENTE NO BORRAR'!E2319="","",'FUENTE NO BORRAR'!E2319)</f>
        <v/>
      </c>
      <c r="F2301" s="6">
        <f>IF('FUENTE NO BORRAR'!F2319="","",IF('FUENTE NO BORRAR'!$A2319&lt;&gt;"Resultado total",('FUENTE NO BORRAR'!F2319),""))</f>
        <v>49250.97</v>
      </c>
      <c r="G2301" s="6">
        <f>IF('FUENTE NO BORRAR'!G2319="","",IF('FUENTE NO BORRAR'!$A2319&lt;&gt;"Resultado total",('FUENTE NO BORRAR'!G2319),""))</f>
        <v>49250.97</v>
      </c>
      <c r="H2301" s="6">
        <f>IF('FUENTE NO BORRAR'!H2319="","",IF('FUENTE NO BORRAR'!$A2319&lt;&gt;"Resultado total",('FUENTE NO BORRAR'!H2319),""))</f>
        <v>49250.97</v>
      </c>
      <c r="I2301" s="6">
        <f>IF('FUENTE NO BORRAR'!I2319="","",IF('FUENTE NO BORRAR'!$A2319&lt;&gt;"Resultado total",('FUENTE NO BORRAR'!I2319),""))</f>
        <v>0</v>
      </c>
    </row>
    <row r="2302" spans="1:9" x14ac:dyDescent="0.2">
      <c r="A2302" s="5" t="str">
        <f>IF('FUENTE NO BORRAR'!A2320="","",(IF('FUENTE NO BORRAR'!A2320&lt;&gt;"Resultado total",'FUENTE NO BORRAR'!A2320,"")))</f>
        <v/>
      </c>
      <c r="B2302" s="5" t="str">
        <f>IF('FUENTE NO BORRAR'!B2320="","",'FUENTE NO BORRAR'!B2320)</f>
        <v/>
      </c>
      <c r="C2302" s="5" t="str">
        <f>IF('FUENTE NO BORRAR'!C2320="","",'FUENTE NO BORRAR'!C2320)</f>
        <v/>
      </c>
      <c r="D2302" s="5" t="str">
        <f>IF('FUENTE NO BORRAR'!D2320="","",'FUENTE NO BORRAR'!D2320)</f>
        <v/>
      </c>
      <c r="E2302" s="5" t="str">
        <f>IF('FUENTE NO BORRAR'!E2320="","",'FUENTE NO BORRAR'!E2320)</f>
        <v/>
      </c>
      <c r="F2302" s="6">
        <f>IF('FUENTE NO BORRAR'!F2320="","",IF('FUENTE NO BORRAR'!$A2320&lt;&gt;"Resultado total",('FUENTE NO BORRAR'!F2320),""))</f>
        <v>150193.20000000001</v>
      </c>
      <c r="G2302" s="6">
        <f>IF('FUENTE NO BORRAR'!G2320="","",IF('FUENTE NO BORRAR'!$A2320&lt;&gt;"Resultado total",('FUENTE NO BORRAR'!G2320),""))</f>
        <v>150193.20000000001</v>
      </c>
      <c r="H2302" s="6">
        <f>IF('FUENTE NO BORRAR'!H2320="","",IF('FUENTE NO BORRAR'!$A2320&lt;&gt;"Resultado total",('FUENTE NO BORRAR'!H2320),""))</f>
        <v>150193.20000000001</v>
      </c>
      <c r="I2302" s="6">
        <f>IF('FUENTE NO BORRAR'!I2320="","",IF('FUENTE NO BORRAR'!$A2320&lt;&gt;"Resultado total",('FUENTE NO BORRAR'!I2320),""))</f>
        <v>0</v>
      </c>
    </row>
    <row r="2303" spans="1:9" x14ac:dyDescent="0.2">
      <c r="A2303" s="5" t="str">
        <f>IF('FUENTE NO BORRAR'!A2321="","",(IF('FUENTE NO BORRAR'!A2321&lt;&gt;"Resultado total",'FUENTE NO BORRAR'!A2321,"")))</f>
        <v/>
      </c>
      <c r="B2303" s="5" t="str">
        <f>IF('FUENTE NO BORRAR'!B2321="","",'FUENTE NO BORRAR'!B2321)</f>
        <v/>
      </c>
      <c r="C2303" s="5" t="str">
        <f>IF('FUENTE NO BORRAR'!C2321="","",'FUENTE NO BORRAR'!C2321)</f>
        <v/>
      </c>
      <c r="D2303" s="5" t="str">
        <f>IF('FUENTE NO BORRAR'!D2321="","",'FUENTE NO BORRAR'!D2321)</f>
        <v/>
      </c>
      <c r="E2303" s="5" t="str">
        <f>IF('FUENTE NO BORRAR'!E2321="","",'FUENTE NO BORRAR'!E2321)</f>
        <v/>
      </c>
      <c r="F2303" s="6">
        <f>IF('FUENTE NO BORRAR'!F2321="","",IF('FUENTE NO BORRAR'!$A2321&lt;&gt;"Resultado total",('FUENTE NO BORRAR'!F2321),""))</f>
        <v>394455.86</v>
      </c>
      <c r="G2303" s="6">
        <f>IF('FUENTE NO BORRAR'!G2321="","",IF('FUENTE NO BORRAR'!$A2321&lt;&gt;"Resultado total",('FUENTE NO BORRAR'!G2321),""))</f>
        <v>394455.86</v>
      </c>
      <c r="H2303" s="6">
        <f>IF('FUENTE NO BORRAR'!H2321="","",IF('FUENTE NO BORRAR'!$A2321&lt;&gt;"Resultado total",('FUENTE NO BORRAR'!H2321),""))</f>
        <v>394455.86</v>
      </c>
      <c r="I2303" s="6">
        <f>IF('FUENTE NO BORRAR'!I2321="","",IF('FUENTE NO BORRAR'!$A2321&lt;&gt;"Resultado total",('FUENTE NO BORRAR'!I2321),""))</f>
        <v>0</v>
      </c>
    </row>
    <row r="2304" spans="1:9" x14ac:dyDescent="0.2">
      <c r="A2304" s="5" t="str">
        <f>IF('FUENTE NO BORRAR'!A2322="","",(IF('FUENTE NO BORRAR'!A2322&lt;&gt;"Resultado total",'FUENTE NO BORRAR'!A2322,"")))</f>
        <v/>
      </c>
      <c r="B2304" s="5" t="str">
        <f>IF('FUENTE NO BORRAR'!B2322="","",'FUENTE NO BORRAR'!B2322)</f>
        <v/>
      </c>
      <c r="C2304" s="5" t="str">
        <f>IF('FUENTE NO BORRAR'!C2322="","",'FUENTE NO BORRAR'!C2322)</f>
        <v/>
      </c>
      <c r="D2304" s="5" t="str">
        <f>IF('FUENTE NO BORRAR'!D2322="","",'FUENTE NO BORRAR'!D2322)</f>
        <v/>
      </c>
      <c r="E2304" s="5" t="str">
        <f>IF('FUENTE NO BORRAR'!E2322="","",'FUENTE NO BORRAR'!E2322)</f>
        <v/>
      </c>
      <c r="F2304" s="6">
        <f>IF('FUENTE NO BORRAR'!F2322="","",IF('FUENTE NO BORRAR'!$A2322&lt;&gt;"Resultado total",('FUENTE NO BORRAR'!F2322),""))</f>
        <v>44606.080000000002</v>
      </c>
      <c r="G2304" s="6">
        <f>IF('FUENTE NO BORRAR'!G2322="","",IF('FUENTE NO BORRAR'!$A2322&lt;&gt;"Resultado total",('FUENTE NO BORRAR'!G2322),""))</f>
        <v>44606.080000000002</v>
      </c>
      <c r="H2304" s="6">
        <f>IF('FUENTE NO BORRAR'!H2322="","",IF('FUENTE NO BORRAR'!$A2322&lt;&gt;"Resultado total",('FUENTE NO BORRAR'!H2322),""))</f>
        <v>44606.080000000002</v>
      </c>
      <c r="I2304" s="6">
        <f>IF('FUENTE NO BORRAR'!I2322="","",IF('FUENTE NO BORRAR'!$A2322&lt;&gt;"Resultado total",('FUENTE NO BORRAR'!I2322),""))</f>
        <v>0</v>
      </c>
    </row>
    <row r="2305" spans="1:9" x14ac:dyDescent="0.2">
      <c r="A2305" s="5" t="str">
        <f>IF('FUENTE NO BORRAR'!A2323="","",(IF('FUENTE NO BORRAR'!A2323&lt;&gt;"Resultado total",'FUENTE NO BORRAR'!A2323,"")))</f>
        <v/>
      </c>
      <c r="B2305" s="5" t="str">
        <f>IF('FUENTE NO BORRAR'!B2323="","",'FUENTE NO BORRAR'!B2323)</f>
        <v/>
      </c>
      <c r="C2305" s="5" t="str">
        <f>IF('FUENTE NO BORRAR'!C2323="","",'FUENTE NO BORRAR'!C2323)</f>
        <v/>
      </c>
      <c r="D2305" s="5" t="str">
        <f>IF('FUENTE NO BORRAR'!D2323="","",'FUENTE NO BORRAR'!D2323)</f>
        <v/>
      </c>
      <c r="E2305" s="5" t="str">
        <f>IF('FUENTE NO BORRAR'!E2323="","",'FUENTE NO BORRAR'!E2323)</f>
        <v/>
      </c>
      <c r="F2305" s="6">
        <f>IF('FUENTE NO BORRAR'!F2323="","",IF('FUENTE NO BORRAR'!$A2323&lt;&gt;"Resultado total",('FUENTE NO BORRAR'!F2323),""))</f>
        <v>25368.85</v>
      </c>
      <c r="G2305" s="6">
        <f>IF('FUENTE NO BORRAR'!G2323="","",IF('FUENTE NO BORRAR'!$A2323&lt;&gt;"Resultado total",('FUENTE NO BORRAR'!G2323),""))</f>
        <v>25368.85</v>
      </c>
      <c r="H2305" s="6">
        <f>IF('FUENTE NO BORRAR'!H2323="","",IF('FUENTE NO BORRAR'!$A2323&lt;&gt;"Resultado total",('FUENTE NO BORRAR'!H2323),""))</f>
        <v>25368.85</v>
      </c>
      <c r="I2305" s="6">
        <f>IF('FUENTE NO BORRAR'!I2323="","",IF('FUENTE NO BORRAR'!$A2323&lt;&gt;"Resultado total",('FUENTE NO BORRAR'!I2323),""))</f>
        <v>0</v>
      </c>
    </row>
    <row r="2306" spans="1:9" x14ac:dyDescent="0.2">
      <c r="A2306" s="5" t="str">
        <f>IF('FUENTE NO BORRAR'!A2324="","",(IF('FUENTE NO BORRAR'!A2324&lt;&gt;"Resultado total",'FUENTE NO BORRAR'!A2324,"")))</f>
        <v/>
      </c>
      <c r="B2306" s="5" t="str">
        <f>IF('FUENTE NO BORRAR'!B2324="","",'FUENTE NO BORRAR'!B2324)</f>
        <v/>
      </c>
      <c r="C2306" s="5" t="str">
        <f>IF('FUENTE NO BORRAR'!C2324="","",'FUENTE NO BORRAR'!C2324)</f>
        <v/>
      </c>
      <c r="D2306" s="5" t="str">
        <f>IF('FUENTE NO BORRAR'!D2324="","",'FUENTE NO BORRAR'!D2324)</f>
        <v/>
      </c>
      <c r="E2306" s="5" t="str">
        <f>IF('FUENTE NO BORRAR'!E2324="","",'FUENTE NO BORRAR'!E2324)</f>
        <v/>
      </c>
      <c r="F2306" s="6">
        <f>IF('FUENTE NO BORRAR'!F2324="","",IF('FUENTE NO BORRAR'!$A2324&lt;&gt;"Resultado total",('FUENTE NO BORRAR'!F2324),""))</f>
        <v>0</v>
      </c>
      <c r="G2306" s="6">
        <f>IF('FUENTE NO BORRAR'!G2324="","",IF('FUENTE NO BORRAR'!$A2324&lt;&gt;"Resultado total",('FUENTE NO BORRAR'!G2324),""))</f>
        <v>0</v>
      </c>
      <c r="H2306" s="6">
        <f>IF('FUENTE NO BORRAR'!H2324="","",IF('FUENTE NO BORRAR'!$A2324&lt;&gt;"Resultado total",('FUENTE NO BORRAR'!H2324),""))</f>
        <v>0</v>
      </c>
      <c r="I2306" s="6">
        <f>IF('FUENTE NO BORRAR'!I2324="","",IF('FUENTE NO BORRAR'!$A2324&lt;&gt;"Resultado total",('FUENTE NO BORRAR'!I2324),""))</f>
        <v>0</v>
      </c>
    </row>
    <row r="2307" spans="1:9" x14ac:dyDescent="0.2">
      <c r="A2307" s="5" t="str">
        <f>IF('FUENTE NO BORRAR'!A2325="","",(IF('FUENTE NO BORRAR'!A2325&lt;&gt;"Resultado total",'FUENTE NO BORRAR'!A2325,"")))</f>
        <v/>
      </c>
      <c r="B2307" s="5" t="str">
        <f>IF('FUENTE NO BORRAR'!B2325="","",'FUENTE NO BORRAR'!B2325)</f>
        <v/>
      </c>
      <c r="C2307" s="5" t="str">
        <f>IF('FUENTE NO BORRAR'!C2325="","",'FUENTE NO BORRAR'!C2325)</f>
        <v/>
      </c>
      <c r="D2307" s="5" t="str">
        <f>IF('FUENTE NO BORRAR'!D2325="","",'FUENTE NO BORRAR'!D2325)</f>
        <v/>
      </c>
      <c r="E2307" s="5" t="str">
        <f>IF('FUENTE NO BORRAR'!E2325="","",'FUENTE NO BORRAR'!E2325)</f>
        <v/>
      </c>
      <c r="F2307" s="6">
        <f>IF('FUENTE NO BORRAR'!F2325="","",IF('FUENTE NO BORRAR'!$A2325&lt;&gt;"Resultado total",('FUENTE NO BORRAR'!F2325),""))</f>
        <v>80663.850000000006</v>
      </c>
      <c r="G2307" s="6">
        <f>IF('FUENTE NO BORRAR'!G2325="","",IF('FUENTE NO BORRAR'!$A2325&lt;&gt;"Resultado total",('FUENTE NO BORRAR'!G2325),""))</f>
        <v>80663.850000000006</v>
      </c>
      <c r="H2307" s="6">
        <f>IF('FUENTE NO BORRAR'!H2325="","",IF('FUENTE NO BORRAR'!$A2325&lt;&gt;"Resultado total",('FUENTE NO BORRAR'!H2325),""))</f>
        <v>80663.850000000006</v>
      </c>
      <c r="I2307" s="6">
        <f>IF('FUENTE NO BORRAR'!I2325="","",IF('FUENTE NO BORRAR'!$A2325&lt;&gt;"Resultado total",('FUENTE NO BORRAR'!I2325),""))</f>
        <v>0</v>
      </c>
    </row>
    <row r="2308" spans="1:9" x14ac:dyDescent="0.2">
      <c r="A2308" s="5" t="str">
        <f>IF('FUENTE NO BORRAR'!A2326="","",(IF('FUENTE NO BORRAR'!A2326&lt;&gt;"Resultado total",'FUENTE NO BORRAR'!A2326,"")))</f>
        <v/>
      </c>
      <c r="B2308" s="5" t="str">
        <f>IF('FUENTE NO BORRAR'!B2326="","",'FUENTE NO BORRAR'!B2326)</f>
        <v/>
      </c>
      <c r="C2308" s="5" t="str">
        <f>IF('FUENTE NO BORRAR'!C2326="","",'FUENTE NO BORRAR'!C2326)</f>
        <v/>
      </c>
      <c r="D2308" s="5" t="str">
        <f>IF('FUENTE NO BORRAR'!D2326="","",'FUENTE NO BORRAR'!D2326)</f>
        <v/>
      </c>
      <c r="E2308" s="5" t="str">
        <f>IF('FUENTE NO BORRAR'!E2326="","",'FUENTE NO BORRAR'!E2326)</f>
        <v/>
      </c>
      <c r="F2308" s="6">
        <f>IF('FUENTE NO BORRAR'!F2326="","",IF('FUENTE NO BORRAR'!$A2326&lt;&gt;"Resultado total",('FUENTE NO BORRAR'!F2326),""))</f>
        <v>2298</v>
      </c>
      <c r="G2308" s="6">
        <f>IF('FUENTE NO BORRAR'!G2326="","",IF('FUENTE NO BORRAR'!$A2326&lt;&gt;"Resultado total",('FUENTE NO BORRAR'!G2326),""))</f>
        <v>2298</v>
      </c>
      <c r="H2308" s="6">
        <f>IF('FUENTE NO BORRAR'!H2326="","",IF('FUENTE NO BORRAR'!$A2326&lt;&gt;"Resultado total",('FUENTE NO BORRAR'!H2326),""))</f>
        <v>2298</v>
      </c>
      <c r="I2308" s="6">
        <f>IF('FUENTE NO BORRAR'!I2326="","",IF('FUENTE NO BORRAR'!$A2326&lt;&gt;"Resultado total",('FUENTE NO BORRAR'!I2326),""))</f>
        <v>0</v>
      </c>
    </row>
    <row r="2309" spans="1:9" x14ac:dyDescent="0.2">
      <c r="A2309" s="5" t="str">
        <f>IF('FUENTE NO BORRAR'!A2327="","",(IF('FUENTE NO BORRAR'!A2327&lt;&gt;"Resultado total",'FUENTE NO BORRAR'!A2327,"")))</f>
        <v/>
      </c>
      <c r="B2309" s="5" t="str">
        <f>IF('FUENTE NO BORRAR'!B2327="","",'FUENTE NO BORRAR'!B2327)</f>
        <v/>
      </c>
      <c r="C2309" s="5" t="str">
        <f>IF('FUENTE NO BORRAR'!C2327="","",'FUENTE NO BORRAR'!C2327)</f>
        <v/>
      </c>
      <c r="D2309" s="5" t="str">
        <f>IF('FUENTE NO BORRAR'!D2327="","",'FUENTE NO BORRAR'!D2327)</f>
        <v/>
      </c>
      <c r="E2309" s="5" t="str">
        <f>IF('FUENTE NO BORRAR'!E2327="","",'FUENTE NO BORRAR'!E2327)</f>
        <v/>
      </c>
      <c r="F2309" s="6">
        <f>IF('FUENTE NO BORRAR'!F2327="","",IF('FUENTE NO BORRAR'!$A2327&lt;&gt;"Resultado total",('FUENTE NO BORRAR'!F2327),""))</f>
        <v>63018.98</v>
      </c>
      <c r="G2309" s="6">
        <f>IF('FUENTE NO BORRAR'!G2327="","",IF('FUENTE NO BORRAR'!$A2327&lt;&gt;"Resultado total",('FUENTE NO BORRAR'!G2327),""))</f>
        <v>63018.98</v>
      </c>
      <c r="H2309" s="6">
        <f>IF('FUENTE NO BORRAR'!H2327="","",IF('FUENTE NO BORRAR'!$A2327&lt;&gt;"Resultado total",('FUENTE NO BORRAR'!H2327),""))</f>
        <v>59181.55</v>
      </c>
      <c r="I2309" s="6">
        <f>IF('FUENTE NO BORRAR'!I2327="","",IF('FUENTE NO BORRAR'!$A2327&lt;&gt;"Resultado total",('FUENTE NO BORRAR'!I2327),""))</f>
        <v>0</v>
      </c>
    </row>
    <row r="2310" spans="1:9" x14ac:dyDescent="0.2">
      <c r="A2310" s="5" t="str">
        <f>IF('FUENTE NO BORRAR'!A2328="","",(IF('FUENTE NO BORRAR'!A2328&lt;&gt;"Resultado total",'FUENTE NO BORRAR'!A2328,"")))</f>
        <v/>
      </c>
      <c r="B2310" s="5" t="str">
        <f>IF('FUENTE NO BORRAR'!B2328="","",'FUENTE NO BORRAR'!B2328)</f>
        <v/>
      </c>
      <c r="C2310" s="5" t="str">
        <f>IF('FUENTE NO BORRAR'!C2328="","",'FUENTE NO BORRAR'!C2328)</f>
        <v/>
      </c>
      <c r="D2310" s="5" t="str">
        <f>IF('FUENTE NO BORRAR'!D2328="","",'FUENTE NO BORRAR'!D2328)</f>
        <v/>
      </c>
      <c r="E2310" s="5" t="str">
        <f>IF('FUENTE NO BORRAR'!E2328="","",'FUENTE NO BORRAR'!E2328)</f>
        <v/>
      </c>
      <c r="F2310" s="6">
        <f>IF('FUENTE NO BORRAR'!F2328="","",IF('FUENTE NO BORRAR'!$A2328&lt;&gt;"Resultado total",('FUENTE NO BORRAR'!F2328),""))</f>
        <v>4360</v>
      </c>
      <c r="G2310" s="6">
        <f>IF('FUENTE NO BORRAR'!G2328="","",IF('FUENTE NO BORRAR'!$A2328&lt;&gt;"Resultado total",('FUENTE NO BORRAR'!G2328),""))</f>
        <v>4360</v>
      </c>
      <c r="H2310" s="6">
        <f>IF('FUENTE NO BORRAR'!H2328="","",IF('FUENTE NO BORRAR'!$A2328&lt;&gt;"Resultado total",('FUENTE NO BORRAR'!H2328),""))</f>
        <v>4360</v>
      </c>
      <c r="I2310" s="6">
        <f>IF('FUENTE NO BORRAR'!I2328="","",IF('FUENTE NO BORRAR'!$A2328&lt;&gt;"Resultado total",('FUENTE NO BORRAR'!I2328),""))</f>
        <v>0</v>
      </c>
    </row>
    <row r="2311" spans="1:9" x14ac:dyDescent="0.2">
      <c r="A2311" s="5" t="str">
        <f>IF('FUENTE NO BORRAR'!A2329="","",(IF('FUENTE NO BORRAR'!A2329&lt;&gt;"Resultado total",'FUENTE NO BORRAR'!A2329,"")))</f>
        <v/>
      </c>
      <c r="B2311" s="5" t="str">
        <f>IF('FUENTE NO BORRAR'!B2329="","",'FUENTE NO BORRAR'!B2329)</f>
        <v/>
      </c>
      <c r="C2311" s="5" t="str">
        <f>IF('FUENTE NO BORRAR'!C2329="","",'FUENTE NO BORRAR'!C2329)</f>
        <v/>
      </c>
      <c r="D2311" s="5" t="str">
        <f>IF('FUENTE NO BORRAR'!D2329="","",'FUENTE NO BORRAR'!D2329)</f>
        <v/>
      </c>
      <c r="E2311" s="5" t="str">
        <f>IF('FUENTE NO BORRAR'!E2329="","",'FUENTE NO BORRAR'!E2329)</f>
        <v/>
      </c>
      <c r="F2311" s="6">
        <f>IF('FUENTE NO BORRAR'!F2329="","",IF('FUENTE NO BORRAR'!$A2329&lt;&gt;"Resultado total",('FUENTE NO BORRAR'!F2329),""))</f>
        <v>1532.59</v>
      </c>
      <c r="G2311" s="6">
        <f>IF('FUENTE NO BORRAR'!G2329="","",IF('FUENTE NO BORRAR'!$A2329&lt;&gt;"Resultado total",('FUENTE NO BORRAR'!G2329),""))</f>
        <v>1532.59</v>
      </c>
      <c r="H2311" s="6">
        <f>IF('FUENTE NO BORRAR'!H2329="","",IF('FUENTE NO BORRAR'!$A2329&lt;&gt;"Resultado total",('FUENTE NO BORRAR'!H2329),""))</f>
        <v>679.99</v>
      </c>
      <c r="I2311" s="6">
        <f>IF('FUENTE NO BORRAR'!I2329="","",IF('FUENTE NO BORRAR'!$A2329&lt;&gt;"Resultado total",('FUENTE NO BORRAR'!I2329),""))</f>
        <v>0</v>
      </c>
    </row>
    <row r="2312" spans="1:9" x14ac:dyDescent="0.2">
      <c r="A2312" s="5" t="str">
        <f>IF('FUENTE NO BORRAR'!A2330="","",(IF('FUENTE NO BORRAR'!A2330&lt;&gt;"Resultado total",'FUENTE NO BORRAR'!A2330,"")))</f>
        <v/>
      </c>
      <c r="B2312" s="5" t="str">
        <f>IF('FUENTE NO BORRAR'!B2330="","",'FUENTE NO BORRAR'!B2330)</f>
        <v/>
      </c>
      <c r="C2312" s="5" t="str">
        <f>IF('FUENTE NO BORRAR'!C2330="","",'FUENTE NO BORRAR'!C2330)</f>
        <v/>
      </c>
      <c r="D2312" s="5" t="str">
        <f>IF('FUENTE NO BORRAR'!D2330="","",'FUENTE NO BORRAR'!D2330)</f>
        <v/>
      </c>
      <c r="E2312" s="5" t="str">
        <f>IF('FUENTE NO BORRAR'!E2330="","",'FUENTE NO BORRAR'!E2330)</f>
        <v/>
      </c>
      <c r="F2312" s="6">
        <f>IF('FUENTE NO BORRAR'!F2330="","",IF('FUENTE NO BORRAR'!$A2330&lt;&gt;"Resultado total",('FUENTE NO BORRAR'!F2330),""))</f>
        <v>17.399999999999999</v>
      </c>
      <c r="G2312" s="6">
        <f>IF('FUENTE NO BORRAR'!G2330="","",IF('FUENTE NO BORRAR'!$A2330&lt;&gt;"Resultado total",('FUENTE NO BORRAR'!G2330),""))</f>
        <v>17.399999999999999</v>
      </c>
      <c r="H2312" s="6">
        <f>IF('FUENTE NO BORRAR'!H2330="","",IF('FUENTE NO BORRAR'!$A2330&lt;&gt;"Resultado total",('FUENTE NO BORRAR'!H2330),""))</f>
        <v>0</v>
      </c>
      <c r="I2312" s="6">
        <f>IF('FUENTE NO BORRAR'!I2330="","",IF('FUENTE NO BORRAR'!$A2330&lt;&gt;"Resultado total",('FUENTE NO BORRAR'!I2330),""))</f>
        <v>0</v>
      </c>
    </row>
    <row r="2313" spans="1:9" x14ac:dyDescent="0.2">
      <c r="A2313" s="5" t="str">
        <f>IF('FUENTE NO BORRAR'!A2331="","",(IF('FUENTE NO BORRAR'!A2331&lt;&gt;"Resultado total",'FUENTE NO BORRAR'!A2331,"")))</f>
        <v/>
      </c>
      <c r="B2313" s="5" t="str">
        <f>IF('FUENTE NO BORRAR'!B2331="","",'FUENTE NO BORRAR'!B2331)</f>
        <v/>
      </c>
      <c r="C2313" s="5" t="str">
        <f>IF('FUENTE NO BORRAR'!C2331="","",'FUENTE NO BORRAR'!C2331)</f>
        <v/>
      </c>
      <c r="D2313" s="5" t="str">
        <f>IF('FUENTE NO BORRAR'!D2331="","",'FUENTE NO BORRAR'!D2331)</f>
        <v/>
      </c>
      <c r="E2313" s="5" t="str">
        <f>IF('FUENTE NO BORRAR'!E2331="","",'FUENTE NO BORRAR'!E2331)</f>
        <v/>
      </c>
      <c r="F2313" s="6">
        <f>IF('FUENTE NO BORRAR'!F2331="","",IF('FUENTE NO BORRAR'!$A2331&lt;&gt;"Resultado total",('FUENTE NO BORRAR'!F2331),""))</f>
        <v>0</v>
      </c>
      <c r="G2313" s="6">
        <f>IF('FUENTE NO BORRAR'!G2331="","",IF('FUENTE NO BORRAR'!$A2331&lt;&gt;"Resultado total",('FUENTE NO BORRAR'!G2331),""))</f>
        <v>0</v>
      </c>
      <c r="H2313" s="6">
        <f>IF('FUENTE NO BORRAR'!H2331="","",IF('FUENTE NO BORRAR'!$A2331&lt;&gt;"Resultado total",('FUENTE NO BORRAR'!H2331),""))</f>
        <v>0</v>
      </c>
      <c r="I2313" s="6">
        <f>IF('FUENTE NO BORRAR'!I2331="","",IF('FUENTE NO BORRAR'!$A2331&lt;&gt;"Resultado total",('FUENTE NO BORRAR'!I2331),""))</f>
        <v>0</v>
      </c>
    </row>
    <row r="2314" spans="1:9" x14ac:dyDescent="0.2">
      <c r="A2314" s="5" t="str">
        <f>IF('FUENTE NO BORRAR'!A2332="","",(IF('FUENTE NO BORRAR'!A2332&lt;&gt;"Resultado total",'FUENTE NO BORRAR'!A2332,"")))</f>
        <v/>
      </c>
      <c r="B2314" s="5" t="str">
        <f>IF('FUENTE NO BORRAR'!B2332="","",'FUENTE NO BORRAR'!B2332)</f>
        <v/>
      </c>
      <c r="C2314" s="5" t="str">
        <f>IF('FUENTE NO BORRAR'!C2332="","",'FUENTE NO BORRAR'!C2332)</f>
        <v/>
      </c>
      <c r="D2314" s="5" t="str">
        <f>IF('FUENTE NO BORRAR'!D2332="","",'FUENTE NO BORRAR'!D2332)</f>
        <v/>
      </c>
      <c r="E2314" s="5" t="str">
        <f>IF('FUENTE NO BORRAR'!E2332="","",'FUENTE NO BORRAR'!E2332)</f>
        <v/>
      </c>
      <c r="F2314" s="6">
        <f>IF('FUENTE NO BORRAR'!F2332="","",IF('FUENTE NO BORRAR'!$A2332&lt;&gt;"Resultado total",('FUENTE NO BORRAR'!F2332),""))</f>
        <v>65675.14</v>
      </c>
      <c r="G2314" s="6">
        <f>IF('FUENTE NO BORRAR'!G2332="","",IF('FUENTE NO BORRAR'!$A2332&lt;&gt;"Resultado total",('FUENTE NO BORRAR'!G2332),""))</f>
        <v>65675.14</v>
      </c>
      <c r="H2314" s="6">
        <f>IF('FUENTE NO BORRAR'!H2332="","",IF('FUENTE NO BORRAR'!$A2332&lt;&gt;"Resultado total",('FUENTE NO BORRAR'!H2332),""))</f>
        <v>65675.14</v>
      </c>
      <c r="I2314" s="6">
        <f>IF('FUENTE NO BORRAR'!I2332="","",IF('FUENTE NO BORRAR'!$A2332&lt;&gt;"Resultado total",('FUENTE NO BORRAR'!I2332),""))</f>
        <v>0</v>
      </c>
    </row>
    <row r="2315" spans="1:9" x14ac:dyDescent="0.2">
      <c r="A2315" s="5" t="str">
        <f>IF('FUENTE NO BORRAR'!A2333="","",(IF('FUENTE NO BORRAR'!A2333&lt;&gt;"Resultado total",'FUENTE NO BORRAR'!A2333,"")))</f>
        <v/>
      </c>
      <c r="B2315" s="5" t="str">
        <f>IF('FUENTE NO BORRAR'!B2333="","",'FUENTE NO BORRAR'!B2333)</f>
        <v/>
      </c>
      <c r="C2315" s="5" t="str">
        <f>IF('FUENTE NO BORRAR'!C2333="","",'FUENTE NO BORRAR'!C2333)</f>
        <v/>
      </c>
      <c r="D2315" s="5" t="str">
        <f>IF('FUENTE NO BORRAR'!D2333="","",'FUENTE NO BORRAR'!D2333)</f>
        <v/>
      </c>
      <c r="E2315" s="5" t="str">
        <f>IF('FUENTE NO BORRAR'!E2333="","",'FUENTE NO BORRAR'!E2333)</f>
        <v/>
      </c>
      <c r="F2315" s="6">
        <f>IF('FUENTE NO BORRAR'!F2333="","",IF('FUENTE NO BORRAR'!$A2333&lt;&gt;"Resultado total",('FUENTE NO BORRAR'!F2333),""))</f>
        <v>0</v>
      </c>
      <c r="G2315" s="6">
        <f>IF('FUENTE NO BORRAR'!G2333="","",IF('FUENTE NO BORRAR'!$A2333&lt;&gt;"Resultado total",('FUENTE NO BORRAR'!G2333),""))</f>
        <v>0</v>
      </c>
      <c r="H2315" s="6">
        <f>IF('FUENTE NO BORRAR'!H2333="","",IF('FUENTE NO BORRAR'!$A2333&lt;&gt;"Resultado total",('FUENTE NO BORRAR'!H2333),""))</f>
        <v>0</v>
      </c>
      <c r="I2315" s="6">
        <f>IF('FUENTE NO BORRAR'!I2333="","",IF('FUENTE NO BORRAR'!$A2333&lt;&gt;"Resultado total",('FUENTE NO BORRAR'!I2333),""))</f>
        <v>0</v>
      </c>
    </row>
    <row r="2316" spans="1:9" x14ac:dyDescent="0.2">
      <c r="A2316" s="5" t="str">
        <f>IF('FUENTE NO BORRAR'!A2334="","",(IF('FUENTE NO BORRAR'!A2334&lt;&gt;"Resultado total",'FUENTE NO BORRAR'!A2334,"")))</f>
        <v/>
      </c>
      <c r="B2316" s="5" t="str">
        <f>IF('FUENTE NO BORRAR'!B2334="","",'FUENTE NO BORRAR'!B2334)</f>
        <v/>
      </c>
      <c r="C2316" s="5" t="str">
        <f>IF('FUENTE NO BORRAR'!C2334="","",'FUENTE NO BORRAR'!C2334)</f>
        <v/>
      </c>
      <c r="D2316" s="5" t="str">
        <f>IF('FUENTE NO BORRAR'!D2334="","",'FUENTE NO BORRAR'!D2334)</f>
        <v/>
      </c>
      <c r="E2316" s="5" t="str">
        <f>IF('FUENTE NO BORRAR'!E2334="","",'FUENTE NO BORRAR'!E2334)</f>
        <v/>
      </c>
      <c r="F2316" s="6">
        <f>IF('FUENTE NO BORRAR'!F2334="","",IF('FUENTE NO BORRAR'!$A2334&lt;&gt;"Resultado total",('FUENTE NO BORRAR'!F2334),""))</f>
        <v>222.72</v>
      </c>
      <c r="G2316" s="6">
        <f>IF('FUENTE NO BORRAR'!G2334="","",IF('FUENTE NO BORRAR'!$A2334&lt;&gt;"Resultado total",('FUENTE NO BORRAR'!G2334),""))</f>
        <v>222.72</v>
      </c>
      <c r="H2316" s="6">
        <f>IF('FUENTE NO BORRAR'!H2334="","",IF('FUENTE NO BORRAR'!$A2334&lt;&gt;"Resultado total",('FUENTE NO BORRAR'!H2334),""))</f>
        <v>222.72</v>
      </c>
      <c r="I2316" s="6">
        <f>IF('FUENTE NO BORRAR'!I2334="","",IF('FUENTE NO BORRAR'!$A2334&lt;&gt;"Resultado total",('FUENTE NO BORRAR'!I2334),""))</f>
        <v>0</v>
      </c>
    </row>
    <row r="2317" spans="1:9" x14ac:dyDescent="0.2">
      <c r="A2317" s="5" t="str">
        <f>IF('FUENTE NO BORRAR'!A2335="","",(IF('FUENTE NO BORRAR'!A2335&lt;&gt;"Resultado total",'FUENTE NO BORRAR'!A2335,"")))</f>
        <v/>
      </c>
      <c r="B2317" s="5" t="str">
        <f>IF('FUENTE NO BORRAR'!B2335="","",'FUENTE NO BORRAR'!B2335)</f>
        <v/>
      </c>
      <c r="C2317" s="5" t="str">
        <f>IF('FUENTE NO BORRAR'!C2335="","",'FUENTE NO BORRAR'!C2335)</f>
        <v/>
      </c>
      <c r="D2317" s="5" t="str">
        <f>IF('FUENTE NO BORRAR'!D2335="","",'FUENTE NO BORRAR'!D2335)</f>
        <v/>
      </c>
      <c r="E2317" s="5" t="str">
        <f>IF('FUENTE NO BORRAR'!E2335="","",'FUENTE NO BORRAR'!E2335)</f>
        <v/>
      </c>
      <c r="F2317" s="6">
        <f>IF('FUENTE NO BORRAR'!F2335="","",IF('FUENTE NO BORRAR'!$A2335&lt;&gt;"Resultado total",('FUENTE NO BORRAR'!F2335),""))</f>
        <v>3709.84</v>
      </c>
      <c r="G2317" s="6">
        <f>IF('FUENTE NO BORRAR'!G2335="","",IF('FUENTE NO BORRAR'!$A2335&lt;&gt;"Resultado total",('FUENTE NO BORRAR'!G2335),""))</f>
        <v>3709.84</v>
      </c>
      <c r="H2317" s="6">
        <f>IF('FUENTE NO BORRAR'!H2335="","",IF('FUENTE NO BORRAR'!$A2335&lt;&gt;"Resultado total",('FUENTE NO BORRAR'!H2335),""))</f>
        <v>3709.84</v>
      </c>
      <c r="I2317" s="6">
        <f>IF('FUENTE NO BORRAR'!I2335="","",IF('FUENTE NO BORRAR'!$A2335&lt;&gt;"Resultado total",('FUENTE NO BORRAR'!I2335),""))</f>
        <v>0</v>
      </c>
    </row>
    <row r="2318" spans="1:9" x14ac:dyDescent="0.2">
      <c r="A2318" s="5" t="str">
        <f>IF('FUENTE NO BORRAR'!A2336="","",(IF('FUENTE NO BORRAR'!A2336&lt;&gt;"Resultado total",'FUENTE NO BORRAR'!A2336,"")))</f>
        <v/>
      </c>
      <c r="B2318" s="5" t="str">
        <f>IF('FUENTE NO BORRAR'!B2336="","",'FUENTE NO BORRAR'!B2336)</f>
        <v/>
      </c>
      <c r="C2318" s="5" t="str">
        <f>IF('FUENTE NO BORRAR'!C2336="","",'FUENTE NO BORRAR'!C2336)</f>
        <v/>
      </c>
      <c r="D2318" s="5" t="str">
        <f>IF('FUENTE NO BORRAR'!D2336="","",'FUENTE NO BORRAR'!D2336)</f>
        <v/>
      </c>
      <c r="E2318" s="5" t="str">
        <f>IF('FUENTE NO BORRAR'!E2336="","",'FUENTE NO BORRAR'!E2336)</f>
        <v/>
      </c>
      <c r="F2318" s="6">
        <f>IF('FUENTE NO BORRAR'!F2336="","",IF('FUENTE NO BORRAR'!$A2336&lt;&gt;"Resultado total",('FUENTE NO BORRAR'!F2336),""))</f>
        <v>3034.56</v>
      </c>
      <c r="G2318" s="6">
        <f>IF('FUENTE NO BORRAR'!G2336="","",IF('FUENTE NO BORRAR'!$A2336&lt;&gt;"Resultado total",('FUENTE NO BORRAR'!G2336),""))</f>
        <v>3034.56</v>
      </c>
      <c r="H2318" s="6">
        <f>IF('FUENTE NO BORRAR'!H2336="","",IF('FUENTE NO BORRAR'!$A2336&lt;&gt;"Resultado total",('FUENTE NO BORRAR'!H2336),""))</f>
        <v>3034.56</v>
      </c>
      <c r="I2318" s="6">
        <f>IF('FUENTE NO BORRAR'!I2336="","",IF('FUENTE NO BORRAR'!$A2336&lt;&gt;"Resultado total",('FUENTE NO BORRAR'!I2336),""))</f>
        <v>0</v>
      </c>
    </row>
    <row r="2319" spans="1:9" x14ac:dyDescent="0.2">
      <c r="A2319" s="5" t="str">
        <f>IF('FUENTE NO BORRAR'!A2337="","",(IF('FUENTE NO BORRAR'!A2337&lt;&gt;"Resultado total",'FUENTE NO BORRAR'!A2337,"")))</f>
        <v/>
      </c>
      <c r="B2319" s="5" t="str">
        <f>IF('FUENTE NO BORRAR'!B2337="","",'FUENTE NO BORRAR'!B2337)</f>
        <v/>
      </c>
      <c r="C2319" s="5" t="str">
        <f>IF('FUENTE NO BORRAR'!C2337="","",'FUENTE NO BORRAR'!C2337)</f>
        <v/>
      </c>
      <c r="D2319" s="5" t="str">
        <f>IF('FUENTE NO BORRAR'!D2337="","",'FUENTE NO BORRAR'!D2337)</f>
        <v/>
      </c>
      <c r="E2319" s="5" t="str">
        <f>IF('FUENTE NO BORRAR'!E2337="","",'FUENTE NO BORRAR'!E2337)</f>
        <v/>
      </c>
      <c r="F2319" s="6">
        <f>IF('FUENTE NO BORRAR'!F2337="","",IF('FUENTE NO BORRAR'!$A2337&lt;&gt;"Resultado total",('FUENTE NO BORRAR'!F2337),""))</f>
        <v>0</v>
      </c>
      <c r="G2319" s="6">
        <f>IF('FUENTE NO BORRAR'!G2337="","",IF('FUENTE NO BORRAR'!$A2337&lt;&gt;"Resultado total",('FUENTE NO BORRAR'!G2337),""))</f>
        <v>0</v>
      </c>
      <c r="H2319" s="6">
        <f>IF('FUENTE NO BORRAR'!H2337="","",IF('FUENTE NO BORRAR'!$A2337&lt;&gt;"Resultado total",('FUENTE NO BORRAR'!H2337),""))</f>
        <v>0</v>
      </c>
      <c r="I2319" s="6">
        <f>IF('FUENTE NO BORRAR'!I2337="","",IF('FUENTE NO BORRAR'!$A2337&lt;&gt;"Resultado total",('FUENTE NO BORRAR'!I2337),""))</f>
        <v>0</v>
      </c>
    </row>
    <row r="2320" spans="1:9" x14ac:dyDescent="0.2">
      <c r="A2320" s="5" t="str">
        <f>IF('FUENTE NO BORRAR'!A2338="","",(IF('FUENTE NO BORRAR'!A2338&lt;&gt;"Resultado total",'FUENTE NO BORRAR'!A2338,"")))</f>
        <v/>
      </c>
      <c r="B2320" s="5" t="str">
        <f>IF('FUENTE NO BORRAR'!B2338="","",'FUENTE NO BORRAR'!B2338)</f>
        <v/>
      </c>
      <c r="C2320" s="5" t="str">
        <f>IF('FUENTE NO BORRAR'!C2338="","",'FUENTE NO BORRAR'!C2338)</f>
        <v/>
      </c>
      <c r="D2320" s="5" t="str">
        <f>IF('FUENTE NO BORRAR'!D2338="","",'FUENTE NO BORRAR'!D2338)</f>
        <v/>
      </c>
      <c r="E2320" s="5" t="str">
        <f>IF('FUENTE NO BORRAR'!E2338="","",'FUENTE NO BORRAR'!E2338)</f>
        <v/>
      </c>
      <c r="F2320" s="6">
        <f>IF('FUENTE NO BORRAR'!F2338="","",IF('FUENTE NO BORRAR'!$A2338&lt;&gt;"Resultado total",('FUENTE NO BORRAR'!F2338),""))</f>
        <v>1100</v>
      </c>
      <c r="G2320" s="6">
        <f>IF('FUENTE NO BORRAR'!G2338="","",IF('FUENTE NO BORRAR'!$A2338&lt;&gt;"Resultado total",('FUENTE NO BORRAR'!G2338),""))</f>
        <v>1100</v>
      </c>
      <c r="H2320" s="6">
        <f>IF('FUENTE NO BORRAR'!H2338="","",IF('FUENTE NO BORRAR'!$A2338&lt;&gt;"Resultado total",('FUENTE NO BORRAR'!H2338),""))</f>
        <v>1100</v>
      </c>
      <c r="I2320" s="6">
        <f>IF('FUENTE NO BORRAR'!I2338="","",IF('FUENTE NO BORRAR'!$A2338&lt;&gt;"Resultado total",('FUENTE NO BORRAR'!I2338),""))</f>
        <v>0</v>
      </c>
    </row>
    <row r="2321" spans="1:9" x14ac:dyDescent="0.2">
      <c r="A2321" s="5" t="str">
        <f>IF('FUENTE NO BORRAR'!A2339="","",(IF('FUENTE NO BORRAR'!A2339&lt;&gt;"Resultado total",'FUENTE NO BORRAR'!A2339,"")))</f>
        <v/>
      </c>
      <c r="B2321" s="5" t="str">
        <f>IF('FUENTE NO BORRAR'!B2339="","",'FUENTE NO BORRAR'!B2339)</f>
        <v/>
      </c>
      <c r="C2321" s="5" t="str">
        <f>IF('FUENTE NO BORRAR'!C2339="","",'FUENTE NO BORRAR'!C2339)</f>
        <v/>
      </c>
      <c r="D2321" s="5" t="str">
        <f>IF('FUENTE NO BORRAR'!D2339="","",'FUENTE NO BORRAR'!D2339)</f>
        <v/>
      </c>
      <c r="E2321" s="5" t="str">
        <f>IF('FUENTE NO BORRAR'!E2339="","",'FUENTE NO BORRAR'!E2339)</f>
        <v/>
      </c>
      <c r="F2321" s="6">
        <f>IF('FUENTE NO BORRAR'!F2339="","",IF('FUENTE NO BORRAR'!$A2339&lt;&gt;"Resultado total",('FUENTE NO BORRAR'!F2339),""))</f>
        <v>20134.330000000002</v>
      </c>
      <c r="G2321" s="6">
        <f>IF('FUENTE NO BORRAR'!G2339="","",IF('FUENTE NO BORRAR'!$A2339&lt;&gt;"Resultado total",('FUENTE NO BORRAR'!G2339),""))</f>
        <v>20134.330000000002</v>
      </c>
      <c r="H2321" s="6">
        <f>IF('FUENTE NO BORRAR'!H2339="","",IF('FUENTE NO BORRAR'!$A2339&lt;&gt;"Resultado total",('FUENTE NO BORRAR'!H2339),""))</f>
        <v>20134.330000000002</v>
      </c>
      <c r="I2321" s="6">
        <f>IF('FUENTE NO BORRAR'!I2339="","",IF('FUENTE NO BORRAR'!$A2339&lt;&gt;"Resultado total",('FUENTE NO BORRAR'!I2339),""))</f>
        <v>0</v>
      </c>
    </row>
    <row r="2322" spans="1:9" x14ac:dyDescent="0.2">
      <c r="A2322" s="5" t="str">
        <f>IF('FUENTE NO BORRAR'!A2340="","",(IF('FUENTE NO BORRAR'!A2340&lt;&gt;"Resultado total",'FUENTE NO BORRAR'!A2340,"")))</f>
        <v/>
      </c>
      <c r="B2322" s="5" t="str">
        <f>IF('FUENTE NO BORRAR'!B2340="","",'FUENTE NO BORRAR'!B2340)</f>
        <v/>
      </c>
      <c r="C2322" s="5" t="str">
        <f>IF('FUENTE NO BORRAR'!C2340="","",'FUENTE NO BORRAR'!C2340)</f>
        <v/>
      </c>
      <c r="D2322" s="5" t="str">
        <f>IF('FUENTE NO BORRAR'!D2340="","",'FUENTE NO BORRAR'!D2340)</f>
        <v/>
      </c>
      <c r="E2322" s="5" t="str">
        <f>IF('FUENTE NO BORRAR'!E2340="","",'FUENTE NO BORRAR'!E2340)</f>
        <v/>
      </c>
      <c r="F2322" s="6">
        <f>IF('FUENTE NO BORRAR'!F2340="","",IF('FUENTE NO BORRAR'!$A2340&lt;&gt;"Resultado total",('FUENTE NO BORRAR'!F2340),""))</f>
        <v>506</v>
      </c>
      <c r="G2322" s="6">
        <f>IF('FUENTE NO BORRAR'!G2340="","",IF('FUENTE NO BORRAR'!$A2340&lt;&gt;"Resultado total",('FUENTE NO BORRAR'!G2340),""))</f>
        <v>506</v>
      </c>
      <c r="H2322" s="6">
        <f>IF('FUENTE NO BORRAR'!H2340="","",IF('FUENTE NO BORRAR'!$A2340&lt;&gt;"Resultado total",('FUENTE NO BORRAR'!H2340),""))</f>
        <v>506</v>
      </c>
      <c r="I2322" s="6">
        <f>IF('FUENTE NO BORRAR'!I2340="","",IF('FUENTE NO BORRAR'!$A2340&lt;&gt;"Resultado total",('FUENTE NO BORRAR'!I2340),""))</f>
        <v>0</v>
      </c>
    </row>
    <row r="2323" spans="1:9" x14ac:dyDescent="0.2">
      <c r="A2323" s="5" t="str">
        <f>IF('FUENTE NO BORRAR'!A2341="","",(IF('FUENTE NO BORRAR'!A2341&lt;&gt;"Resultado total",'FUENTE NO BORRAR'!A2341,"")))</f>
        <v/>
      </c>
      <c r="B2323" s="5" t="str">
        <f>IF('FUENTE NO BORRAR'!B2341="","",'FUENTE NO BORRAR'!B2341)</f>
        <v/>
      </c>
      <c r="C2323" s="5" t="str">
        <f>IF('FUENTE NO BORRAR'!C2341="","",'FUENTE NO BORRAR'!C2341)</f>
        <v/>
      </c>
      <c r="D2323" s="5" t="str">
        <f>IF('FUENTE NO BORRAR'!D2341="","",'FUENTE NO BORRAR'!D2341)</f>
        <v/>
      </c>
      <c r="E2323" s="5" t="str">
        <f>IF('FUENTE NO BORRAR'!E2341="","",'FUENTE NO BORRAR'!E2341)</f>
        <v/>
      </c>
      <c r="F2323" s="6">
        <f>IF('FUENTE NO BORRAR'!F2341="","",IF('FUENTE NO BORRAR'!$A2341&lt;&gt;"Resultado total",('FUENTE NO BORRAR'!F2341),""))</f>
        <v>28135.37</v>
      </c>
      <c r="G2323" s="6">
        <f>IF('FUENTE NO BORRAR'!G2341="","",IF('FUENTE NO BORRAR'!$A2341&lt;&gt;"Resultado total",('FUENTE NO BORRAR'!G2341),""))</f>
        <v>28135.37</v>
      </c>
      <c r="H2323" s="6">
        <f>IF('FUENTE NO BORRAR'!H2341="","",IF('FUENTE NO BORRAR'!$A2341&lt;&gt;"Resultado total",('FUENTE NO BORRAR'!H2341),""))</f>
        <v>17403.05</v>
      </c>
      <c r="I2323" s="6">
        <f>IF('FUENTE NO BORRAR'!I2341="","",IF('FUENTE NO BORRAR'!$A2341&lt;&gt;"Resultado total",('FUENTE NO BORRAR'!I2341),""))</f>
        <v>0</v>
      </c>
    </row>
    <row r="2324" spans="1:9" x14ac:dyDescent="0.2">
      <c r="A2324" s="5" t="str">
        <f>IF('FUENTE NO BORRAR'!A2342="","",(IF('FUENTE NO BORRAR'!A2342&lt;&gt;"Resultado total",'FUENTE NO BORRAR'!A2342,"")))</f>
        <v/>
      </c>
      <c r="B2324" s="5" t="str">
        <f>IF('FUENTE NO BORRAR'!B2342="","",'FUENTE NO BORRAR'!B2342)</f>
        <v/>
      </c>
      <c r="C2324" s="5" t="str">
        <f>IF('FUENTE NO BORRAR'!C2342="","",'FUENTE NO BORRAR'!C2342)</f>
        <v/>
      </c>
      <c r="D2324" s="5" t="str">
        <f>IF('FUENTE NO BORRAR'!D2342="","",'FUENTE NO BORRAR'!D2342)</f>
        <v/>
      </c>
      <c r="E2324" s="5" t="str">
        <f>IF('FUENTE NO BORRAR'!E2342="","",'FUENTE NO BORRAR'!E2342)</f>
        <v/>
      </c>
      <c r="F2324" s="6">
        <f>IF('FUENTE NO BORRAR'!F2342="","",IF('FUENTE NO BORRAR'!$A2342&lt;&gt;"Resultado total",('FUENTE NO BORRAR'!F2342),""))</f>
        <v>10613</v>
      </c>
      <c r="G2324" s="6">
        <f>IF('FUENTE NO BORRAR'!G2342="","",IF('FUENTE NO BORRAR'!$A2342&lt;&gt;"Resultado total",('FUENTE NO BORRAR'!G2342),""))</f>
        <v>10613</v>
      </c>
      <c r="H2324" s="6">
        <f>IF('FUENTE NO BORRAR'!H2342="","",IF('FUENTE NO BORRAR'!$A2342&lt;&gt;"Resultado total",('FUENTE NO BORRAR'!H2342),""))</f>
        <v>7713</v>
      </c>
      <c r="I2324" s="6">
        <f>IF('FUENTE NO BORRAR'!I2342="","",IF('FUENTE NO BORRAR'!$A2342&lt;&gt;"Resultado total",('FUENTE NO BORRAR'!I2342),""))</f>
        <v>0</v>
      </c>
    </row>
    <row r="2325" spans="1:9" x14ac:dyDescent="0.2">
      <c r="A2325" s="5" t="str">
        <f>IF('FUENTE NO BORRAR'!A2343="","",(IF('FUENTE NO BORRAR'!A2343&lt;&gt;"Resultado total",'FUENTE NO BORRAR'!A2343,"")))</f>
        <v/>
      </c>
      <c r="B2325" s="5" t="str">
        <f>IF('FUENTE NO BORRAR'!B2343="","",'FUENTE NO BORRAR'!B2343)</f>
        <v/>
      </c>
      <c r="C2325" s="5" t="str">
        <f>IF('FUENTE NO BORRAR'!C2343="","",'FUENTE NO BORRAR'!C2343)</f>
        <v/>
      </c>
      <c r="D2325" s="5" t="str">
        <f>IF('FUENTE NO BORRAR'!D2343="","",'FUENTE NO BORRAR'!D2343)</f>
        <v/>
      </c>
      <c r="E2325" s="5" t="str">
        <f>IF('FUENTE NO BORRAR'!E2343="","",'FUENTE NO BORRAR'!E2343)</f>
        <v/>
      </c>
      <c r="F2325" s="6">
        <f>IF('FUENTE NO BORRAR'!F2343="","",IF('FUENTE NO BORRAR'!$A2343&lt;&gt;"Resultado total",('FUENTE NO BORRAR'!F2343),""))</f>
        <v>2668</v>
      </c>
      <c r="G2325" s="6">
        <f>IF('FUENTE NO BORRAR'!G2343="","",IF('FUENTE NO BORRAR'!$A2343&lt;&gt;"Resultado total",('FUENTE NO BORRAR'!G2343),""))</f>
        <v>2668</v>
      </c>
      <c r="H2325" s="6">
        <f>IF('FUENTE NO BORRAR'!H2343="","",IF('FUENTE NO BORRAR'!$A2343&lt;&gt;"Resultado total",('FUENTE NO BORRAR'!H2343),""))</f>
        <v>2668</v>
      </c>
      <c r="I2325" s="6">
        <f>IF('FUENTE NO BORRAR'!I2343="","",IF('FUENTE NO BORRAR'!$A2343&lt;&gt;"Resultado total",('FUENTE NO BORRAR'!I2343),""))</f>
        <v>0</v>
      </c>
    </row>
    <row r="2326" spans="1:9" x14ac:dyDescent="0.2">
      <c r="A2326" s="5" t="str">
        <f>IF('FUENTE NO BORRAR'!A2344="","",(IF('FUENTE NO BORRAR'!A2344&lt;&gt;"Resultado total",'FUENTE NO BORRAR'!A2344,"")))</f>
        <v/>
      </c>
      <c r="B2326" s="5" t="str">
        <f>IF('FUENTE NO BORRAR'!B2344="","",'FUENTE NO BORRAR'!B2344)</f>
        <v/>
      </c>
      <c r="C2326" s="5" t="str">
        <f>IF('FUENTE NO BORRAR'!C2344="","",'FUENTE NO BORRAR'!C2344)</f>
        <v/>
      </c>
      <c r="D2326" s="5" t="str">
        <f>IF('FUENTE NO BORRAR'!D2344="","",'FUENTE NO BORRAR'!D2344)</f>
        <v/>
      </c>
      <c r="E2326" s="5" t="str">
        <f>IF('FUENTE NO BORRAR'!E2344="","",'FUENTE NO BORRAR'!E2344)</f>
        <v/>
      </c>
      <c r="F2326" s="6">
        <f>IF('FUENTE NO BORRAR'!F2344="","",IF('FUENTE NO BORRAR'!$A2344&lt;&gt;"Resultado total",('FUENTE NO BORRAR'!F2344),""))</f>
        <v>0</v>
      </c>
      <c r="G2326" s="6">
        <f>IF('FUENTE NO BORRAR'!G2344="","",IF('FUENTE NO BORRAR'!$A2344&lt;&gt;"Resultado total",('FUENTE NO BORRAR'!G2344),""))</f>
        <v>0</v>
      </c>
      <c r="H2326" s="6">
        <f>IF('FUENTE NO BORRAR'!H2344="","",IF('FUENTE NO BORRAR'!$A2344&lt;&gt;"Resultado total",('FUENTE NO BORRAR'!H2344),""))</f>
        <v>0</v>
      </c>
      <c r="I2326" s="6">
        <f>IF('FUENTE NO BORRAR'!I2344="","",IF('FUENTE NO BORRAR'!$A2344&lt;&gt;"Resultado total",('FUENTE NO BORRAR'!I2344),""))</f>
        <v>0</v>
      </c>
    </row>
    <row r="2327" spans="1:9" x14ac:dyDescent="0.2">
      <c r="A2327" s="5" t="str">
        <f>IF('FUENTE NO BORRAR'!A2345="","",(IF('FUENTE NO BORRAR'!A2345&lt;&gt;"Resultado total",'FUENTE NO BORRAR'!A2345,"")))</f>
        <v/>
      </c>
      <c r="B2327" s="5" t="str">
        <f>IF('FUENTE NO BORRAR'!B2345="","",'FUENTE NO BORRAR'!B2345)</f>
        <v/>
      </c>
      <c r="C2327" s="5" t="str">
        <f>IF('FUENTE NO BORRAR'!C2345="","",'FUENTE NO BORRAR'!C2345)</f>
        <v/>
      </c>
      <c r="D2327" s="5" t="str">
        <f>IF('FUENTE NO BORRAR'!D2345="","",'FUENTE NO BORRAR'!D2345)</f>
        <v/>
      </c>
      <c r="E2327" s="5" t="str">
        <f>IF('FUENTE NO BORRAR'!E2345="","",'FUENTE NO BORRAR'!E2345)</f>
        <v/>
      </c>
      <c r="F2327" s="6">
        <f>IF('FUENTE NO BORRAR'!F2345="","",IF('FUENTE NO BORRAR'!$A2345&lt;&gt;"Resultado total",('FUENTE NO BORRAR'!F2345),""))</f>
        <v>26389.42</v>
      </c>
      <c r="G2327" s="6">
        <f>IF('FUENTE NO BORRAR'!G2345="","",IF('FUENTE NO BORRAR'!$A2345&lt;&gt;"Resultado total",('FUENTE NO BORRAR'!G2345),""))</f>
        <v>26389.42</v>
      </c>
      <c r="H2327" s="6">
        <f>IF('FUENTE NO BORRAR'!H2345="","",IF('FUENTE NO BORRAR'!$A2345&lt;&gt;"Resultado total",('FUENTE NO BORRAR'!H2345),""))</f>
        <v>26389.42</v>
      </c>
      <c r="I2327" s="6">
        <f>IF('FUENTE NO BORRAR'!I2345="","",IF('FUENTE NO BORRAR'!$A2345&lt;&gt;"Resultado total",('FUENTE NO BORRAR'!I2345),""))</f>
        <v>0</v>
      </c>
    </row>
    <row r="2328" spans="1:9" x14ac:dyDescent="0.2">
      <c r="A2328" s="5" t="str">
        <f>IF('FUENTE NO BORRAR'!A2346="","",(IF('FUENTE NO BORRAR'!A2346&lt;&gt;"Resultado total",'FUENTE NO BORRAR'!A2346,"")))</f>
        <v/>
      </c>
      <c r="B2328" s="5" t="str">
        <f>IF('FUENTE NO BORRAR'!B2346="","",'FUENTE NO BORRAR'!B2346)</f>
        <v/>
      </c>
      <c r="C2328" s="5" t="str">
        <f>IF('FUENTE NO BORRAR'!C2346="","",'FUENTE NO BORRAR'!C2346)</f>
        <v/>
      </c>
      <c r="D2328" s="5" t="str">
        <f>IF('FUENTE NO BORRAR'!D2346="","",'FUENTE NO BORRAR'!D2346)</f>
        <v/>
      </c>
      <c r="E2328" s="5" t="str">
        <f>IF('FUENTE NO BORRAR'!E2346="","",'FUENTE NO BORRAR'!E2346)</f>
        <v/>
      </c>
      <c r="F2328" s="6">
        <f>IF('FUENTE NO BORRAR'!F2346="","",IF('FUENTE NO BORRAR'!$A2346&lt;&gt;"Resultado total",('FUENTE NO BORRAR'!F2346),""))</f>
        <v>1240</v>
      </c>
      <c r="G2328" s="6">
        <f>IF('FUENTE NO BORRAR'!G2346="","",IF('FUENTE NO BORRAR'!$A2346&lt;&gt;"Resultado total",('FUENTE NO BORRAR'!G2346),""))</f>
        <v>1240</v>
      </c>
      <c r="H2328" s="6">
        <f>IF('FUENTE NO BORRAR'!H2346="","",IF('FUENTE NO BORRAR'!$A2346&lt;&gt;"Resultado total",('FUENTE NO BORRAR'!H2346),""))</f>
        <v>1240</v>
      </c>
      <c r="I2328" s="6">
        <f>IF('FUENTE NO BORRAR'!I2346="","",IF('FUENTE NO BORRAR'!$A2346&lt;&gt;"Resultado total",('FUENTE NO BORRAR'!I2346),""))</f>
        <v>0</v>
      </c>
    </row>
    <row r="2329" spans="1:9" x14ac:dyDescent="0.2">
      <c r="A2329" s="5" t="str">
        <f>IF('FUENTE NO BORRAR'!A2347="","",(IF('FUENTE NO BORRAR'!A2347&lt;&gt;"Resultado total",'FUENTE NO BORRAR'!A2347,"")))</f>
        <v/>
      </c>
      <c r="B2329" s="5" t="str">
        <f>IF('FUENTE NO BORRAR'!B2347="","",'FUENTE NO BORRAR'!B2347)</f>
        <v/>
      </c>
      <c r="C2329" s="5" t="str">
        <f>IF('FUENTE NO BORRAR'!C2347="","",'FUENTE NO BORRAR'!C2347)</f>
        <v/>
      </c>
      <c r="D2329" s="5" t="str">
        <f>IF('FUENTE NO BORRAR'!D2347="","",'FUENTE NO BORRAR'!D2347)</f>
        <v/>
      </c>
      <c r="E2329" s="5" t="str">
        <f>IF('FUENTE NO BORRAR'!E2347="","",'FUENTE NO BORRAR'!E2347)</f>
        <v/>
      </c>
      <c r="F2329" s="6">
        <f>IF('FUENTE NO BORRAR'!F2347="","",IF('FUENTE NO BORRAR'!$A2347&lt;&gt;"Resultado total",('FUENTE NO BORRAR'!F2347),""))</f>
        <v>11300</v>
      </c>
      <c r="G2329" s="6">
        <f>IF('FUENTE NO BORRAR'!G2347="","",IF('FUENTE NO BORRAR'!$A2347&lt;&gt;"Resultado total",('FUENTE NO BORRAR'!G2347),""))</f>
        <v>11300</v>
      </c>
      <c r="H2329" s="6">
        <f>IF('FUENTE NO BORRAR'!H2347="","",IF('FUENTE NO BORRAR'!$A2347&lt;&gt;"Resultado total",('FUENTE NO BORRAR'!H2347),""))</f>
        <v>11300</v>
      </c>
      <c r="I2329" s="6">
        <f>IF('FUENTE NO BORRAR'!I2347="","",IF('FUENTE NO BORRAR'!$A2347&lt;&gt;"Resultado total",('FUENTE NO BORRAR'!I2347),""))</f>
        <v>0</v>
      </c>
    </row>
    <row r="2330" spans="1:9" x14ac:dyDescent="0.2">
      <c r="A2330" s="5" t="str">
        <f>IF('FUENTE NO BORRAR'!A2348="","",(IF('FUENTE NO BORRAR'!A2348&lt;&gt;"Resultado total",'FUENTE NO BORRAR'!A2348,"")))</f>
        <v/>
      </c>
      <c r="B2330" s="5" t="str">
        <f>IF('FUENTE NO BORRAR'!B2348="","",'FUENTE NO BORRAR'!B2348)</f>
        <v/>
      </c>
      <c r="C2330" s="5" t="str">
        <f>IF('FUENTE NO BORRAR'!C2348="","",'FUENTE NO BORRAR'!C2348)</f>
        <v/>
      </c>
      <c r="D2330" s="5" t="str">
        <f>IF('FUENTE NO BORRAR'!D2348="","",'FUENTE NO BORRAR'!D2348)</f>
        <v/>
      </c>
      <c r="E2330" s="5" t="str">
        <f>IF('FUENTE NO BORRAR'!E2348="","",'FUENTE NO BORRAR'!E2348)</f>
        <v/>
      </c>
      <c r="F2330" s="6">
        <f>IF('FUENTE NO BORRAR'!F2348="","",IF('FUENTE NO BORRAR'!$A2348&lt;&gt;"Resultado total",('FUENTE NO BORRAR'!F2348),""))</f>
        <v>0</v>
      </c>
      <c r="G2330" s="6">
        <f>IF('FUENTE NO BORRAR'!G2348="","",IF('FUENTE NO BORRAR'!$A2348&lt;&gt;"Resultado total",('FUENTE NO BORRAR'!G2348),""))</f>
        <v>0</v>
      </c>
      <c r="H2330" s="6">
        <f>IF('FUENTE NO BORRAR'!H2348="","",IF('FUENTE NO BORRAR'!$A2348&lt;&gt;"Resultado total",('FUENTE NO BORRAR'!H2348),""))</f>
        <v>0</v>
      </c>
      <c r="I2330" s="6">
        <f>IF('FUENTE NO BORRAR'!I2348="","",IF('FUENTE NO BORRAR'!$A2348&lt;&gt;"Resultado total",('FUENTE NO BORRAR'!I2348),""))</f>
        <v>0</v>
      </c>
    </row>
    <row r="2331" spans="1:9" x14ac:dyDescent="0.2">
      <c r="A2331" s="5" t="str">
        <f>IF('FUENTE NO BORRAR'!A2349="","",(IF('FUENTE NO BORRAR'!A2349&lt;&gt;"Resultado total",'FUENTE NO BORRAR'!A2349,"")))</f>
        <v/>
      </c>
      <c r="B2331" s="5" t="str">
        <f>IF('FUENTE NO BORRAR'!B2349="","",'FUENTE NO BORRAR'!B2349)</f>
        <v/>
      </c>
      <c r="C2331" s="5" t="str">
        <f>IF('FUENTE NO BORRAR'!C2349="","",'FUENTE NO BORRAR'!C2349)</f>
        <v/>
      </c>
      <c r="D2331" s="5" t="str">
        <f>IF('FUENTE NO BORRAR'!D2349="","",'FUENTE NO BORRAR'!D2349)</f>
        <v/>
      </c>
      <c r="E2331" s="5" t="str">
        <f>IF('FUENTE NO BORRAR'!E2349="","",'FUENTE NO BORRAR'!E2349)</f>
        <v/>
      </c>
      <c r="F2331" s="6">
        <f>IF('FUENTE NO BORRAR'!F2349="","",IF('FUENTE NO BORRAR'!$A2349&lt;&gt;"Resultado total",('FUENTE NO BORRAR'!F2349),""))</f>
        <v>0</v>
      </c>
      <c r="G2331" s="6">
        <f>IF('FUENTE NO BORRAR'!G2349="","",IF('FUENTE NO BORRAR'!$A2349&lt;&gt;"Resultado total",('FUENTE NO BORRAR'!G2349),""))</f>
        <v>0</v>
      </c>
      <c r="H2331" s="6">
        <f>IF('FUENTE NO BORRAR'!H2349="","",IF('FUENTE NO BORRAR'!$A2349&lt;&gt;"Resultado total",('FUENTE NO BORRAR'!H2349),""))</f>
        <v>0</v>
      </c>
      <c r="I2331" s="6">
        <f>IF('FUENTE NO BORRAR'!I2349="","",IF('FUENTE NO BORRAR'!$A2349&lt;&gt;"Resultado total",('FUENTE NO BORRAR'!I2349),""))</f>
        <v>0</v>
      </c>
    </row>
    <row r="2332" spans="1:9" x14ac:dyDescent="0.2">
      <c r="A2332" s="5" t="str">
        <f>IF('FUENTE NO BORRAR'!A2350="","",(IF('FUENTE NO BORRAR'!A2350&lt;&gt;"Resultado total",'FUENTE NO BORRAR'!A2350,"")))</f>
        <v/>
      </c>
      <c r="B2332" s="5" t="str">
        <f>IF('FUENTE NO BORRAR'!B2350="","",'FUENTE NO BORRAR'!B2350)</f>
        <v/>
      </c>
      <c r="C2332" s="5" t="str">
        <f>IF('FUENTE NO BORRAR'!C2350="","",'FUENTE NO BORRAR'!C2350)</f>
        <v/>
      </c>
      <c r="D2332" s="5" t="str">
        <f>IF('FUENTE NO BORRAR'!D2350="","",'FUENTE NO BORRAR'!D2350)</f>
        <v/>
      </c>
      <c r="E2332" s="5" t="str">
        <f>IF('FUENTE NO BORRAR'!E2350="","",'FUENTE NO BORRAR'!E2350)</f>
        <v/>
      </c>
      <c r="F2332" s="6">
        <f>IF('FUENTE NO BORRAR'!F2350="","",IF('FUENTE NO BORRAR'!$A2350&lt;&gt;"Resultado total",('FUENTE NO BORRAR'!F2350),""))</f>
        <v>0</v>
      </c>
      <c r="G2332" s="6">
        <f>IF('FUENTE NO BORRAR'!G2350="","",IF('FUENTE NO BORRAR'!$A2350&lt;&gt;"Resultado total",('FUENTE NO BORRAR'!G2350),""))</f>
        <v>0</v>
      </c>
      <c r="H2332" s="6">
        <f>IF('FUENTE NO BORRAR'!H2350="","",IF('FUENTE NO BORRAR'!$A2350&lt;&gt;"Resultado total",('FUENTE NO BORRAR'!H2350),""))</f>
        <v>0</v>
      </c>
      <c r="I2332" s="6">
        <f>IF('FUENTE NO BORRAR'!I2350="","",IF('FUENTE NO BORRAR'!$A2350&lt;&gt;"Resultado total",('FUENTE NO BORRAR'!I2350),""))</f>
        <v>0</v>
      </c>
    </row>
    <row r="2333" spans="1:9" x14ac:dyDescent="0.2">
      <c r="A2333" s="5" t="str">
        <f>IF('FUENTE NO BORRAR'!A2351="","",(IF('FUENTE NO BORRAR'!A2351&lt;&gt;"Resultado total",'FUENTE NO BORRAR'!A2351,"")))</f>
        <v/>
      </c>
      <c r="B2333" s="5" t="str">
        <f>IF('FUENTE NO BORRAR'!B2351="","",'FUENTE NO BORRAR'!B2351)</f>
        <v/>
      </c>
      <c r="C2333" s="5" t="str">
        <f>IF('FUENTE NO BORRAR'!C2351="","",'FUENTE NO BORRAR'!C2351)</f>
        <v/>
      </c>
      <c r="D2333" s="5" t="str">
        <f>IF('FUENTE NO BORRAR'!D2351="","",'FUENTE NO BORRAR'!D2351)</f>
        <v/>
      </c>
      <c r="E2333" s="5" t="str">
        <f>IF('FUENTE NO BORRAR'!E2351="","",'FUENTE NO BORRAR'!E2351)</f>
        <v/>
      </c>
      <c r="F2333" s="6">
        <f>IF('FUENTE NO BORRAR'!F2351="","",IF('FUENTE NO BORRAR'!$A2351&lt;&gt;"Resultado total",('FUENTE NO BORRAR'!F2351),""))</f>
        <v>0</v>
      </c>
      <c r="G2333" s="6">
        <f>IF('FUENTE NO BORRAR'!G2351="","",IF('FUENTE NO BORRAR'!$A2351&lt;&gt;"Resultado total",('FUENTE NO BORRAR'!G2351),""))</f>
        <v>0</v>
      </c>
      <c r="H2333" s="6">
        <f>IF('FUENTE NO BORRAR'!H2351="","",IF('FUENTE NO BORRAR'!$A2351&lt;&gt;"Resultado total",('FUENTE NO BORRAR'!H2351),""))</f>
        <v>0</v>
      </c>
      <c r="I2333" s="6">
        <f>IF('FUENTE NO BORRAR'!I2351="","",IF('FUENTE NO BORRAR'!$A2351&lt;&gt;"Resultado total",('FUENTE NO BORRAR'!I2351),""))</f>
        <v>0</v>
      </c>
    </row>
    <row r="2334" spans="1:9" x14ac:dyDescent="0.2">
      <c r="A2334" s="5" t="str">
        <f>IF('FUENTE NO BORRAR'!A2352="","",(IF('FUENTE NO BORRAR'!A2352&lt;&gt;"Resultado total",'FUENTE NO BORRAR'!A2352,"")))</f>
        <v/>
      </c>
      <c r="B2334" s="5" t="str">
        <f>IF('FUENTE NO BORRAR'!B2352="","",'FUENTE NO BORRAR'!B2352)</f>
        <v/>
      </c>
      <c r="C2334" s="5" t="str">
        <f>IF('FUENTE NO BORRAR'!C2352="","",'FUENTE NO BORRAR'!C2352)</f>
        <v/>
      </c>
      <c r="D2334" s="5" t="str">
        <f>IF('FUENTE NO BORRAR'!D2352="","",'FUENTE NO BORRAR'!D2352)</f>
        <v/>
      </c>
      <c r="E2334" s="5" t="str">
        <f>IF('FUENTE NO BORRAR'!E2352="","",'FUENTE NO BORRAR'!E2352)</f>
        <v/>
      </c>
      <c r="F2334" s="6">
        <f>IF('FUENTE NO BORRAR'!F2352="","",IF('FUENTE NO BORRAR'!$A2352&lt;&gt;"Resultado total",('FUENTE NO BORRAR'!F2352),""))</f>
        <v>12209090</v>
      </c>
      <c r="G2334" s="6">
        <f>IF('FUENTE NO BORRAR'!G2352="","",IF('FUENTE NO BORRAR'!$A2352&lt;&gt;"Resultado total",('FUENTE NO BORRAR'!G2352),""))</f>
        <v>12209090</v>
      </c>
      <c r="H2334" s="6">
        <f>IF('FUENTE NO BORRAR'!H2352="","",IF('FUENTE NO BORRAR'!$A2352&lt;&gt;"Resultado total",('FUENTE NO BORRAR'!H2352),""))</f>
        <v>5454545</v>
      </c>
      <c r="I2334" s="6">
        <f>IF('FUENTE NO BORRAR'!I2352="","",IF('FUENTE NO BORRAR'!$A2352&lt;&gt;"Resultado total",('FUENTE NO BORRAR'!I2352),""))</f>
        <v>0</v>
      </c>
    </row>
    <row r="2335" spans="1:9" x14ac:dyDescent="0.2">
      <c r="A2335" s="5" t="str">
        <f>IF('FUENTE NO BORRAR'!A2353="","",(IF('FUENTE NO BORRAR'!A2353&lt;&gt;"Resultado total",'FUENTE NO BORRAR'!A2353,"")))</f>
        <v/>
      </c>
      <c r="B2335" s="5" t="str">
        <f>IF('FUENTE NO BORRAR'!B2353="","",'FUENTE NO BORRAR'!B2353)</f>
        <v/>
      </c>
      <c r="C2335" s="5" t="str">
        <f>IF('FUENTE NO BORRAR'!C2353="","",'FUENTE NO BORRAR'!C2353)</f>
        <v>15025031M101</v>
      </c>
      <c r="D2335" s="5" t="str">
        <f>IF('FUENTE NO BORRAR'!D2353="","",'FUENTE NO BORRAR'!D2353)</f>
        <v>15025031M101</v>
      </c>
      <c r="E2335" s="5" t="str">
        <f>IF('FUENTE NO BORRAR'!E2353="","",'FUENTE NO BORRAR'!E2353)</f>
        <v/>
      </c>
      <c r="F2335" s="6">
        <f>IF('FUENTE NO BORRAR'!F2353="","",IF('FUENTE NO BORRAR'!$A2353&lt;&gt;"Resultado total",('FUENTE NO BORRAR'!F2353),""))</f>
        <v>3083662.1</v>
      </c>
      <c r="G2335" s="6">
        <f>IF('FUENTE NO BORRAR'!G2353="","",IF('FUENTE NO BORRAR'!$A2353&lt;&gt;"Resultado total",('FUENTE NO BORRAR'!G2353),""))</f>
        <v>3083662.1</v>
      </c>
      <c r="H2335" s="6">
        <f>IF('FUENTE NO BORRAR'!H2353="","",IF('FUENTE NO BORRAR'!$A2353&lt;&gt;"Resultado total",('FUENTE NO BORRAR'!H2353),""))</f>
        <v>3083662.1</v>
      </c>
      <c r="I2335" s="6">
        <f>IF('FUENTE NO BORRAR'!I2353="","",IF('FUENTE NO BORRAR'!$A2353&lt;&gt;"Resultado total",('FUENTE NO BORRAR'!I2353),""))</f>
        <v>0</v>
      </c>
    </row>
    <row r="2336" spans="1:9" x14ac:dyDescent="0.2">
      <c r="A2336" s="5" t="str">
        <f>IF('FUENTE NO BORRAR'!A2354="","",(IF('FUENTE NO BORRAR'!A2354&lt;&gt;"Resultado total",'FUENTE NO BORRAR'!A2354,"")))</f>
        <v/>
      </c>
      <c r="B2336" s="5" t="str">
        <f>IF('FUENTE NO BORRAR'!B2354="","",'FUENTE NO BORRAR'!B2354)</f>
        <v/>
      </c>
      <c r="C2336" s="5" t="str">
        <f>IF('FUENTE NO BORRAR'!C2354="","",'FUENTE NO BORRAR'!C2354)</f>
        <v/>
      </c>
      <c r="D2336" s="5" t="str">
        <f>IF('FUENTE NO BORRAR'!D2354="","",'FUENTE NO BORRAR'!D2354)</f>
        <v/>
      </c>
      <c r="E2336" s="5" t="str">
        <f>IF('FUENTE NO BORRAR'!E2354="","",'FUENTE NO BORRAR'!E2354)</f>
        <v/>
      </c>
      <c r="F2336" s="6">
        <f>IF('FUENTE NO BORRAR'!F2354="","",IF('FUENTE NO BORRAR'!$A2354&lt;&gt;"Resultado total",('FUENTE NO BORRAR'!F2354),""))</f>
        <v>1859952.7</v>
      </c>
      <c r="G2336" s="6">
        <f>IF('FUENTE NO BORRAR'!G2354="","",IF('FUENTE NO BORRAR'!$A2354&lt;&gt;"Resultado total",('FUENTE NO BORRAR'!G2354),""))</f>
        <v>1859952.7</v>
      </c>
      <c r="H2336" s="6">
        <f>IF('FUENTE NO BORRAR'!H2354="","",IF('FUENTE NO BORRAR'!$A2354&lt;&gt;"Resultado total",('FUENTE NO BORRAR'!H2354),""))</f>
        <v>1859952.7</v>
      </c>
      <c r="I2336" s="6">
        <f>IF('FUENTE NO BORRAR'!I2354="","",IF('FUENTE NO BORRAR'!$A2354&lt;&gt;"Resultado total",('FUENTE NO BORRAR'!I2354),""))</f>
        <v>0</v>
      </c>
    </row>
    <row r="2337" spans="1:9" x14ac:dyDescent="0.2">
      <c r="A2337" s="5" t="str">
        <f>IF('FUENTE NO BORRAR'!A2355="","",(IF('FUENTE NO BORRAR'!A2355&lt;&gt;"Resultado total",'FUENTE NO BORRAR'!A2355,"")))</f>
        <v/>
      </c>
      <c r="B2337" s="5" t="str">
        <f>IF('FUENTE NO BORRAR'!B2355="","",'FUENTE NO BORRAR'!B2355)</f>
        <v/>
      </c>
      <c r="C2337" s="5" t="str">
        <f>IF('FUENTE NO BORRAR'!C2355="","",'FUENTE NO BORRAR'!C2355)</f>
        <v/>
      </c>
      <c r="D2337" s="5" t="str">
        <f>IF('FUENTE NO BORRAR'!D2355="","",'FUENTE NO BORRAR'!D2355)</f>
        <v/>
      </c>
      <c r="E2337" s="5" t="str">
        <f>IF('FUENTE NO BORRAR'!E2355="","",'FUENTE NO BORRAR'!E2355)</f>
        <v/>
      </c>
      <c r="F2337" s="6">
        <f>IF('FUENTE NO BORRAR'!F2355="","",IF('FUENTE NO BORRAR'!$A2355&lt;&gt;"Resultado total",('FUENTE NO BORRAR'!F2355),""))</f>
        <v>18481425.039999999</v>
      </c>
      <c r="G2337" s="6">
        <f>IF('FUENTE NO BORRAR'!G2355="","",IF('FUENTE NO BORRAR'!$A2355&lt;&gt;"Resultado total",('FUENTE NO BORRAR'!G2355),""))</f>
        <v>18481425.039999999</v>
      </c>
      <c r="H2337" s="6">
        <f>IF('FUENTE NO BORRAR'!H2355="","",IF('FUENTE NO BORRAR'!$A2355&lt;&gt;"Resultado total",('FUENTE NO BORRAR'!H2355),""))</f>
        <v>18383703.039999999</v>
      </c>
      <c r="I2337" s="6">
        <f>IF('FUENTE NO BORRAR'!I2355="","",IF('FUENTE NO BORRAR'!$A2355&lt;&gt;"Resultado total",('FUENTE NO BORRAR'!I2355),""))</f>
        <v>-4.0000000000000002E-9</v>
      </c>
    </row>
    <row r="2338" spans="1:9" x14ac:dyDescent="0.2">
      <c r="A2338" s="5" t="str">
        <f>IF('FUENTE NO BORRAR'!A2356="","",(IF('FUENTE NO BORRAR'!A2356&lt;&gt;"Resultado total",'FUENTE NO BORRAR'!A2356,"")))</f>
        <v/>
      </c>
      <c r="B2338" s="5" t="str">
        <f>IF('FUENTE NO BORRAR'!B2356="","",'FUENTE NO BORRAR'!B2356)</f>
        <v/>
      </c>
      <c r="C2338" s="5" t="str">
        <f>IF('FUENTE NO BORRAR'!C2356="","",'FUENTE NO BORRAR'!C2356)</f>
        <v/>
      </c>
      <c r="D2338" s="5" t="str">
        <f>IF('FUENTE NO BORRAR'!D2356="","",'FUENTE NO BORRAR'!D2356)</f>
        <v/>
      </c>
      <c r="E2338" s="5" t="str">
        <f>IF('FUENTE NO BORRAR'!E2356="","",'FUENTE NO BORRAR'!E2356)</f>
        <v/>
      </c>
      <c r="F2338" s="6">
        <f>IF('FUENTE NO BORRAR'!F2356="","",IF('FUENTE NO BORRAR'!$A2356&lt;&gt;"Resultado total",('FUENTE NO BORRAR'!F2356),""))</f>
        <v>5325955.08</v>
      </c>
      <c r="G2338" s="6">
        <f>IF('FUENTE NO BORRAR'!G2356="","",IF('FUENTE NO BORRAR'!$A2356&lt;&gt;"Resultado total",('FUENTE NO BORRAR'!G2356),""))</f>
        <v>5325955.08</v>
      </c>
      <c r="H2338" s="6">
        <f>IF('FUENTE NO BORRAR'!H2356="","",IF('FUENTE NO BORRAR'!$A2356&lt;&gt;"Resultado total",('FUENTE NO BORRAR'!H2356),""))</f>
        <v>5325955.08</v>
      </c>
      <c r="I2338" s="6">
        <f>IF('FUENTE NO BORRAR'!I2356="","",IF('FUENTE NO BORRAR'!$A2356&lt;&gt;"Resultado total",('FUENTE NO BORRAR'!I2356),""))</f>
        <v>0</v>
      </c>
    </row>
    <row r="2339" spans="1:9" x14ac:dyDescent="0.2">
      <c r="A2339" s="5" t="str">
        <f>IF('FUENTE NO BORRAR'!A2357="","",(IF('FUENTE NO BORRAR'!A2357&lt;&gt;"Resultado total",'FUENTE NO BORRAR'!A2357,"")))</f>
        <v/>
      </c>
      <c r="B2339" s="5" t="str">
        <f>IF('FUENTE NO BORRAR'!B2357="","",'FUENTE NO BORRAR'!B2357)</f>
        <v/>
      </c>
      <c r="C2339" s="5" t="str">
        <f>IF('FUENTE NO BORRAR'!C2357="","",'FUENTE NO BORRAR'!C2357)</f>
        <v/>
      </c>
      <c r="D2339" s="5" t="str">
        <f>IF('FUENTE NO BORRAR'!D2357="","",'FUENTE NO BORRAR'!D2357)</f>
        <v/>
      </c>
      <c r="E2339" s="5" t="str">
        <f>IF('FUENTE NO BORRAR'!E2357="","",'FUENTE NO BORRAR'!E2357)</f>
        <v/>
      </c>
      <c r="F2339" s="6">
        <f>IF('FUENTE NO BORRAR'!F2357="","",IF('FUENTE NO BORRAR'!$A2357&lt;&gt;"Resultado total",('FUENTE NO BORRAR'!F2357),""))</f>
        <v>484407.33</v>
      </c>
      <c r="G2339" s="6">
        <f>IF('FUENTE NO BORRAR'!G2357="","",IF('FUENTE NO BORRAR'!$A2357&lt;&gt;"Resultado total",('FUENTE NO BORRAR'!G2357),""))</f>
        <v>484407.33</v>
      </c>
      <c r="H2339" s="6">
        <f>IF('FUENTE NO BORRAR'!H2357="","",IF('FUENTE NO BORRAR'!$A2357&lt;&gt;"Resultado total",('FUENTE NO BORRAR'!H2357),""))</f>
        <v>484407.33</v>
      </c>
      <c r="I2339" s="6">
        <f>IF('FUENTE NO BORRAR'!I2357="","",IF('FUENTE NO BORRAR'!$A2357&lt;&gt;"Resultado total",('FUENTE NO BORRAR'!I2357),""))</f>
        <v>0</v>
      </c>
    </row>
    <row r="2340" spans="1:9" x14ac:dyDescent="0.2">
      <c r="A2340" s="5" t="str">
        <f>IF('FUENTE NO BORRAR'!A2358="","",(IF('FUENTE NO BORRAR'!A2358&lt;&gt;"Resultado total",'FUENTE NO BORRAR'!A2358,"")))</f>
        <v/>
      </c>
      <c r="B2340" s="5" t="str">
        <f>IF('FUENTE NO BORRAR'!B2358="","",'FUENTE NO BORRAR'!B2358)</f>
        <v/>
      </c>
      <c r="C2340" s="5" t="str">
        <f>IF('FUENTE NO BORRAR'!C2358="","",'FUENTE NO BORRAR'!C2358)</f>
        <v/>
      </c>
      <c r="D2340" s="5" t="str">
        <f>IF('FUENTE NO BORRAR'!D2358="","",'FUENTE NO BORRAR'!D2358)</f>
        <v/>
      </c>
      <c r="E2340" s="5" t="str">
        <f>IF('FUENTE NO BORRAR'!E2358="","",'FUENTE NO BORRAR'!E2358)</f>
        <v/>
      </c>
      <c r="F2340" s="6">
        <f>IF('FUENTE NO BORRAR'!F2358="","",IF('FUENTE NO BORRAR'!$A2358&lt;&gt;"Resultado total",('FUENTE NO BORRAR'!F2358),""))</f>
        <v>86857.36</v>
      </c>
      <c r="G2340" s="6">
        <f>IF('FUENTE NO BORRAR'!G2358="","",IF('FUENTE NO BORRAR'!$A2358&lt;&gt;"Resultado total",('FUENTE NO BORRAR'!G2358),""))</f>
        <v>86857.36</v>
      </c>
      <c r="H2340" s="6">
        <f>IF('FUENTE NO BORRAR'!H2358="","",IF('FUENTE NO BORRAR'!$A2358&lt;&gt;"Resultado total",('FUENTE NO BORRAR'!H2358),""))</f>
        <v>86857.36</v>
      </c>
      <c r="I2340" s="6">
        <f>IF('FUENTE NO BORRAR'!I2358="","",IF('FUENTE NO BORRAR'!$A2358&lt;&gt;"Resultado total",('FUENTE NO BORRAR'!I2358),""))</f>
        <v>0</v>
      </c>
    </row>
    <row r="2341" spans="1:9" x14ac:dyDescent="0.2">
      <c r="A2341" s="5" t="str">
        <f>IF('FUENTE NO BORRAR'!A2359="","",(IF('FUENTE NO BORRAR'!A2359&lt;&gt;"Resultado total",'FUENTE NO BORRAR'!A2359,"")))</f>
        <v/>
      </c>
      <c r="B2341" s="5" t="str">
        <f>IF('FUENTE NO BORRAR'!B2359="","",'FUENTE NO BORRAR'!B2359)</f>
        <v/>
      </c>
      <c r="C2341" s="5" t="str">
        <f>IF('FUENTE NO BORRAR'!C2359="","",'FUENTE NO BORRAR'!C2359)</f>
        <v/>
      </c>
      <c r="D2341" s="5" t="str">
        <f>IF('FUENTE NO BORRAR'!D2359="","",'FUENTE NO BORRAR'!D2359)</f>
        <v/>
      </c>
      <c r="E2341" s="5" t="str">
        <f>IF('FUENTE NO BORRAR'!E2359="","",'FUENTE NO BORRAR'!E2359)</f>
        <v/>
      </c>
      <c r="F2341" s="6">
        <f>IF('FUENTE NO BORRAR'!F2359="","",IF('FUENTE NO BORRAR'!$A2359&lt;&gt;"Resultado total",('FUENTE NO BORRAR'!F2359),""))</f>
        <v>258549.14</v>
      </c>
      <c r="G2341" s="6">
        <f>IF('FUENTE NO BORRAR'!G2359="","",IF('FUENTE NO BORRAR'!$A2359&lt;&gt;"Resultado total",('FUENTE NO BORRAR'!G2359),""))</f>
        <v>258549.14</v>
      </c>
      <c r="H2341" s="6">
        <f>IF('FUENTE NO BORRAR'!H2359="","",IF('FUENTE NO BORRAR'!$A2359&lt;&gt;"Resultado total",('FUENTE NO BORRAR'!H2359),""))</f>
        <v>258549.14</v>
      </c>
      <c r="I2341" s="6">
        <f>IF('FUENTE NO BORRAR'!I2359="","",IF('FUENTE NO BORRAR'!$A2359&lt;&gt;"Resultado total",('FUENTE NO BORRAR'!I2359),""))</f>
        <v>0</v>
      </c>
    </row>
    <row r="2342" spans="1:9" x14ac:dyDescent="0.2">
      <c r="A2342" s="5" t="str">
        <f>IF('FUENTE NO BORRAR'!A2360="","",(IF('FUENTE NO BORRAR'!A2360&lt;&gt;"Resultado total",'FUENTE NO BORRAR'!A2360,"")))</f>
        <v/>
      </c>
      <c r="B2342" s="5" t="str">
        <f>IF('FUENTE NO BORRAR'!B2360="","",'FUENTE NO BORRAR'!B2360)</f>
        <v/>
      </c>
      <c r="C2342" s="5" t="str">
        <f>IF('FUENTE NO BORRAR'!C2360="","",'FUENTE NO BORRAR'!C2360)</f>
        <v/>
      </c>
      <c r="D2342" s="5" t="str">
        <f>IF('FUENTE NO BORRAR'!D2360="","",'FUENTE NO BORRAR'!D2360)</f>
        <v/>
      </c>
      <c r="E2342" s="5" t="str">
        <f>IF('FUENTE NO BORRAR'!E2360="","",'FUENTE NO BORRAR'!E2360)</f>
        <v/>
      </c>
      <c r="F2342" s="6">
        <f>IF('FUENTE NO BORRAR'!F2360="","",IF('FUENTE NO BORRAR'!$A2360&lt;&gt;"Resultado total",('FUENTE NO BORRAR'!F2360),""))</f>
        <v>1232037.78</v>
      </c>
      <c r="G2342" s="6">
        <f>IF('FUENTE NO BORRAR'!G2360="","",IF('FUENTE NO BORRAR'!$A2360&lt;&gt;"Resultado total",('FUENTE NO BORRAR'!G2360),""))</f>
        <v>1232037.78</v>
      </c>
      <c r="H2342" s="6">
        <f>IF('FUENTE NO BORRAR'!H2360="","",IF('FUENTE NO BORRAR'!$A2360&lt;&gt;"Resultado total",('FUENTE NO BORRAR'!H2360),""))</f>
        <v>1232037.78</v>
      </c>
      <c r="I2342" s="6">
        <f>IF('FUENTE NO BORRAR'!I2360="","",IF('FUENTE NO BORRAR'!$A2360&lt;&gt;"Resultado total",('FUENTE NO BORRAR'!I2360),""))</f>
        <v>0</v>
      </c>
    </row>
    <row r="2343" spans="1:9" x14ac:dyDescent="0.2">
      <c r="A2343" s="5" t="str">
        <f>IF('FUENTE NO BORRAR'!A2361="","",(IF('FUENTE NO BORRAR'!A2361&lt;&gt;"Resultado total",'FUENTE NO BORRAR'!A2361,"")))</f>
        <v/>
      </c>
      <c r="B2343" s="5" t="str">
        <f>IF('FUENTE NO BORRAR'!B2361="","",'FUENTE NO BORRAR'!B2361)</f>
        <v/>
      </c>
      <c r="C2343" s="5" t="str">
        <f>IF('FUENTE NO BORRAR'!C2361="","",'FUENTE NO BORRAR'!C2361)</f>
        <v/>
      </c>
      <c r="D2343" s="5" t="str">
        <f>IF('FUENTE NO BORRAR'!D2361="","",'FUENTE NO BORRAR'!D2361)</f>
        <v/>
      </c>
      <c r="E2343" s="5" t="str">
        <f>IF('FUENTE NO BORRAR'!E2361="","",'FUENTE NO BORRAR'!E2361)</f>
        <v/>
      </c>
      <c r="F2343" s="6">
        <f>IF('FUENTE NO BORRAR'!F2361="","",IF('FUENTE NO BORRAR'!$A2361&lt;&gt;"Resultado total",('FUENTE NO BORRAR'!F2361),""))</f>
        <v>5459331.2199999997</v>
      </c>
      <c r="G2343" s="6">
        <f>IF('FUENTE NO BORRAR'!G2361="","",IF('FUENTE NO BORRAR'!$A2361&lt;&gt;"Resultado total",('FUENTE NO BORRAR'!G2361),""))</f>
        <v>5459331.2199999997</v>
      </c>
      <c r="H2343" s="6">
        <f>IF('FUENTE NO BORRAR'!H2361="","",IF('FUENTE NO BORRAR'!$A2361&lt;&gt;"Resultado total",('FUENTE NO BORRAR'!H2361),""))</f>
        <v>5528940.3099999996</v>
      </c>
      <c r="I2343" s="6">
        <f>IF('FUENTE NO BORRAR'!I2361="","",IF('FUENTE NO BORRAR'!$A2361&lt;&gt;"Resultado total",('FUENTE NO BORRAR'!I2361),""))</f>
        <v>-1.0000000000000001E-9</v>
      </c>
    </row>
    <row r="2344" spans="1:9" x14ac:dyDescent="0.2">
      <c r="A2344" s="5" t="str">
        <f>IF('FUENTE NO BORRAR'!A2362="","",(IF('FUENTE NO BORRAR'!A2362&lt;&gt;"Resultado total",'FUENTE NO BORRAR'!A2362,"")))</f>
        <v/>
      </c>
      <c r="B2344" s="5" t="str">
        <f>IF('FUENTE NO BORRAR'!B2362="","",'FUENTE NO BORRAR'!B2362)</f>
        <v/>
      </c>
      <c r="C2344" s="5" t="str">
        <f>IF('FUENTE NO BORRAR'!C2362="","",'FUENTE NO BORRAR'!C2362)</f>
        <v/>
      </c>
      <c r="D2344" s="5" t="str">
        <f>IF('FUENTE NO BORRAR'!D2362="","",'FUENTE NO BORRAR'!D2362)</f>
        <v/>
      </c>
      <c r="E2344" s="5" t="str">
        <f>IF('FUENTE NO BORRAR'!E2362="","",'FUENTE NO BORRAR'!E2362)</f>
        <v/>
      </c>
      <c r="F2344" s="6">
        <f>IF('FUENTE NO BORRAR'!F2362="","",IF('FUENTE NO BORRAR'!$A2362&lt;&gt;"Resultado total",('FUENTE NO BORRAR'!F2362),""))</f>
        <v>2129706.0499999998</v>
      </c>
      <c r="G2344" s="6">
        <f>IF('FUENTE NO BORRAR'!G2362="","",IF('FUENTE NO BORRAR'!$A2362&lt;&gt;"Resultado total",('FUENTE NO BORRAR'!G2362),""))</f>
        <v>2129706.0499999998</v>
      </c>
      <c r="H2344" s="6">
        <f>IF('FUENTE NO BORRAR'!H2362="","",IF('FUENTE NO BORRAR'!$A2362&lt;&gt;"Resultado total",('FUENTE NO BORRAR'!H2362),""))</f>
        <v>2129706.0499999998</v>
      </c>
      <c r="I2344" s="6">
        <f>IF('FUENTE NO BORRAR'!I2362="","",IF('FUENTE NO BORRAR'!$A2362&lt;&gt;"Resultado total",('FUENTE NO BORRAR'!I2362),""))</f>
        <v>0</v>
      </c>
    </row>
    <row r="2345" spans="1:9" x14ac:dyDescent="0.2">
      <c r="A2345" s="5" t="str">
        <f>IF('FUENTE NO BORRAR'!A2363="","",(IF('FUENTE NO BORRAR'!A2363&lt;&gt;"Resultado total",'FUENTE NO BORRAR'!A2363,"")))</f>
        <v/>
      </c>
      <c r="B2345" s="5" t="str">
        <f>IF('FUENTE NO BORRAR'!B2363="","",'FUENTE NO BORRAR'!B2363)</f>
        <v/>
      </c>
      <c r="C2345" s="5" t="str">
        <f>IF('FUENTE NO BORRAR'!C2363="","",'FUENTE NO BORRAR'!C2363)</f>
        <v/>
      </c>
      <c r="D2345" s="5" t="str">
        <f>IF('FUENTE NO BORRAR'!D2363="","",'FUENTE NO BORRAR'!D2363)</f>
        <v/>
      </c>
      <c r="E2345" s="5" t="str">
        <f>IF('FUENTE NO BORRAR'!E2363="","",'FUENTE NO BORRAR'!E2363)</f>
        <v/>
      </c>
      <c r="F2345" s="6">
        <f>IF('FUENTE NO BORRAR'!F2363="","",IF('FUENTE NO BORRAR'!$A2363&lt;&gt;"Resultado total",('FUENTE NO BORRAR'!F2363),""))</f>
        <v>417402.22</v>
      </c>
      <c r="G2345" s="6">
        <f>IF('FUENTE NO BORRAR'!G2363="","",IF('FUENTE NO BORRAR'!$A2363&lt;&gt;"Resultado total",('FUENTE NO BORRAR'!G2363),""))</f>
        <v>417402.22</v>
      </c>
      <c r="H2345" s="6">
        <f>IF('FUENTE NO BORRAR'!H2363="","",IF('FUENTE NO BORRAR'!$A2363&lt;&gt;"Resultado total",('FUENTE NO BORRAR'!H2363),""))</f>
        <v>417402.22</v>
      </c>
      <c r="I2345" s="6">
        <f>IF('FUENTE NO BORRAR'!I2363="","",IF('FUENTE NO BORRAR'!$A2363&lt;&gt;"Resultado total",('FUENTE NO BORRAR'!I2363),""))</f>
        <v>0</v>
      </c>
    </row>
    <row r="2346" spans="1:9" x14ac:dyDescent="0.2">
      <c r="A2346" s="5" t="str">
        <f>IF('FUENTE NO BORRAR'!A2364="","",(IF('FUENTE NO BORRAR'!A2364&lt;&gt;"Resultado total",'FUENTE NO BORRAR'!A2364,"")))</f>
        <v/>
      </c>
      <c r="B2346" s="5" t="str">
        <f>IF('FUENTE NO BORRAR'!B2364="","",'FUENTE NO BORRAR'!B2364)</f>
        <v/>
      </c>
      <c r="C2346" s="5" t="str">
        <f>IF('FUENTE NO BORRAR'!C2364="","",'FUENTE NO BORRAR'!C2364)</f>
        <v/>
      </c>
      <c r="D2346" s="5" t="str">
        <f>IF('FUENTE NO BORRAR'!D2364="","",'FUENTE NO BORRAR'!D2364)</f>
        <v/>
      </c>
      <c r="E2346" s="5" t="str">
        <f>IF('FUENTE NO BORRAR'!E2364="","",'FUENTE NO BORRAR'!E2364)</f>
        <v/>
      </c>
      <c r="F2346" s="6">
        <f>IF('FUENTE NO BORRAR'!F2364="","",IF('FUENTE NO BORRAR'!$A2364&lt;&gt;"Resultado total",('FUENTE NO BORRAR'!F2364),""))</f>
        <v>1884795.37</v>
      </c>
      <c r="G2346" s="6">
        <f>IF('FUENTE NO BORRAR'!G2364="","",IF('FUENTE NO BORRAR'!$A2364&lt;&gt;"Resultado total",('FUENTE NO BORRAR'!G2364),""))</f>
        <v>1884795.37</v>
      </c>
      <c r="H2346" s="6">
        <f>IF('FUENTE NO BORRAR'!H2364="","",IF('FUENTE NO BORRAR'!$A2364&lt;&gt;"Resultado total",('FUENTE NO BORRAR'!H2364),""))</f>
        <v>1884795.37</v>
      </c>
      <c r="I2346" s="6">
        <f>IF('FUENTE NO BORRAR'!I2364="","",IF('FUENTE NO BORRAR'!$A2364&lt;&gt;"Resultado total",('FUENTE NO BORRAR'!I2364),""))</f>
        <v>0</v>
      </c>
    </row>
    <row r="2347" spans="1:9" x14ac:dyDescent="0.2">
      <c r="A2347" s="5" t="str">
        <f>IF('FUENTE NO BORRAR'!A2365="","",(IF('FUENTE NO BORRAR'!A2365&lt;&gt;"Resultado total",'FUENTE NO BORRAR'!A2365,"")))</f>
        <v/>
      </c>
      <c r="B2347" s="5" t="str">
        <f>IF('FUENTE NO BORRAR'!B2365="","",'FUENTE NO BORRAR'!B2365)</f>
        <v/>
      </c>
      <c r="C2347" s="5" t="str">
        <f>IF('FUENTE NO BORRAR'!C2365="","",'FUENTE NO BORRAR'!C2365)</f>
        <v/>
      </c>
      <c r="D2347" s="5" t="str">
        <f>IF('FUENTE NO BORRAR'!D2365="","",'FUENTE NO BORRAR'!D2365)</f>
        <v/>
      </c>
      <c r="E2347" s="5" t="str">
        <f>IF('FUENTE NO BORRAR'!E2365="","",'FUENTE NO BORRAR'!E2365)</f>
        <v/>
      </c>
      <c r="F2347" s="6">
        <f>IF('FUENTE NO BORRAR'!F2365="","",IF('FUENTE NO BORRAR'!$A2365&lt;&gt;"Resultado total",('FUENTE NO BORRAR'!F2365),""))</f>
        <v>589950.53</v>
      </c>
      <c r="G2347" s="6">
        <f>IF('FUENTE NO BORRAR'!G2365="","",IF('FUENTE NO BORRAR'!$A2365&lt;&gt;"Resultado total",('FUENTE NO BORRAR'!G2365),""))</f>
        <v>589950.53</v>
      </c>
      <c r="H2347" s="6">
        <f>IF('FUENTE NO BORRAR'!H2365="","",IF('FUENTE NO BORRAR'!$A2365&lt;&gt;"Resultado total",('FUENTE NO BORRAR'!H2365),""))</f>
        <v>589950.53</v>
      </c>
      <c r="I2347" s="6">
        <f>IF('FUENTE NO BORRAR'!I2365="","",IF('FUENTE NO BORRAR'!$A2365&lt;&gt;"Resultado total",('FUENTE NO BORRAR'!I2365),""))</f>
        <v>0</v>
      </c>
    </row>
    <row r="2348" spans="1:9" x14ac:dyDescent="0.2">
      <c r="A2348" s="5" t="str">
        <f>IF('FUENTE NO BORRAR'!A2366="","",(IF('FUENTE NO BORRAR'!A2366&lt;&gt;"Resultado total",'FUENTE NO BORRAR'!A2366,"")))</f>
        <v/>
      </c>
      <c r="B2348" s="5" t="str">
        <f>IF('FUENTE NO BORRAR'!B2366="","",'FUENTE NO BORRAR'!B2366)</f>
        <v/>
      </c>
      <c r="C2348" s="5" t="str">
        <f>IF('FUENTE NO BORRAR'!C2366="","",'FUENTE NO BORRAR'!C2366)</f>
        <v/>
      </c>
      <c r="D2348" s="5" t="str">
        <f>IF('FUENTE NO BORRAR'!D2366="","",'FUENTE NO BORRAR'!D2366)</f>
        <v/>
      </c>
      <c r="E2348" s="5" t="str">
        <f>IF('FUENTE NO BORRAR'!E2366="","",'FUENTE NO BORRAR'!E2366)</f>
        <v/>
      </c>
      <c r="F2348" s="6">
        <f>IF('FUENTE NO BORRAR'!F2366="","",IF('FUENTE NO BORRAR'!$A2366&lt;&gt;"Resultado total",('FUENTE NO BORRAR'!F2366),""))</f>
        <v>279750.17</v>
      </c>
      <c r="G2348" s="6">
        <f>IF('FUENTE NO BORRAR'!G2366="","",IF('FUENTE NO BORRAR'!$A2366&lt;&gt;"Resultado total",('FUENTE NO BORRAR'!G2366),""))</f>
        <v>279750.17</v>
      </c>
      <c r="H2348" s="6">
        <f>IF('FUENTE NO BORRAR'!H2366="","",IF('FUENTE NO BORRAR'!$A2366&lt;&gt;"Resultado total",('FUENTE NO BORRAR'!H2366),""))</f>
        <v>279750.17</v>
      </c>
      <c r="I2348" s="6">
        <f>IF('FUENTE NO BORRAR'!I2366="","",IF('FUENTE NO BORRAR'!$A2366&lt;&gt;"Resultado total",('FUENTE NO BORRAR'!I2366),""))</f>
        <v>0</v>
      </c>
    </row>
    <row r="2349" spans="1:9" x14ac:dyDescent="0.2">
      <c r="A2349" s="5" t="str">
        <f>IF('FUENTE NO BORRAR'!A2367="","",(IF('FUENTE NO BORRAR'!A2367&lt;&gt;"Resultado total",'FUENTE NO BORRAR'!A2367,"")))</f>
        <v/>
      </c>
      <c r="B2349" s="5" t="str">
        <f>IF('FUENTE NO BORRAR'!B2367="","",'FUENTE NO BORRAR'!B2367)</f>
        <v/>
      </c>
      <c r="C2349" s="5" t="str">
        <f>IF('FUENTE NO BORRAR'!C2367="","",'FUENTE NO BORRAR'!C2367)</f>
        <v/>
      </c>
      <c r="D2349" s="5" t="str">
        <f>IF('FUENTE NO BORRAR'!D2367="","",'FUENTE NO BORRAR'!D2367)</f>
        <v/>
      </c>
      <c r="E2349" s="5" t="str">
        <f>IF('FUENTE NO BORRAR'!E2367="","",'FUENTE NO BORRAR'!E2367)</f>
        <v/>
      </c>
      <c r="F2349" s="6">
        <f>IF('FUENTE NO BORRAR'!F2367="","",IF('FUENTE NO BORRAR'!$A2367&lt;&gt;"Resultado total",('FUENTE NO BORRAR'!F2367),""))</f>
        <v>594242.64</v>
      </c>
      <c r="G2349" s="6">
        <f>IF('FUENTE NO BORRAR'!G2367="","",IF('FUENTE NO BORRAR'!$A2367&lt;&gt;"Resultado total",('FUENTE NO BORRAR'!G2367),""))</f>
        <v>594242.64</v>
      </c>
      <c r="H2349" s="6">
        <f>IF('FUENTE NO BORRAR'!H2367="","",IF('FUENTE NO BORRAR'!$A2367&lt;&gt;"Resultado total",('FUENTE NO BORRAR'!H2367),""))</f>
        <v>594242.64</v>
      </c>
      <c r="I2349" s="6">
        <f>IF('FUENTE NO BORRAR'!I2367="","",IF('FUENTE NO BORRAR'!$A2367&lt;&gt;"Resultado total",('FUENTE NO BORRAR'!I2367),""))</f>
        <v>0</v>
      </c>
    </row>
    <row r="2350" spans="1:9" x14ac:dyDescent="0.2">
      <c r="A2350" s="5" t="str">
        <f>IF('FUENTE NO BORRAR'!A2368="","",(IF('FUENTE NO BORRAR'!A2368&lt;&gt;"Resultado total",'FUENTE NO BORRAR'!A2368,"")))</f>
        <v/>
      </c>
      <c r="B2350" s="5" t="str">
        <f>IF('FUENTE NO BORRAR'!B2368="","",'FUENTE NO BORRAR'!B2368)</f>
        <v/>
      </c>
      <c r="C2350" s="5" t="str">
        <f>IF('FUENTE NO BORRAR'!C2368="","",'FUENTE NO BORRAR'!C2368)</f>
        <v/>
      </c>
      <c r="D2350" s="5" t="str">
        <f>IF('FUENTE NO BORRAR'!D2368="","",'FUENTE NO BORRAR'!D2368)</f>
        <v/>
      </c>
      <c r="E2350" s="5" t="str">
        <f>IF('FUENTE NO BORRAR'!E2368="","",'FUENTE NO BORRAR'!E2368)</f>
        <v/>
      </c>
      <c r="F2350" s="6">
        <f>IF('FUENTE NO BORRAR'!F2368="","",IF('FUENTE NO BORRAR'!$A2368&lt;&gt;"Resultado total",('FUENTE NO BORRAR'!F2368),""))</f>
        <v>2736929.17</v>
      </c>
      <c r="G2350" s="6">
        <f>IF('FUENTE NO BORRAR'!G2368="","",IF('FUENTE NO BORRAR'!$A2368&lt;&gt;"Resultado total",('FUENTE NO BORRAR'!G2368),""))</f>
        <v>2736929.17</v>
      </c>
      <c r="H2350" s="6">
        <f>IF('FUENTE NO BORRAR'!H2368="","",IF('FUENTE NO BORRAR'!$A2368&lt;&gt;"Resultado total",('FUENTE NO BORRAR'!H2368),""))</f>
        <v>2736929.17</v>
      </c>
      <c r="I2350" s="6">
        <f>IF('FUENTE NO BORRAR'!I2368="","",IF('FUENTE NO BORRAR'!$A2368&lt;&gt;"Resultado total",('FUENTE NO BORRAR'!I2368),""))</f>
        <v>0</v>
      </c>
    </row>
    <row r="2351" spans="1:9" x14ac:dyDescent="0.2">
      <c r="A2351" s="5" t="str">
        <f>IF('FUENTE NO BORRAR'!A2369="","",(IF('FUENTE NO BORRAR'!A2369&lt;&gt;"Resultado total",'FUENTE NO BORRAR'!A2369,"")))</f>
        <v/>
      </c>
      <c r="B2351" s="5" t="str">
        <f>IF('FUENTE NO BORRAR'!B2369="","",'FUENTE NO BORRAR'!B2369)</f>
        <v/>
      </c>
      <c r="C2351" s="5" t="str">
        <f>IF('FUENTE NO BORRAR'!C2369="","",'FUENTE NO BORRAR'!C2369)</f>
        <v/>
      </c>
      <c r="D2351" s="5" t="str">
        <f>IF('FUENTE NO BORRAR'!D2369="","",'FUENTE NO BORRAR'!D2369)</f>
        <v/>
      </c>
      <c r="E2351" s="5" t="str">
        <f>IF('FUENTE NO BORRAR'!E2369="","",'FUENTE NO BORRAR'!E2369)</f>
        <v/>
      </c>
      <c r="F2351" s="6">
        <f>IF('FUENTE NO BORRAR'!F2369="","",IF('FUENTE NO BORRAR'!$A2369&lt;&gt;"Resultado total",('FUENTE NO BORRAR'!F2369),""))</f>
        <v>0</v>
      </c>
      <c r="G2351" s="6">
        <f>IF('FUENTE NO BORRAR'!G2369="","",IF('FUENTE NO BORRAR'!$A2369&lt;&gt;"Resultado total",('FUENTE NO BORRAR'!G2369),""))</f>
        <v>0</v>
      </c>
      <c r="H2351" s="6">
        <f>IF('FUENTE NO BORRAR'!H2369="","",IF('FUENTE NO BORRAR'!$A2369&lt;&gt;"Resultado total",('FUENTE NO BORRAR'!H2369),""))</f>
        <v>0</v>
      </c>
      <c r="I2351" s="6">
        <f>IF('FUENTE NO BORRAR'!I2369="","",IF('FUENTE NO BORRAR'!$A2369&lt;&gt;"Resultado total",('FUENTE NO BORRAR'!I2369),""))</f>
        <v>0</v>
      </c>
    </row>
    <row r="2352" spans="1:9" x14ac:dyDescent="0.2">
      <c r="A2352" s="5" t="str">
        <f>IF('FUENTE NO BORRAR'!A2370="","",(IF('FUENTE NO BORRAR'!A2370&lt;&gt;"Resultado total",'FUENTE NO BORRAR'!A2370,"")))</f>
        <v/>
      </c>
      <c r="B2352" s="5" t="str">
        <f>IF('FUENTE NO BORRAR'!B2370="","",'FUENTE NO BORRAR'!B2370)</f>
        <v/>
      </c>
      <c r="C2352" s="5" t="str">
        <f>IF('FUENTE NO BORRAR'!C2370="","",'FUENTE NO BORRAR'!C2370)</f>
        <v/>
      </c>
      <c r="D2352" s="5" t="str">
        <f>IF('FUENTE NO BORRAR'!D2370="","",'FUENTE NO BORRAR'!D2370)</f>
        <v/>
      </c>
      <c r="E2352" s="5" t="str">
        <f>IF('FUENTE NO BORRAR'!E2370="","",'FUENTE NO BORRAR'!E2370)</f>
        <v/>
      </c>
      <c r="F2352" s="6">
        <f>IF('FUENTE NO BORRAR'!F2370="","",IF('FUENTE NO BORRAR'!$A2370&lt;&gt;"Resultado total",('FUENTE NO BORRAR'!F2370),""))</f>
        <v>17800</v>
      </c>
      <c r="G2352" s="6">
        <f>IF('FUENTE NO BORRAR'!G2370="","",IF('FUENTE NO BORRAR'!$A2370&lt;&gt;"Resultado total",('FUENTE NO BORRAR'!G2370),""))</f>
        <v>17800</v>
      </c>
      <c r="H2352" s="6">
        <f>IF('FUENTE NO BORRAR'!H2370="","",IF('FUENTE NO BORRAR'!$A2370&lt;&gt;"Resultado total",('FUENTE NO BORRAR'!H2370),""))</f>
        <v>17800</v>
      </c>
      <c r="I2352" s="6">
        <f>IF('FUENTE NO BORRAR'!I2370="","",IF('FUENTE NO BORRAR'!$A2370&lt;&gt;"Resultado total",('FUENTE NO BORRAR'!I2370),""))</f>
        <v>0</v>
      </c>
    </row>
    <row r="2353" spans="1:9" x14ac:dyDescent="0.2">
      <c r="A2353" s="5" t="str">
        <f>IF('FUENTE NO BORRAR'!A2371="","",(IF('FUENTE NO BORRAR'!A2371&lt;&gt;"Resultado total",'FUENTE NO BORRAR'!A2371,"")))</f>
        <v/>
      </c>
      <c r="B2353" s="5" t="str">
        <f>IF('FUENTE NO BORRAR'!B2371="","",'FUENTE NO BORRAR'!B2371)</f>
        <v/>
      </c>
      <c r="C2353" s="5" t="str">
        <f>IF('FUENTE NO BORRAR'!C2371="","",'FUENTE NO BORRAR'!C2371)</f>
        <v/>
      </c>
      <c r="D2353" s="5" t="str">
        <f>IF('FUENTE NO BORRAR'!D2371="","",'FUENTE NO BORRAR'!D2371)</f>
        <v/>
      </c>
      <c r="E2353" s="5" t="str">
        <f>IF('FUENTE NO BORRAR'!E2371="","",'FUENTE NO BORRAR'!E2371)</f>
        <v/>
      </c>
      <c r="F2353" s="6">
        <f>IF('FUENTE NO BORRAR'!F2371="","",IF('FUENTE NO BORRAR'!$A2371&lt;&gt;"Resultado total",('FUENTE NO BORRAR'!F2371),""))</f>
        <v>244041.76</v>
      </c>
      <c r="G2353" s="6">
        <f>IF('FUENTE NO BORRAR'!G2371="","",IF('FUENTE NO BORRAR'!$A2371&lt;&gt;"Resultado total",('FUENTE NO BORRAR'!G2371),""))</f>
        <v>244041.76</v>
      </c>
      <c r="H2353" s="6">
        <f>IF('FUENTE NO BORRAR'!H2371="","",IF('FUENTE NO BORRAR'!$A2371&lt;&gt;"Resultado total",('FUENTE NO BORRAR'!H2371),""))</f>
        <v>207764.24</v>
      </c>
      <c r="I2353" s="6">
        <f>IF('FUENTE NO BORRAR'!I2371="","",IF('FUENTE NO BORRAR'!$A2371&lt;&gt;"Resultado total",('FUENTE NO BORRAR'!I2371),""))</f>
        <v>0</v>
      </c>
    </row>
    <row r="2354" spans="1:9" x14ac:dyDescent="0.2">
      <c r="A2354" s="5" t="str">
        <f>IF('FUENTE NO BORRAR'!A2372="","",(IF('FUENTE NO BORRAR'!A2372&lt;&gt;"Resultado total",'FUENTE NO BORRAR'!A2372,"")))</f>
        <v/>
      </c>
      <c r="B2354" s="5" t="str">
        <f>IF('FUENTE NO BORRAR'!B2372="","",'FUENTE NO BORRAR'!B2372)</f>
        <v/>
      </c>
      <c r="C2354" s="5" t="str">
        <f>IF('FUENTE NO BORRAR'!C2372="","",'FUENTE NO BORRAR'!C2372)</f>
        <v/>
      </c>
      <c r="D2354" s="5" t="str">
        <f>IF('FUENTE NO BORRAR'!D2372="","",'FUENTE NO BORRAR'!D2372)</f>
        <v/>
      </c>
      <c r="E2354" s="5" t="str">
        <f>IF('FUENTE NO BORRAR'!E2372="","",'FUENTE NO BORRAR'!E2372)</f>
        <v/>
      </c>
      <c r="F2354" s="6">
        <f>IF('FUENTE NO BORRAR'!F2372="","",IF('FUENTE NO BORRAR'!$A2372&lt;&gt;"Resultado total",('FUENTE NO BORRAR'!F2372),""))</f>
        <v>60361.58</v>
      </c>
      <c r="G2354" s="6">
        <f>IF('FUENTE NO BORRAR'!G2372="","",IF('FUENTE NO BORRAR'!$A2372&lt;&gt;"Resultado total",('FUENTE NO BORRAR'!G2372),""))</f>
        <v>60361.58</v>
      </c>
      <c r="H2354" s="6">
        <f>IF('FUENTE NO BORRAR'!H2372="","",IF('FUENTE NO BORRAR'!$A2372&lt;&gt;"Resultado total",('FUENTE NO BORRAR'!H2372),""))</f>
        <v>49683.78</v>
      </c>
      <c r="I2354" s="6">
        <f>IF('FUENTE NO BORRAR'!I2372="","",IF('FUENTE NO BORRAR'!$A2372&lt;&gt;"Resultado total",('FUENTE NO BORRAR'!I2372),""))</f>
        <v>0</v>
      </c>
    </row>
    <row r="2355" spans="1:9" x14ac:dyDescent="0.2">
      <c r="A2355" s="5" t="str">
        <f>IF('FUENTE NO BORRAR'!A2373="","",(IF('FUENTE NO BORRAR'!A2373&lt;&gt;"Resultado total",'FUENTE NO BORRAR'!A2373,"")))</f>
        <v/>
      </c>
      <c r="B2355" s="5" t="str">
        <f>IF('FUENTE NO BORRAR'!B2373="","",'FUENTE NO BORRAR'!B2373)</f>
        <v/>
      </c>
      <c r="C2355" s="5" t="str">
        <f>IF('FUENTE NO BORRAR'!C2373="","",'FUENTE NO BORRAR'!C2373)</f>
        <v/>
      </c>
      <c r="D2355" s="5" t="str">
        <f>IF('FUENTE NO BORRAR'!D2373="","",'FUENTE NO BORRAR'!D2373)</f>
        <v/>
      </c>
      <c r="E2355" s="5" t="str">
        <f>IF('FUENTE NO BORRAR'!E2373="","",'FUENTE NO BORRAR'!E2373)</f>
        <v/>
      </c>
      <c r="F2355" s="6">
        <f>IF('FUENTE NO BORRAR'!F2373="","",IF('FUENTE NO BORRAR'!$A2373&lt;&gt;"Resultado total",('FUENTE NO BORRAR'!F2373),""))</f>
        <v>101861.92</v>
      </c>
      <c r="G2355" s="6">
        <f>IF('FUENTE NO BORRAR'!G2373="","",IF('FUENTE NO BORRAR'!$A2373&lt;&gt;"Resultado total",('FUENTE NO BORRAR'!G2373),""))</f>
        <v>101861.92</v>
      </c>
      <c r="H2355" s="6">
        <f>IF('FUENTE NO BORRAR'!H2373="","",IF('FUENTE NO BORRAR'!$A2373&lt;&gt;"Resultado total",('FUENTE NO BORRAR'!H2373),""))</f>
        <v>42885.2</v>
      </c>
      <c r="I2355" s="6">
        <f>IF('FUENTE NO BORRAR'!I2373="","",IF('FUENTE NO BORRAR'!$A2373&lt;&gt;"Resultado total",('FUENTE NO BORRAR'!I2373),""))</f>
        <v>0</v>
      </c>
    </row>
    <row r="2356" spans="1:9" x14ac:dyDescent="0.2">
      <c r="A2356" s="5" t="str">
        <f>IF('FUENTE NO BORRAR'!A2374="","",(IF('FUENTE NO BORRAR'!A2374&lt;&gt;"Resultado total",'FUENTE NO BORRAR'!A2374,"")))</f>
        <v/>
      </c>
      <c r="B2356" s="5" t="str">
        <f>IF('FUENTE NO BORRAR'!B2374="","",'FUENTE NO BORRAR'!B2374)</f>
        <v/>
      </c>
      <c r="C2356" s="5" t="str">
        <f>IF('FUENTE NO BORRAR'!C2374="","",'FUENTE NO BORRAR'!C2374)</f>
        <v/>
      </c>
      <c r="D2356" s="5" t="str">
        <f>IF('FUENTE NO BORRAR'!D2374="","",'FUENTE NO BORRAR'!D2374)</f>
        <v/>
      </c>
      <c r="E2356" s="5" t="str">
        <f>IF('FUENTE NO BORRAR'!E2374="","",'FUENTE NO BORRAR'!E2374)</f>
        <v/>
      </c>
      <c r="F2356" s="6">
        <f>IF('FUENTE NO BORRAR'!F2374="","",IF('FUENTE NO BORRAR'!$A2374&lt;&gt;"Resultado total",('FUENTE NO BORRAR'!F2374),""))</f>
        <v>198813.5</v>
      </c>
      <c r="G2356" s="6">
        <f>IF('FUENTE NO BORRAR'!G2374="","",IF('FUENTE NO BORRAR'!$A2374&lt;&gt;"Resultado total",('FUENTE NO BORRAR'!G2374),""))</f>
        <v>198813.5</v>
      </c>
      <c r="H2356" s="6">
        <f>IF('FUENTE NO BORRAR'!H2374="","",IF('FUENTE NO BORRAR'!$A2374&lt;&gt;"Resultado total",('FUENTE NO BORRAR'!H2374),""))</f>
        <v>129897.9</v>
      </c>
      <c r="I2356" s="6">
        <f>IF('FUENTE NO BORRAR'!I2374="","",IF('FUENTE NO BORRAR'!$A2374&lt;&gt;"Resultado total",('FUENTE NO BORRAR'!I2374),""))</f>
        <v>0</v>
      </c>
    </row>
    <row r="2357" spans="1:9" x14ac:dyDescent="0.2">
      <c r="A2357" s="5" t="str">
        <f>IF('FUENTE NO BORRAR'!A2375="","",(IF('FUENTE NO BORRAR'!A2375&lt;&gt;"Resultado total",'FUENTE NO BORRAR'!A2375,"")))</f>
        <v/>
      </c>
      <c r="B2357" s="5" t="str">
        <f>IF('FUENTE NO BORRAR'!B2375="","",'FUENTE NO BORRAR'!B2375)</f>
        <v/>
      </c>
      <c r="C2357" s="5" t="str">
        <f>IF('FUENTE NO BORRAR'!C2375="","",'FUENTE NO BORRAR'!C2375)</f>
        <v/>
      </c>
      <c r="D2357" s="5" t="str">
        <f>IF('FUENTE NO BORRAR'!D2375="","",'FUENTE NO BORRAR'!D2375)</f>
        <v/>
      </c>
      <c r="E2357" s="5" t="str">
        <f>IF('FUENTE NO BORRAR'!E2375="","",'FUENTE NO BORRAR'!E2375)</f>
        <v/>
      </c>
      <c r="F2357" s="6">
        <f>IF('FUENTE NO BORRAR'!F2375="","",IF('FUENTE NO BORRAR'!$A2375&lt;&gt;"Resultado total",('FUENTE NO BORRAR'!F2375),""))</f>
        <v>249.4</v>
      </c>
      <c r="G2357" s="6">
        <f>IF('FUENTE NO BORRAR'!G2375="","",IF('FUENTE NO BORRAR'!$A2375&lt;&gt;"Resultado total",('FUENTE NO BORRAR'!G2375),""))</f>
        <v>249.4</v>
      </c>
      <c r="H2357" s="6">
        <f>IF('FUENTE NO BORRAR'!H2375="","",IF('FUENTE NO BORRAR'!$A2375&lt;&gt;"Resultado total",('FUENTE NO BORRAR'!H2375),""))</f>
        <v>249.4</v>
      </c>
      <c r="I2357" s="6">
        <f>IF('FUENTE NO BORRAR'!I2375="","",IF('FUENTE NO BORRAR'!$A2375&lt;&gt;"Resultado total",('FUENTE NO BORRAR'!I2375),""))</f>
        <v>0</v>
      </c>
    </row>
    <row r="2358" spans="1:9" x14ac:dyDescent="0.2">
      <c r="A2358" s="5" t="str">
        <f>IF('FUENTE NO BORRAR'!A2376="","",(IF('FUENTE NO BORRAR'!A2376&lt;&gt;"Resultado total",'FUENTE NO BORRAR'!A2376,"")))</f>
        <v/>
      </c>
      <c r="B2358" s="5" t="str">
        <f>IF('FUENTE NO BORRAR'!B2376="","",'FUENTE NO BORRAR'!B2376)</f>
        <v/>
      </c>
      <c r="C2358" s="5" t="str">
        <f>IF('FUENTE NO BORRAR'!C2376="","",'FUENTE NO BORRAR'!C2376)</f>
        <v/>
      </c>
      <c r="D2358" s="5" t="str">
        <f>IF('FUENTE NO BORRAR'!D2376="","",'FUENTE NO BORRAR'!D2376)</f>
        <v/>
      </c>
      <c r="E2358" s="5" t="str">
        <f>IF('FUENTE NO BORRAR'!E2376="","",'FUENTE NO BORRAR'!E2376)</f>
        <v/>
      </c>
      <c r="F2358" s="6">
        <f>IF('FUENTE NO BORRAR'!F2376="","",IF('FUENTE NO BORRAR'!$A2376&lt;&gt;"Resultado total",('FUENTE NO BORRAR'!F2376),""))</f>
        <v>0</v>
      </c>
      <c r="G2358" s="6">
        <f>IF('FUENTE NO BORRAR'!G2376="","",IF('FUENTE NO BORRAR'!$A2376&lt;&gt;"Resultado total",('FUENTE NO BORRAR'!G2376),""))</f>
        <v>0</v>
      </c>
      <c r="H2358" s="6">
        <f>IF('FUENTE NO BORRAR'!H2376="","",IF('FUENTE NO BORRAR'!$A2376&lt;&gt;"Resultado total",('FUENTE NO BORRAR'!H2376),""))</f>
        <v>0</v>
      </c>
      <c r="I2358" s="6">
        <f>IF('FUENTE NO BORRAR'!I2376="","",IF('FUENTE NO BORRAR'!$A2376&lt;&gt;"Resultado total",('FUENTE NO BORRAR'!I2376),""))</f>
        <v>0</v>
      </c>
    </row>
    <row r="2359" spans="1:9" x14ac:dyDescent="0.2">
      <c r="A2359" s="5" t="str">
        <f>IF('FUENTE NO BORRAR'!A2377="","",(IF('FUENTE NO BORRAR'!A2377&lt;&gt;"Resultado total",'FUENTE NO BORRAR'!A2377,"")))</f>
        <v/>
      </c>
      <c r="B2359" s="5" t="str">
        <f>IF('FUENTE NO BORRAR'!B2377="","",'FUENTE NO BORRAR'!B2377)</f>
        <v/>
      </c>
      <c r="C2359" s="5" t="str">
        <f>IF('FUENTE NO BORRAR'!C2377="","",'FUENTE NO BORRAR'!C2377)</f>
        <v/>
      </c>
      <c r="D2359" s="5" t="str">
        <f>IF('FUENTE NO BORRAR'!D2377="","",'FUENTE NO BORRAR'!D2377)</f>
        <v/>
      </c>
      <c r="E2359" s="5" t="str">
        <f>IF('FUENTE NO BORRAR'!E2377="","",'FUENTE NO BORRAR'!E2377)</f>
        <v/>
      </c>
      <c r="F2359" s="6">
        <f>IF('FUENTE NO BORRAR'!F2377="","",IF('FUENTE NO BORRAR'!$A2377&lt;&gt;"Resultado total",('FUENTE NO BORRAR'!F2377),""))</f>
        <v>1670.4</v>
      </c>
      <c r="G2359" s="6">
        <f>IF('FUENTE NO BORRAR'!G2377="","",IF('FUENTE NO BORRAR'!$A2377&lt;&gt;"Resultado total",('FUENTE NO BORRAR'!G2377),""))</f>
        <v>1670.4</v>
      </c>
      <c r="H2359" s="6">
        <f>IF('FUENTE NO BORRAR'!H2377="","",IF('FUENTE NO BORRAR'!$A2377&lt;&gt;"Resultado total",('FUENTE NO BORRAR'!H2377),""))</f>
        <v>1670.4</v>
      </c>
      <c r="I2359" s="6">
        <f>IF('FUENTE NO BORRAR'!I2377="","",IF('FUENTE NO BORRAR'!$A2377&lt;&gt;"Resultado total",('FUENTE NO BORRAR'!I2377),""))</f>
        <v>0</v>
      </c>
    </row>
    <row r="2360" spans="1:9" x14ac:dyDescent="0.2">
      <c r="A2360" s="5" t="str">
        <f>IF('FUENTE NO BORRAR'!A2378="","",(IF('FUENTE NO BORRAR'!A2378&lt;&gt;"Resultado total",'FUENTE NO BORRAR'!A2378,"")))</f>
        <v/>
      </c>
      <c r="B2360" s="5" t="str">
        <f>IF('FUENTE NO BORRAR'!B2378="","",'FUENTE NO BORRAR'!B2378)</f>
        <v/>
      </c>
      <c r="C2360" s="5" t="str">
        <f>IF('FUENTE NO BORRAR'!C2378="","",'FUENTE NO BORRAR'!C2378)</f>
        <v/>
      </c>
      <c r="D2360" s="5" t="str">
        <f>IF('FUENTE NO BORRAR'!D2378="","",'FUENTE NO BORRAR'!D2378)</f>
        <v/>
      </c>
      <c r="E2360" s="5" t="str">
        <f>IF('FUENTE NO BORRAR'!E2378="","",'FUENTE NO BORRAR'!E2378)</f>
        <v/>
      </c>
      <c r="F2360" s="6">
        <f>IF('FUENTE NO BORRAR'!F2378="","",IF('FUENTE NO BORRAR'!$A2378&lt;&gt;"Resultado total",('FUENTE NO BORRAR'!F2378),""))</f>
        <v>173508.17</v>
      </c>
      <c r="G2360" s="6">
        <f>IF('FUENTE NO BORRAR'!G2378="","",IF('FUENTE NO BORRAR'!$A2378&lt;&gt;"Resultado total",('FUENTE NO BORRAR'!G2378),""))</f>
        <v>173508.17</v>
      </c>
      <c r="H2360" s="6">
        <f>IF('FUENTE NO BORRAR'!H2378="","",IF('FUENTE NO BORRAR'!$A2378&lt;&gt;"Resultado total",('FUENTE NO BORRAR'!H2378),""))</f>
        <v>164281.70000000001</v>
      </c>
      <c r="I2360" s="6">
        <f>IF('FUENTE NO BORRAR'!I2378="","",IF('FUENTE NO BORRAR'!$A2378&lt;&gt;"Resultado total",('FUENTE NO BORRAR'!I2378),""))</f>
        <v>0</v>
      </c>
    </row>
    <row r="2361" spans="1:9" x14ac:dyDescent="0.2">
      <c r="A2361" s="5" t="str">
        <f>IF('FUENTE NO BORRAR'!A2379="","",(IF('FUENTE NO BORRAR'!A2379&lt;&gt;"Resultado total",'FUENTE NO BORRAR'!A2379,"")))</f>
        <v/>
      </c>
      <c r="B2361" s="5" t="str">
        <f>IF('FUENTE NO BORRAR'!B2379="","",'FUENTE NO BORRAR'!B2379)</f>
        <v/>
      </c>
      <c r="C2361" s="5" t="str">
        <f>IF('FUENTE NO BORRAR'!C2379="","",'FUENTE NO BORRAR'!C2379)</f>
        <v/>
      </c>
      <c r="D2361" s="5" t="str">
        <f>IF('FUENTE NO BORRAR'!D2379="","",'FUENTE NO BORRAR'!D2379)</f>
        <v/>
      </c>
      <c r="E2361" s="5" t="str">
        <f>IF('FUENTE NO BORRAR'!E2379="","",'FUENTE NO BORRAR'!E2379)</f>
        <v/>
      </c>
      <c r="F2361" s="6">
        <f>IF('FUENTE NO BORRAR'!F2379="","",IF('FUENTE NO BORRAR'!$A2379&lt;&gt;"Resultado total",('FUENTE NO BORRAR'!F2379),""))</f>
        <v>4872</v>
      </c>
      <c r="G2361" s="6">
        <f>IF('FUENTE NO BORRAR'!G2379="","",IF('FUENTE NO BORRAR'!$A2379&lt;&gt;"Resultado total",('FUENTE NO BORRAR'!G2379),""))</f>
        <v>4872</v>
      </c>
      <c r="H2361" s="6">
        <f>IF('FUENTE NO BORRAR'!H2379="","",IF('FUENTE NO BORRAR'!$A2379&lt;&gt;"Resultado total",('FUENTE NO BORRAR'!H2379),""))</f>
        <v>4872</v>
      </c>
      <c r="I2361" s="6">
        <f>IF('FUENTE NO BORRAR'!I2379="","",IF('FUENTE NO BORRAR'!$A2379&lt;&gt;"Resultado total",('FUENTE NO BORRAR'!I2379),""))</f>
        <v>0</v>
      </c>
    </row>
    <row r="2362" spans="1:9" x14ac:dyDescent="0.2">
      <c r="A2362" s="5" t="str">
        <f>IF('FUENTE NO BORRAR'!A2380="","",(IF('FUENTE NO BORRAR'!A2380&lt;&gt;"Resultado total",'FUENTE NO BORRAR'!A2380,"")))</f>
        <v/>
      </c>
      <c r="B2362" s="5" t="str">
        <f>IF('FUENTE NO BORRAR'!B2380="","",'FUENTE NO BORRAR'!B2380)</f>
        <v/>
      </c>
      <c r="C2362" s="5" t="str">
        <f>IF('FUENTE NO BORRAR'!C2380="","",'FUENTE NO BORRAR'!C2380)</f>
        <v/>
      </c>
      <c r="D2362" s="5" t="str">
        <f>IF('FUENTE NO BORRAR'!D2380="","",'FUENTE NO BORRAR'!D2380)</f>
        <v/>
      </c>
      <c r="E2362" s="5" t="str">
        <f>IF('FUENTE NO BORRAR'!E2380="","",'FUENTE NO BORRAR'!E2380)</f>
        <v/>
      </c>
      <c r="F2362" s="6">
        <f>IF('FUENTE NO BORRAR'!F2380="","",IF('FUENTE NO BORRAR'!$A2380&lt;&gt;"Resultado total",('FUENTE NO BORRAR'!F2380),""))</f>
        <v>0</v>
      </c>
      <c r="G2362" s="6">
        <f>IF('FUENTE NO BORRAR'!G2380="","",IF('FUENTE NO BORRAR'!$A2380&lt;&gt;"Resultado total",('FUENTE NO BORRAR'!G2380),""))</f>
        <v>0</v>
      </c>
      <c r="H2362" s="6">
        <f>IF('FUENTE NO BORRAR'!H2380="","",IF('FUENTE NO BORRAR'!$A2380&lt;&gt;"Resultado total",('FUENTE NO BORRAR'!H2380),""))</f>
        <v>0</v>
      </c>
      <c r="I2362" s="6">
        <f>IF('FUENTE NO BORRAR'!I2380="","",IF('FUENTE NO BORRAR'!$A2380&lt;&gt;"Resultado total",('FUENTE NO BORRAR'!I2380),""))</f>
        <v>0</v>
      </c>
    </row>
    <row r="2363" spans="1:9" x14ac:dyDescent="0.2">
      <c r="A2363" s="5" t="str">
        <f>IF('FUENTE NO BORRAR'!A2381="","",(IF('FUENTE NO BORRAR'!A2381&lt;&gt;"Resultado total",'FUENTE NO BORRAR'!A2381,"")))</f>
        <v/>
      </c>
      <c r="B2363" s="5" t="str">
        <f>IF('FUENTE NO BORRAR'!B2381="","",'FUENTE NO BORRAR'!B2381)</f>
        <v/>
      </c>
      <c r="C2363" s="5" t="str">
        <f>IF('FUENTE NO BORRAR'!C2381="","",'FUENTE NO BORRAR'!C2381)</f>
        <v/>
      </c>
      <c r="D2363" s="5" t="str">
        <f>IF('FUENTE NO BORRAR'!D2381="","",'FUENTE NO BORRAR'!D2381)</f>
        <v/>
      </c>
      <c r="E2363" s="5" t="str">
        <f>IF('FUENTE NO BORRAR'!E2381="","",'FUENTE NO BORRAR'!E2381)</f>
        <v/>
      </c>
      <c r="F2363" s="6">
        <f>IF('FUENTE NO BORRAR'!F2381="","",IF('FUENTE NO BORRAR'!$A2381&lt;&gt;"Resultado total",('FUENTE NO BORRAR'!F2381),""))</f>
        <v>5640</v>
      </c>
      <c r="G2363" s="6">
        <f>IF('FUENTE NO BORRAR'!G2381="","",IF('FUENTE NO BORRAR'!$A2381&lt;&gt;"Resultado total",('FUENTE NO BORRAR'!G2381),""))</f>
        <v>5640</v>
      </c>
      <c r="H2363" s="6">
        <f>IF('FUENTE NO BORRAR'!H2381="","",IF('FUENTE NO BORRAR'!$A2381&lt;&gt;"Resultado total",('FUENTE NO BORRAR'!H2381),""))</f>
        <v>5640</v>
      </c>
      <c r="I2363" s="6">
        <f>IF('FUENTE NO BORRAR'!I2381="","",IF('FUENTE NO BORRAR'!$A2381&lt;&gt;"Resultado total",('FUENTE NO BORRAR'!I2381),""))</f>
        <v>0</v>
      </c>
    </row>
    <row r="2364" spans="1:9" x14ac:dyDescent="0.2">
      <c r="A2364" s="5" t="str">
        <f>IF('FUENTE NO BORRAR'!A2382="","",(IF('FUENTE NO BORRAR'!A2382&lt;&gt;"Resultado total",'FUENTE NO BORRAR'!A2382,"")))</f>
        <v/>
      </c>
      <c r="B2364" s="5" t="str">
        <f>IF('FUENTE NO BORRAR'!B2382="","",'FUENTE NO BORRAR'!B2382)</f>
        <v/>
      </c>
      <c r="C2364" s="5" t="str">
        <f>IF('FUENTE NO BORRAR'!C2382="","",'FUENTE NO BORRAR'!C2382)</f>
        <v/>
      </c>
      <c r="D2364" s="5" t="str">
        <f>IF('FUENTE NO BORRAR'!D2382="","",'FUENTE NO BORRAR'!D2382)</f>
        <v/>
      </c>
      <c r="E2364" s="5" t="str">
        <f>IF('FUENTE NO BORRAR'!E2382="","",'FUENTE NO BORRAR'!E2382)</f>
        <v/>
      </c>
      <c r="F2364" s="6">
        <f>IF('FUENTE NO BORRAR'!F2382="","",IF('FUENTE NO BORRAR'!$A2382&lt;&gt;"Resultado total",('FUENTE NO BORRAR'!F2382),""))</f>
        <v>1620.8</v>
      </c>
      <c r="G2364" s="6">
        <f>IF('FUENTE NO BORRAR'!G2382="","",IF('FUENTE NO BORRAR'!$A2382&lt;&gt;"Resultado total",('FUENTE NO BORRAR'!G2382),""))</f>
        <v>1620.8</v>
      </c>
      <c r="H2364" s="6">
        <f>IF('FUENTE NO BORRAR'!H2382="","",IF('FUENTE NO BORRAR'!$A2382&lt;&gt;"Resultado total",('FUENTE NO BORRAR'!H2382),""))</f>
        <v>1620.8</v>
      </c>
      <c r="I2364" s="6">
        <f>IF('FUENTE NO BORRAR'!I2382="","",IF('FUENTE NO BORRAR'!$A2382&lt;&gt;"Resultado total",('FUENTE NO BORRAR'!I2382),""))</f>
        <v>0</v>
      </c>
    </row>
    <row r="2365" spans="1:9" x14ac:dyDescent="0.2">
      <c r="A2365" s="5" t="str">
        <f>IF('FUENTE NO BORRAR'!A2383="","",(IF('FUENTE NO BORRAR'!A2383&lt;&gt;"Resultado total",'FUENTE NO BORRAR'!A2383,"")))</f>
        <v/>
      </c>
      <c r="B2365" s="5" t="str">
        <f>IF('FUENTE NO BORRAR'!B2383="","",'FUENTE NO BORRAR'!B2383)</f>
        <v/>
      </c>
      <c r="C2365" s="5" t="str">
        <f>IF('FUENTE NO BORRAR'!C2383="","",'FUENTE NO BORRAR'!C2383)</f>
        <v/>
      </c>
      <c r="D2365" s="5" t="str">
        <f>IF('FUENTE NO BORRAR'!D2383="","",'FUENTE NO BORRAR'!D2383)</f>
        <v/>
      </c>
      <c r="E2365" s="5" t="str">
        <f>IF('FUENTE NO BORRAR'!E2383="","",'FUENTE NO BORRAR'!E2383)</f>
        <v/>
      </c>
      <c r="F2365" s="6">
        <f>IF('FUENTE NO BORRAR'!F2383="","",IF('FUENTE NO BORRAR'!$A2383&lt;&gt;"Resultado total",('FUENTE NO BORRAR'!F2383),""))</f>
        <v>2320</v>
      </c>
      <c r="G2365" s="6">
        <f>IF('FUENTE NO BORRAR'!G2383="","",IF('FUENTE NO BORRAR'!$A2383&lt;&gt;"Resultado total",('FUENTE NO BORRAR'!G2383),""))</f>
        <v>2320</v>
      </c>
      <c r="H2365" s="6">
        <f>IF('FUENTE NO BORRAR'!H2383="","",IF('FUENTE NO BORRAR'!$A2383&lt;&gt;"Resultado total",('FUENTE NO BORRAR'!H2383),""))</f>
        <v>2320</v>
      </c>
      <c r="I2365" s="6">
        <f>IF('FUENTE NO BORRAR'!I2383="","",IF('FUENTE NO BORRAR'!$A2383&lt;&gt;"Resultado total",('FUENTE NO BORRAR'!I2383),""))</f>
        <v>0</v>
      </c>
    </row>
    <row r="2366" spans="1:9" x14ac:dyDescent="0.2">
      <c r="A2366" s="5" t="str">
        <f>IF('FUENTE NO BORRAR'!A2384="","",(IF('FUENTE NO BORRAR'!A2384&lt;&gt;"Resultado total",'FUENTE NO BORRAR'!A2384,"")))</f>
        <v/>
      </c>
      <c r="B2366" s="5" t="str">
        <f>IF('FUENTE NO BORRAR'!B2384="","",'FUENTE NO BORRAR'!B2384)</f>
        <v/>
      </c>
      <c r="C2366" s="5" t="str">
        <f>IF('FUENTE NO BORRAR'!C2384="","",'FUENTE NO BORRAR'!C2384)</f>
        <v/>
      </c>
      <c r="D2366" s="5" t="str">
        <f>IF('FUENTE NO BORRAR'!D2384="","",'FUENTE NO BORRAR'!D2384)</f>
        <v/>
      </c>
      <c r="E2366" s="5" t="str">
        <f>IF('FUENTE NO BORRAR'!E2384="","",'FUENTE NO BORRAR'!E2384)</f>
        <v/>
      </c>
      <c r="F2366" s="6">
        <f>IF('FUENTE NO BORRAR'!F2384="","",IF('FUENTE NO BORRAR'!$A2384&lt;&gt;"Resultado total",('FUENTE NO BORRAR'!F2384),""))</f>
        <v>2890.27</v>
      </c>
      <c r="G2366" s="6">
        <f>IF('FUENTE NO BORRAR'!G2384="","",IF('FUENTE NO BORRAR'!$A2384&lt;&gt;"Resultado total",('FUENTE NO BORRAR'!G2384),""))</f>
        <v>2890.27</v>
      </c>
      <c r="H2366" s="6">
        <f>IF('FUENTE NO BORRAR'!H2384="","",IF('FUENTE NO BORRAR'!$A2384&lt;&gt;"Resultado total",('FUENTE NO BORRAR'!H2384),""))</f>
        <v>2890.27</v>
      </c>
      <c r="I2366" s="6">
        <f>IF('FUENTE NO BORRAR'!I2384="","",IF('FUENTE NO BORRAR'!$A2384&lt;&gt;"Resultado total",('FUENTE NO BORRAR'!I2384),""))</f>
        <v>0</v>
      </c>
    </row>
    <row r="2367" spans="1:9" x14ac:dyDescent="0.2">
      <c r="A2367" s="5" t="str">
        <f>IF('FUENTE NO BORRAR'!A2385="","",(IF('FUENTE NO BORRAR'!A2385&lt;&gt;"Resultado total",'FUENTE NO BORRAR'!A2385,"")))</f>
        <v/>
      </c>
      <c r="B2367" s="5" t="str">
        <f>IF('FUENTE NO BORRAR'!B2385="","",'FUENTE NO BORRAR'!B2385)</f>
        <v/>
      </c>
      <c r="C2367" s="5" t="str">
        <f>IF('FUENTE NO BORRAR'!C2385="","",'FUENTE NO BORRAR'!C2385)</f>
        <v/>
      </c>
      <c r="D2367" s="5" t="str">
        <f>IF('FUENTE NO BORRAR'!D2385="","",'FUENTE NO BORRAR'!D2385)</f>
        <v/>
      </c>
      <c r="E2367" s="5" t="str">
        <f>IF('FUENTE NO BORRAR'!E2385="","",'FUENTE NO BORRAR'!E2385)</f>
        <v/>
      </c>
      <c r="F2367" s="6">
        <f>IF('FUENTE NO BORRAR'!F2385="","",IF('FUENTE NO BORRAR'!$A2385&lt;&gt;"Resultado total",('FUENTE NO BORRAR'!F2385),""))</f>
        <v>525</v>
      </c>
      <c r="G2367" s="6">
        <f>IF('FUENTE NO BORRAR'!G2385="","",IF('FUENTE NO BORRAR'!$A2385&lt;&gt;"Resultado total",('FUENTE NO BORRAR'!G2385),""))</f>
        <v>525</v>
      </c>
      <c r="H2367" s="6">
        <f>IF('FUENTE NO BORRAR'!H2385="","",IF('FUENTE NO BORRAR'!$A2385&lt;&gt;"Resultado total",('FUENTE NO BORRAR'!H2385),""))</f>
        <v>525</v>
      </c>
      <c r="I2367" s="6">
        <f>IF('FUENTE NO BORRAR'!I2385="","",IF('FUENTE NO BORRAR'!$A2385&lt;&gt;"Resultado total",('FUENTE NO BORRAR'!I2385),""))</f>
        <v>0</v>
      </c>
    </row>
    <row r="2368" spans="1:9" x14ac:dyDescent="0.2">
      <c r="A2368" s="5" t="str">
        <f>IF('FUENTE NO BORRAR'!A2386="","",(IF('FUENTE NO BORRAR'!A2386&lt;&gt;"Resultado total",'FUENTE NO BORRAR'!A2386,"")))</f>
        <v/>
      </c>
      <c r="B2368" s="5" t="str">
        <f>IF('FUENTE NO BORRAR'!B2386="","",'FUENTE NO BORRAR'!B2386)</f>
        <v/>
      </c>
      <c r="C2368" s="5" t="str">
        <f>IF('FUENTE NO BORRAR'!C2386="","",'FUENTE NO BORRAR'!C2386)</f>
        <v/>
      </c>
      <c r="D2368" s="5" t="str">
        <f>IF('FUENTE NO BORRAR'!D2386="","",'FUENTE NO BORRAR'!D2386)</f>
        <v/>
      </c>
      <c r="E2368" s="5" t="str">
        <f>IF('FUENTE NO BORRAR'!E2386="","",'FUENTE NO BORRAR'!E2386)</f>
        <v/>
      </c>
      <c r="F2368" s="6">
        <f>IF('FUENTE NO BORRAR'!F2386="","",IF('FUENTE NO BORRAR'!$A2386&lt;&gt;"Resultado total",('FUENTE NO BORRAR'!F2386),""))</f>
        <v>365</v>
      </c>
      <c r="G2368" s="6">
        <f>IF('FUENTE NO BORRAR'!G2386="","",IF('FUENTE NO BORRAR'!$A2386&lt;&gt;"Resultado total",('FUENTE NO BORRAR'!G2386),""))</f>
        <v>365</v>
      </c>
      <c r="H2368" s="6">
        <f>IF('FUENTE NO BORRAR'!H2386="","",IF('FUENTE NO BORRAR'!$A2386&lt;&gt;"Resultado total",('FUENTE NO BORRAR'!H2386),""))</f>
        <v>365</v>
      </c>
      <c r="I2368" s="6">
        <f>IF('FUENTE NO BORRAR'!I2386="","",IF('FUENTE NO BORRAR'!$A2386&lt;&gt;"Resultado total",('FUENTE NO BORRAR'!I2386),""))</f>
        <v>0</v>
      </c>
    </row>
    <row r="2369" spans="1:9" x14ac:dyDescent="0.2">
      <c r="A2369" s="5" t="str">
        <f>IF('FUENTE NO BORRAR'!A2387="","",(IF('FUENTE NO BORRAR'!A2387&lt;&gt;"Resultado total",'FUENTE NO BORRAR'!A2387,"")))</f>
        <v/>
      </c>
      <c r="B2369" s="5" t="str">
        <f>IF('FUENTE NO BORRAR'!B2387="","",'FUENTE NO BORRAR'!B2387)</f>
        <v/>
      </c>
      <c r="C2369" s="5" t="str">
        <f>IF('FUENTE NO BORRAR'!C2387="","",'FUENTE NO BORRAR'!C2387)</f>
        <v/>
      </c>
      <c r="D2369" s="5" t="str">
        <f>IF('FUENTE NO BORRAR'!D2387="","",'FUENTE NO BORRAR'!D2387)</f>
        <v/>
      </c>
      <c r="E2369" s="5" t="str">
        <f>IF('FUENTE NO BORRAR'!E2387="","",'FUENTE NO BORRAR'!E2387)</f>
        <v/>
      </c>
      <c r="F2369" s="6">
        <f>IF('FUENTE NO BORRAR'!F2387="","",IF('FUENTE NO BORRAR'!$A2387&lt;&gt;"Resultado total",('FUENTE NO BORRAR'!F2387),""))</f>
        <v>56878.01</v>
      </c>
      <c r="G2369" s="6">
        <f>IF('FUENTE NO BORRAR'!G2387="","",IF('FUENTE NO BORRAR'!$A2387&lt;&gt;"Resultado total",('FUENTE NO BORRAR'!G2387),""))</f>
        <v>56878.01</v>
      </c>
      <c r="H2369" s="6">
        <f>IF('FUENTE NO BORRAR'!H2387="","",IF('FUENTE NO BORRAR'!$A2387&lt;&gt;"Resultado total",('FUENTE NO BORRAR'!H2387),""))</f>
        <v>56878.01</v>
      </c>
      <c r="I2369" s="6">
        <f>IF('FUENTE NO BORRAR'!I2387="","",IF('FUENTE NO BORRAR'!$A2387&lt;&gt;"Resultado total",('FUENTE NO BORRAR'!I2387),""))</f>
        <v>0</v>
      </c>
    </row>
    <row r="2370" spans="1:9" x14ac:dyDescent="0.2">
      <c r="A2370" s="5" t="str">
        <f>IF('FUENTE NO BORRAR'!A2388="","",(IF('FUENTE NO BORRAR'!A2388&lt;&gt;"Resultado total",'FUENTE NO BORRAR'!A2388,"")))</f>
        <v/>
      </c>
      <c r="B2370" s="5" t="str">
        <f>IF('FUENTE NO BORRAR'!B2388="","",'FUENTE NO BORRAR'!B2388)</f>
        <v/>
      </c>
      <c r="C2370" s="5" t="str">
        <f>IF('FUENTE NO BORRAR'!C2388="","",'FUENTE NO BORRAR'!C2388)</f>
        <v/>
      </c>
      <c r="D2370" s="5" t="str">
        <f>IF('FUENTE NO BORRAR'!D2388="","",'FUENTE NO BORRAR'!D2388)</f>
        <v/>
      </c>
      <c r="E2370" s="5" t="str">
        <f>IF('FUENTE NO BORRAR'!E2388="","",'FUENTE NO BORRAR'!E2388)</f>
        <v/>
      </c>
      <c r="F2370" s="6">
        <f>IF('FUENTE NO BORRAR'!F2388="","",IF('FUENTE NO BORRAR'!$A2388&lt;&gt;"Resultado total",('FUENTE NO BORRAR'!F2388),""))</f>
        <v>48657.86</v>
      </c>
      <c r="G2370" s="6">
        <f>IF('FUENTE NO BORRAR'!G2388="","",IF('FUENTE NO BORRAR'!$A2388&lt;&gt;"Resultado total",('FUENTE NO BORRAR'!G2388),""))</f>
        <v>48657.86</v>
      </c>
      <c r="H2370" s="6">
        <f>IF('FUENTE NO BORRAR'!H2388="","",IF('FUENTE NO BORRAR'!$A2388&lt;&gt;"Resultado total",('FUENTE NO BORRAR'!H2388),""))</f>
        <v>48657.86</v>
      </c>
      <c r="I2370" s="6">
        <f>IF('FUENTE NO BORRAR'!I2388="","",IF('FUENTE NO BORRAR'!$A2388&lt;&gt;"Resultado total",('FUENTE NO BORRAR'!I2388),""))</f>
        <v>0</v>
      </c>
    </row>
    <row r="2371" spans="1:9" x14ac:dyDescent="0.2">
      <c r="A2371" s="5" t="str">
        <f>IF('FUENTE NO BORRAR'!A2389="","",(IF('FUENTE NO BORRAR'!A2389&lt;&gt;"Resultado total",'FUENTE NO BORRAR'!A2389,"")))</f>
        <v/>
      </c>
      <c r="B2371" s="5" t="str">
        <f>IF('FUENTE NO BORRAR'!B2389="","",'FUENTE NO BORRAR'!B2389)</f>
        <v/>
      </c>
      <c r="C2371" s="5" t="str">
        <f>IF('FUENTE NO BORRAR'!C2389="","",'FUENTE NO BORRAR'!C2389)</f>
        <v/>
      </c>
      <c r="D2371" s="5" t="str">
        <f>IF('FUENTE NO BORRAR'!D2389="","",'FUENTE NO BORRAR'!D2389)</f>
        <v/>
      </c>
      <c r="E2371" s="5" t="str">
        <f>IF('FUENTE NO BORRAR'!E2389="","",'FUENTE NO BORRAR'!E2389)</f>
        <v/>
      </c>
      <c r="F2371" s="6">
        <f>IF('FUENTE NO BORRAR'!F2389="","",IF('FUENTE NO BORRAR'!$A2389&lt;&gt;"Resultado total",('FUENTE NO BORRAR'!F2389),""))</f>
        <v>276862.25</v>
      </c>
      <c r="G2371" s="6">
        <f>IF('FUENTE NO BORRAR'!G2389="","",IF('FUENTE NO BORRAR'!$A2389&lt;&gt;"Resultado total",('FUENTE NO BORRAR'!G2389),""))</f>
        <v>276862.25</v>
      </c>
      <c r="H2371" s="6">
        <f>IF('FUENTE NO BORRAR'!H2389="","",IF('FUENTE NO BORRAR'!$A2389&lt;&gt;"Resultado total",('FUENTE NO BORRAR'!H2389),""))</f>
        <v>223812.25</v>
      </c>
      <c r="I2371" s="6">
        <f>IF('FUENTE NO BORRAR'!I2389="","",IF('FUENTE NO BORRAR'!$A2389&lt;&gt;"Resultado total",('FUENTE NO BORRAR'!I2389),""))</f>
        <v>0</v>
      </c>
    </row>
    <row r="2372" spans="1:9" x14ac:dyDescent="0.2">
      <c r="A2372" s="5" t="str">
        <f>IF('FUENTE NO BORRAR'!A2390="","",(IF('FUENTE NO BORRAR'!A2390&lt;&gt;"Resultado total",'FUENTE NO BORRAR'!A2390,"")))</f>
        <v/>
      </c>
      <c r="B2372" s="5" t="str">
        <f>IF('FUENTE NO BORRAR'!B2390="","",'FUENTE NO BORRAR'!B2390)</f>
        <v/>
      </c>
      <c r="C2372" s="5" t="str">
        <f>IF('FUENTE NO BORRAR'!C2390="","",'FUENTE NO BORRAR'!C2390)</f>
        <v/>
      </c>
      <c r="D2372" s="5" t="str">
        <f>IF('FUENTE NO BORRAR'!D2390="","",'FUENTE NO BORRAR'!D2390)</f>
        <v/>
      </c>
      <c r="E2372" s="5" t="str">
        <f>IF('FUENTE NO BORRAR'!E2390="","",'FUENTE NO BORRAR'!E2390)</f>
        <v/>
      </c>
      <c r="F2372" s="6">
        <f>IF('FUENTE NO BORRAR'!F2390="","",IF('FUENTE NO BORRAR'!$A2390&lt;&gt;"Resultado total",('FUENTE NO BORRAR'!F2390),""))</f>
        <v>47</v>
      </c>
      <c r="G2372" s="6">
        <f>IF('FUENTE NO BORRAR'!G2390="","",IF('FUENTE NO BORRAR'!$A2390&lt;&gt;"Resultado total",('FUENTE NO BORRAR'!G2390),""))</f>
        <v>47</v>
      </c>
      <c r="H2372" s="6">
        <f>IF('FUENTE NO BORRAR'!H2390="","",IF('FUENTE NO BORRAR'!$A2390&lt;&gt;"Resultado total",('FUENTE NO BORRAR'!H2390),""))</f>
        <v>47</v>
      </c>
      <c r="I2372" s="6">
        <f>IF('FUENTE NO BORRAR'!I2390="","",IF('FUENTE NO BORRAR'!$A2390&lt;&gt;"Resultado total",('FUENTE NO BORRAR'!I2390),""))</f>
        <v>0</v>
      </c>
    </row>
    <row r="2373" spans="1:9" x14ac:dyDescent="0.2">
      <c r="A2373" s="5" t="str">
        <f>IF('FUENTE NO BORRAR'!A2391="","",(IF('FUENTE NO BORRAR'!A2391&lt;&gt;"Resultado total",'FUENTE NO BORRAR'!A2391,"")))</f>
        <v/>
      </c>
      <c r="B2373" s="5" t="str">
        <f>IF('FUENTE NO BORRAR'!B2391="","",'FUENTE NO BORRAR'!B2391)</f>
        <v/>
      </c>
      <c r="C2373" s="5" t="str">
        <f>IF('FUENTE NO BORRAR'!C2391="","",'FUENTE NO BORRAR'!C2391)</f>
        <v/>
      </c>
      <c r="D2373" s="5" t="str">
        <f>IF('FUENTE NO BORRAR'!D2391="","",'FUENTE NO BORRAR'!D2391)</f>
        <v/>
      </c>
      <c r="E2373" s="5" t="str">
        <f>IF('FUENTE NO BORRAR'!E2391="","",'FUENTE NO BORRAR'!E2391)</f>
        <v/>
      </c>
      <c r="F2373" s="6">
        <f>IF('FUENTE NO BORRAR'!F2391="","",IF('FUENTE NO BORRAR'!$A2391&lt;&gt;"Resultado total",('FUENTE NO BORRAR'!F2391),""))</f>
        <v>16973.78</v>
      </c>
      <c r="G2373" s="6">
        <f>IF('FUENTE NO BORRAR'!G2391="","",IF('FUENTE NO BORRAR'!$A2391&lt;&gt;"Resultado total",('FUENTE NO BORRAR'!G2391),""))</f>
        <v>16973.78</v>
      </c>
      <c r="H2373" s="6">
        <f>IF('FUENTE NO BORRAR'!H2391="","",IF('FUENTE NO BORRAR'!$A2391&lt;&gt;"Resultado total",('FUENTE NO BORRAR'!H2391),""))</f>
        <v>16973.78</v>
      </c>
      <c r="I2373" s="6">
        <f>IF('FUENTE NO BORRAR'!I2391="","",IF('FUENTE NO BORRAR'!$A2391&lt;&gt;"Resultado total",('FUENTE NO BORRAR'!I2391),""))</f>
        <v>0</v>
      </c>
    </row>
    <row r="2374" spans="1:9" x14ac:dyDescent="0.2">
      <c r="A2374" s="5" t="str">
        <f>IF('FUENTE NO BORRAR'!A2392="","",(IF('FUENTE NO BORRAR'!A2392&lt;&gt;"Resultado total",'FUENTE NO BORRAR'!A2392,"")))</f>
        <v/>
      </c>
      <c r="B2374" s="5" t="str">
        <f>IF('FUENTE NO BORRAR'!B2392="","",'FUENTE NO BORRAR'!B2392)</f>
        <v/>
      </c>
      <c r="C2374" s="5" t="str">
        <f>IF('FUENTE NO BORRAR'!C2392="","",'FUENTE NO BORRAR'!C2392)</f>
        <v/>
      </c>
      <c r="D2374" s="5" t="str">
        <f>IF('FUENTE NO BORRAR'!D2392="","",'FUENTE NO BORRAR'!D2392)</f>
        <v/>
      </c>
      <c r="E2374" s="5" t="str">
        <f>IF('FUENTE NO BORRAR'!E2392="","",'FUENTE NO BORRAR'!E2392)</f>
        <v/>
      </c>
      <c r="F2374" s="6">
        <f>IF('FUENTE NO BORRAR'!F2392="","",IF('FUENTE NO BORRAR'!$A2392&lt;&gt;"Resultado total",('FUENTE NO BORRAR'!F2392),""))</f>
        <v>233</v>
      </c>
      <c r="G2374" s="6">
        <f>IF('FUENTE NO BORRAR'!G2392="","",IF('FUENTE NO BORRAR'!$A2392&lt;&gt;"Resultado total",('FUENTE NO BORRAR'!G2392),""))</f>
        <v>233</v>
      </c>
      <c r="H2374" s="6">
        <f>IF('FUENTE NO BORRAR'!H2392="","",IF('FUENTE NO BORRAR'!$A2392&lt;&gt;"Resultado total",('FUENTE NO BORRAR'!H2392),""))</f>
        <v>233</v>
      </c>
      <c r="I2374" s="6">
        <f>IF('FUENTE NO BORRAR'!I2392="","",IF('FUENTE NO BORRAR'!$A2392&lt;&gt;"Resultado total",('FUENTE NO BORRAR'!I2392),""))</f>
        <v>0</v>
      </c>
    </row>
    <row r="2375" spans="1:9" x14ac:dyDescent="0.2">
      <c r="A2375" s="5" t="str">
        <f>IF('FUENTE NO BORRAR'!A2393="","",(IF('FUENTE NO BORRAR'!A2393&lt;&gt;"Resultado total",'FUENTE NO BORRAR'!A2393,"")))</f>
        <v/>
      </c>
      <c r="B2375" s="5" t="str">
        <f>IF('FUENTE NO BORRAR'!B2393="","",'FUENTE NO BORRAR'!B2393)</f>
        <v/>
      </c>
      <c r="C2375" s="5" t="str">
        <f>IF('FUENTE NO BORRAR'!C2393="","",'FUENTE NO BORRAR'!C2393)</f>
        <v/>
      </c>
      <c r="D2375" s="5" t="str">
        <f>IF('FUENTE NO BORRAR'!D2393="","",'FUENTE NO BORRAR'!D2393)</f>
        <v/>
      </c>
      <c r="E2375" s="5" t="str">
        <f>IF('FUENTE NO BORRAR'!E2393="","",'FUENTE NO BORRAR'!E2393)</f>
        <v/>
      </c>
      <c r="F2375" s="6">
        <f>IF('FUENTE NO BORRAR'!F2393="","",IF('FUENTE NO BORRAR'!$A2393&lt;&gt;"Resultado total",('FUENTE NO BORRAR'!F2393),""))</f>
        <v>31954.53</v>
      </c>
      <c r="G2375" s="6">
        <f>IF('FUENTE NO BORRAR'!G2393="","",IF('FUENTE NO BORRAR'!$A2393&lt;&gt;"Resultado total",('FUENTE NO BORRAR'!G2393),""))</f>
        <v>31954.53</v>
      </c>
      <c r="H2375" s="6">
        <f>IF('FUENTE NO BORRAR'!H2393="","",IF('FUENTE NO BORRAR'!$A2393&lt;&gt;"Resultado total",('FUENTE NO BORRAR'!H2393),""))</f>
        <v>27954.53</v>
      </c>
      <c r="I2375" s="6">
        <f>IF('FUENTE NO BORRAR'!I2393="","",IF('FUENTE NO BORRAR'!$A2393&lt;&gt;"Resultado total",('FUENTE NO BORRAR'!I2393),""))</f>
        <v>0</v>
      </c>
    </row>
    <row r="2376" spans="1:9" x14ac:dyDescent="0.2">
      <c r="A2376" s="5" t="str">
        <f>IF('FUENTE NO BORRAR'!A2394="","",(IF('FUENTE NO BORRAR'!A2394&lt;&gt;"Resultado total",'FUENTE NO BORRAR'!A2394,"")))</f>
        <v/>
      </c>
      <c r="B2376" s="5" t="str">
        <f>IF('FUENTE NO BORRAR'!B2394="","",'FUENTE NO BORRAR'!B2394)</f>
        <v/>
      </c>
      <c r="C2376" s="5" t="str">
        <f>IF('FUENTE NO BORRAR'!C2394="","",'FUENTE NO BORRAR'!C2394)</f>
        <v/>
      </c>
      <c r="D2376" s="5" t="str">
        <f>IF('FUENTE NO BORRAR'!D2394="","",'FUENTE NO BORRAR'!D2394)</f>
        <v/>
      </c>
      <c r="E2376" s="5" t="str">
        <f>IF('FUENTE NO BORRAR'!E2394="","",'FUENTE NO BORRAR'!E2394)</f>
        <v/>
      </c>
      <c r="F2376" s="6">
        <f>IF('FUENTE NO BORRAR'!F2394="","",IF('FUENTE NO BORRAR'!$A2394&lt;&gt;"Resultado total",('FUENTE NO BORRAR'!F2394),""))</f>
        <v>640.32000000000005</v>
      </c>
      <c r="G2376" s="6">
        <f>IF('FUENTE NO BORRAR'!G2394="","",IF('FUENTE NO BORRAR'!$A2394&lt;&gt;"Resultado total",('FUENTE NO BORRAR'!G2394),""))</f>
        <v>640.32000000000005</v>
      </c>
      <c r="H2376" s="6">
        <f>IF('FUENTE NO BORRAR'!H2394="","",IF('FUENTE NO BORRAR'!$A2394&lt;&gt;"Resultado total",('FUENTE NO BORRAR'!H2394),""))</f>
        <v>320.16000000000003</v>
      </c>
      <c r="I2376" s="6">
        <f>IF('FUENTE NO BORRAR'!I2394="","",IF('FUENTE NO BORRAR'!$A2394&lt;&gt;"Resultado total",('FUENTE NO BORRAR'!I2394),""))</f>
        <v>0</v>
      </c>
    </row>
    <row r="2377" spans="1:9" x14ac:dyDescent="0.2">
      <c r="A2377" s="5" t="str">
        <f>IF('FUENTE NO BORRAR'!A2395="","",(IF('FUENTE NO BORRAR'!A2395&lt;&gt;"Resultado total",'FUENTE NO BORRAR'!A2395,"")))</f>
        <v/>
      </c>
      <c r="B2377" s="5" t="str">
        <f>IF('FUENTE NO BORRAR'!B2395="","",'FUENTE NO BORRAR'!B2395)</f>
        <v/>
      </c>
      <c r="C2377" s="5" t="str">
        <f>IF('FUENTE NO BORRAR'!C2395="","",'FUENTE NO BORRAR'!C2395)</f>
        <v/>
      </c>
      <c r="D2377" s="5" t="str">
        <f>IF('FUENTE NO BORRAR'!D2395="","",'FUENTE NO BORRAR'!D2395)</f>
        <v/>
      </c>
      <c r="E2377" s="5" t="str">
        <f>IF('FUENTE NO BORRAR'!E2395="","",'FUENTE NO BORRAR'!E2395)</f>
        <v/>
      </c>
      <c r="F2377" s="6">
        <f>IF('FUENTE NO BORRAR'!F2395="","",IF('FUENTE NO BORRAR'!$A2395&lt;&gt;"Resultado total",('FUENTE NO BORRAR'!F2395),""))</f>
        <v>21104.46</v>
      </c>
      <c r="G2377" s="6">
        <f>IF('FUENTE NO BORRAR'!G2395="","",IF('FUENTE NO BORRAR'!$A2395&lt;&gt;"Resultado total",('FUENTE NO BORRAR'!G2395),""))</f>
        <v>21104.46</v>
      </c>
      <c r="H2377" s="6">
        <f>IF('FUENTE NO BORRAR'!H2395="","",IF('FUENTE NO BORRAR'!$A2395&lt;&gt;"Resultado total",('FUENTE NO BORRAR'!H2395),""))</f>
        <v>21104.46</v>
      </c>
      <c r="I2377" s="6">
        <f>IF('FUENTE NO BORRAR'!I2395="","",IF('FUENTE NO BORRAR'!$A2395&lt;&gt;"Resultado total",('FUENTE NO BORRAR'!I2395),""))</f>
        <v>0</v>
      </c>
    </row>
    <row r="2378" spans="1:9" x14ac:dyDescent="0.2">
      <c r="A2378" s="5" t="str">
        <f>IF('FUENTE NO BORRAR'!A2396="","",(IF('FUENTE NO BORRAR'!A2396&lt;&gt;"Resultado total",'FUENTE NO BORRAR'!A2396,"")))</f>
        <v/>
      </c>
      <c r="B2378" s="5" t="str">
        <f>IF('FUENTE NO BORRAR'!B2396="","",'FUENTE NO BORRAR'!B2396)</f>
        <v/>
      </c>
      <c r="C2378" s="5" t="str">
        <f>IF('FUENTE NO BORRAR'!C2396="","",'FUENTE NO BORRAR'!C2396)</f>
        <v/>
      </c>
      <c r="D2378" s="5" t="str">
        <f>IF('FUENTE NO BORRAR'!D2396="","",'FUENTE NO BORRAR'!D2396)</f>
        <v/>
      </c>
      <c r="E2378" s="5" t="str">
        <f>IF('FUENTE NO BORRAR'!E2396="","",'FUENTE NO BORRAR'!E2396)</f>
        <v/>
      </c>
      <c r="F2378" s="6">
        <f>IF('FUENTE NO BORRAR'!F2396="","",IF('FUENTE NO BORRAR'!$A2396&lt;&gt;"Resultado total",('FUENTE NO BORRAR'!F2396),""))</f>
        <v>6514.01</v>
      </c>
      <c r="G2378" s="6">
        <f>IF('FUENTE NO BORRAR'!G2396="","",IF('FUENTE NO BORRAR'!$A2396&lt;&gt;"Resultado total",('FUENTE NO BORRAR'!G2396),""))</f>
        <v>6514.01</v>
      </c>
      <c r="H2378" s="6">
        <f>IF('FUENTE NO BORRAR'!H2396="","",IF('FUENTE NO BORRAR'!$A2396&lt;&gt;"Resultado total",('FUENTE NO BORRAR'!H2396),""))</f>
        <v>6514.01</v>
      </c>
      <c r="I2378" s="6">
        <f>IF('FUENTE NO BORRAR'!I2396="","",IF('FUENTE NO BORRAR'!$A2396&lt;&gt;"Resultado total",('FUENTE NO BORRAR'!I2396),""))</f>
        <v>0</v>
      </c>
    </row>
    <row r="2379" spans="1:9" x14ac:dyDescent="0.2">
      <c r="A2379" s="5" t="str">
        <f>IF('FUENTE NO BORRAR'!A2397="","",(IF('FUENTE NO BORRAR'!A2397&lt;&gt;"Resultado total",'FUENTE NO BORRAR'!A2397,"")))</f>
        <v/>
      </c>
      <c r="B2379" s="5" t="str">
        <f>IF('FUENTE NO BORRAR'!B2397="","",'FUENTE NO BORRAR'!B2397)</f>
        <v/>
      </c>
      <c r="C2379" s="5" t="str">
        <f>IF('FUENTE NO BORRAR'!C2397="","",'FUENTE NO BORRAR'!C2397)</f>
        <v/>
      </c>
      <c r="D2379" s="5" t="str">
        <f>IF('FUENTE NO BORRAR'!D2397="","",'FUENTE NO BORRAR'!D2397)</f>
        <v/>
      </c>
      <c r="E2379" s="5" t="str">
        <f>IF('FUENTE NO BORRAR'!E2397="","",'FUENTE NO BORRAR'!E2397)</f>
        <v/>
      </c>
      <c r="F2379" s="6">
        <f>IF('FUENTE NO BORRAR'!F2397="","",IF('FUENTE NO BORRAR'!$A2397&lt;&gt;"Resultado total",('FUENTE NO BORRAR'!F2397),""))</f>
        <v>1061.4000000000001</v>
      </c>
      <c r="G2379" s="6">
        <f>IF('FUENTE NO BORRAR'!G2397="","",IF('FUENTE NO BORRAR'!$A2397&lt;&gt;"Resultado total",('FUENTE NO BORRAR'!G2397),""))</f>
        <v>1061.4000000000001</v>
      </c>
      <c r="H2379" s="6">
        <f>IF('FUENTE NO BORRAR'!H2397="","",IF('FUENTE NO BORRAR'!$A2397&lt;&gt;"Resultado total",('FUENTE NO BORRAR'!H2397),""))</f>
        <v>1061.4000000000001</v>
      </c>
      <c r="I2379" s="6">
        <f>IF('FUENTE NO BORRAR'!I2397="","",IF('FUENTE NO BORRAR'!$A2397&lt;&gt;"Resultado total",('FUENTE NO BORRAR'!I2397),""))</f>
        <v>0</v>
      </c>
    </row>
    <row r="2380" spans="1:9" x14ac:dyDescent="0.2">
      <c r="A2380" s="5" t="str">
        <f>IF('FUENTE NO BORRAR'!A2398="","",(IF('FUENTE NO BORRAR'!A2398&lt;&gt;"Resultado total",'FUENTE NO BORRAR'!A2398,"")))</f>
        <v/>
      </c>
      <c r="B2380" s="5" t="str">
        <f>IF('FUENTE NO BORRAR'!B2398="","",'FUENTE NO BORRAR'!B2398)</f>
        <v/>
      </c>
      <c r="C2380" s="5" t="str">
        <f>IF('FUENTE NO BORRAR'!C2398="","",'FUENTE NO BORRAR'!C2398)</f>
        <v/>
      </c>
      <c r="D2380" s="5" t="str">
        <f>IF('FUENTE NO BORRAR'!D2398="","",'FUENTE NO BORRAR'!D2398)</f>
        <v/>
      </c>
      <c r="E2380" s="5" t="str">
        <f>IF('FUENTE NO BORRAR'!E2398="","",'FUENTE NO BORRAR'!E2398)</f>
        <v/>
      </c>
      <c r="F2380" s="6">
        <f>IF('FUENTE NO BORRAR'!F2398="","",IF('FUENTE NO BORRAR'!$A2398&lt;&gt;"Resultado total",('FUENTE NO BORRAR'!F2398),""))</f>
        <v>13761.49</v>
      </c>
      <c r="G2380" s="6">
        <f>IF('FUENTE NO BORRAR'!G2398="","",IF('FUENTE NO BORRAR'!$A2398&lt;&gt;"Resultado total",('FUENTE NO BORRAR'!G2398),""))</f>
        <v>13761.49</v>
      </c>
      <c r="H2380" s="6">
        <f>IF('FUENTE NO BORRAR'!H2398="","",IF('FUENTE NO BORRAR'!$A2398&lt;&gt;"Resultado total",('FUENTE NO BORRAR'!H2398),""))</f>
        <v>13761.49</v>
      </c>
      <c r="I2380" s="6">
        <f>IF('FUENTE NO BORRAR'!I2398="","",IF('FUENTE NO BORRAR'!$A2398&lt;&gt;"Resultado total",('FUENTE NO BORRAR'!I2398),""))</f>
        <v>0</v>
      </c>
    </row>
    <row r="2381" spans="1:9" x14ac:dyDescent="0.2">
      <c r="A2381" s="5" t="str">
        <f>IF('FUENTE NO BORRAR'!A2399="","",(IF('FUENTE NO BORRAR'!A2399&lt;&gt;"Resultado total",'FUENTE NO BORRAR'!A2399,"")))</f>
        <v/>
      </c>
      <c r="B2381" s="5" t="str">
        <f>IF('FUENTE NO BORRAR'!B2399="","",'FUENTE NO BORRAR'!B2399)</f>
        <v/>
      </c>
      <c r="C2381" s="5" t="str">
        <f>IF('FUENTE NO BORRAR'!C2399="","",'FUENTE NO BORRAR'!C2399)</f>
        <v/>
      </c>
      <c r="D2381" s="5" t="str">
        <f>IF('FUENTE NO BORRAR'!D2399="","",'FUENTE NO BORRAR'!D2399)</f>
        <v/>
      </c>
      <c r="E2381" s="5" t="str">
        <f>IF('FUENTE NO BORRAR'!E2399="","",'FUENTE NO BORRAR'!E2399)</f>
        <v/>
      </c>
      <c r="F2381" s="6">
        <f>IF('FUENTE NO BORRAR'!F2399="","",IF('FUENTE NO BORRAR'!$A2399&lt;&gt;"Resultado total",('FUENTE NO BORRAR'!F2399),""))</f>
        <v>11798.47</v>
      </c>
      <c r="G2381" s="6">
        <f>IF('FUENTE NO BORRAR'!G2399="","",IF('FUENTE NO BORRAR'!$A2399&lt;&gt;"Resultado total",('FUENTE NO BORRAR'!G2399),""))</f>
        <v>11798.47</v>
      </c>
      <c r="H2381" s="6">
        <f>IF('FUENTE NO BORRAR'!H2399="","",IF('FUENTE NO BORRAR'!$A2399&lt;&gt;"Resultado total",('FUENTE NO BORRAR'!H2399),""))</f>
        <v>11798.47</v>
      </c>
      <c r="I2381" s="6">
        <f>IF('FUENTE NO BORRAR'!I2399="","",IF('FUENTE NO BORRAR'!$A2399&lt;&gt;"Resultado total",('FUENTE NO BORRAR'!I2399),""))</f>
        <v>0</v>
      </c>
    </row>
    <row r="2382" spans="1:9" x14ac:dyDescent="0.2">
      <c r="A2382" s="5" t="str">
        <f>IF('FUENTE NO BORRAR'!A2400="","",(IF('FUENTE NO BORRAR'!A2400&lt;&gt;"Resultado total",'FUENTE NO BORRAR'!A2400,"")))</f>
        <v/>
      </c>
      <c r="B2382" s="5" t="str">
        <f>IF('FUENTE NO BORRAR'!B2400="","",'FUENTE NO BORRAR'!B2400)</f>
        <v/>
      </c>
      <c r="C2382" s="5" t="str">
        <f>IF('FUENTE NO BORRAR'!C2400="","",'FUENTE NO BORRAR'!C2400)</f>
        <v/>
      </c>
      <c r="D2382" s="5" t="str">
        <f>IF('FUENTE NO BORRAR'!D2400="","",'FUENTE NO BORRAR'!D2400)</f>
        <v/>
      </c>
      <c r="E2382" s="5" t="str">
        <f>IF('FUENTE NO BORRAR'!E2400="","",'FUENTE NO BORRAR'!E2400)</f>
        <v/>
      </c>
      <c r="F2382" s="6">
        <f>IF('FUENTE NO BORRAR'!F2400="","",IF('FUENTE NO BORRAR'!$A2400&lt;&gt;"Resultado total",('FUENTE NO BORRAR'!F2400),""))</f>
        <v>807.3</v>
      </c>
      <c r="G2382" s="6">
        <f>IF('FUENTE NO BORRAR'!G2400="","",IF('FUENTE NO BORRAR'!$A2400&lt;&gt;"Resultado total",('FUENTE NO BORRAR'!G2400),""))</f>
        <v>807.3</v>
      </c>
      <c r="H2382" s="6">
        <f>IF('FUENTE NO BORRAR'!H2400="","",IF('FUENTE NO BORRAR'!$A2400&lt;&gt;"Resultado total",('FUENTE NO BORRAR'!H2400),""))</f>
        <v>807.3</v>
      </c>
      <c r="I2382" s="6">
        <f>IF('FUENTE NO BORRAR'!I2400="","",IF('FUENTE NO BORRAR'!$A2400&lt;&gt;"Resultado total",('FUENTE NO BORRAR'!I2400),""))</f>
        <v>0</v>
      </c>
    </row>
    <row r="2383" spans="1:9" x14ac:dyDescent="0.2">
      <c r="A2383" s="5" t="str">
        <f>IF('FUENTE NO BORRAR'!A2401="","",(IF('FUENTE NO BORRAR'!A2401&lt;&gt;"Resultado total",'FUENTE NO BORRAR'!A2401,"")))</f>
        <v/>
      </c>
      <c r="B2383" s="5" t="str">
        <f>IF('FUENTE NO BORRAR'!B2401="","",'FUENTE NO BORRAR'!B2401)</f>
        <v/>
      </c>
      <c r="C2383" s="5" t="str">
        <f>IF('FUENTE NO BORRAR'!C2401="","",'FUENTE NO BORRAR'!C2401)</f>
        <v/>
      </c>
      <c r="D2383" s="5" t="str">
        <f>IF('FUENTE NO BORRAR'!D2401="","",'FUENTE NO BORRAR'!D2401)</f>
        <v/>
      </c>
      <c r="E2383" s="5" t="str">
        <f>IF('FUENTE NO BORRAR'!E2401="","",'FUENTE NO BORRAR'!E2401)</f>
        <v/>
      </c>
      <c r="F2383" s="6">
        <f>IF('FUENTE NO BORRAR'!F2401="","",IF('FUENTE NO BORRAR'!$A2401&lt;&gt;"Resultado total",('FUENTE NO BORRAR'!F2401),""))</f>
        <v>5342.77</v>
      </c>
      <c r="G2383" s="6">
        <f>IF('FUENTE NO BORRAR'!G2401="","",IF('FUENTE NO BORRAR'!$A2401&lt;&gt;"Resultado total",('FUENTE NO BORRAR'!G2401),""))</f>
        <v>5342.77</v>
      </c>
      <c r="H2383" s="6">
        <f>IF('FUENTE NO BORRAR'!H2401="","",IF('FUENTE NO BORRAR'!$A2401&lt;&gt;"Resultado total",('FUENTE NO BORRAR'!H2401),""))</f>
        <v>5342.77</v>
      </c>
      <c r="I2383" s="6">
        <f>IF('FUENTE NO BORRAR'!I2401="","",IF('FUENTE NO BORRAR'!$A2401&lt;&gt;"Resultado total",('FUENTE NO BORRAR'!I2401),""))</f>
        <v>0</v>
      </c>
    </row>
    <row r="2384" spans="1:9" x14ac:dyDescent="0.2">
      <c r="A2384" s="5" t="str">
        <f>IF('FUENTE NO BORRAR'!A2402="","",(IF('FUENTE NO BORRAR'!A2402&lt;&gt;"Resultado total",'FUENTE NO BORRAR'!A2402,"")))</f>
        <v/>
      </c>
      <c r="B2384" s="5" t="str">
        <f>IF('FUENTE NO BORRAR'!B2402="","",'FUENTE NO BORRAR'!B2402)</f>
        <v/>
      </c>
      <c r="C2384" s="5" t="str">
        <f>IF('FUENTE NO BORRAR'!C2402="","",'FUENTE NO BORRAR'!C2402)</f>
        <v/>
      </c>
      <c r="D2384" s="5" t="str">
        <f>IF('FUENTE NO BORRAR'!D2402="","",'FUENTE NO BORRAR'!D2402)</f>
        <v/>
      </c>
      <c r="E2384" s="5" t="str">
        <f>IF('FUENTE NO BORRAR'!E2402="","",'FUENTE NO BORRAR'!E2402)</f>
        <v/>
      </c>
      <c r="F2384" s="6">
        <f>IF('FUENTE NO BORRAR'!F2402="","",IF('FUENTE NO BORRAR'!$A2402&lt;&gt;"Resultado total",('FUENTE NO BORRAR'!F2402),""))</f>
        <v>10134.92</v>
      </c>
      <c r="G2384" s="6">
        <f>IF('FUENTE NO BORRAR'!G2402="","",IF('FUENTE NO BORRAR'!$A2402&lt;&gt;"Resultado total",('FUENTE NO BORRAR'!G2402),""))</f>
        <v>10134.92</v>
      </c>
      <c r="H2384" s="6">
        <f>IF('FUENTE NO BORRAR'!H2402="","",IF('FUENTE NO BORRAR'!$A2402&lt;&gt;"Resultado total",('FUENTE NO BORRAR'!H2402),""))</f>
        <v>9870.44</v>
      </c>
      <c r="I2384" s="6">
        <f>IF('FUENTE NO BORRAR'!I2402="","",IF('FUENTE NO BORRAR'!$A2402&lt;&gt;"Resultado total",('FUENTE NO BORRAR'!I2402),""))</f>
        <v>0</v>
      </c>
    </row>
    <row r="2385" spans="1:9" x14ac:dyDescent="0.2">
      <c r="A2385" s="5" t="str">
        <f>IF('FUENTE NO BORRAR'!A2403="","",(IF('FUENTE NO BORRAR'!A2403&lt;&gt;"Resultado total",'FUENTE NO BORRAR'!A2403,"")))</f>
        <v/>
      </c>
      <c r="B2385" s="5" t="str">
        <f>IF('FUENTE NO BORRAR'!B2403="","",'FUENTE NO BORRAR'!B2403)</f>
        <v/>
      </c>
      <c r="C2385" s="5" t="str">
        <f>IF('FUENTE NO BORRAR'!C2403="","",'FUENTE NO BORRAR'!C2403)</f>
        <v/>
      </c>
      <c r="D2385" s="5" t="str">
        <f>IF('FUENTE NO BORRAR'!D2403="","",'FUENTE NO BORRAR'!D2403)</f>
        <v/>
      </c>
      <c r="E2385" s="5" t="str">
        <f>IF('FUENTE NO BORRAR'!E2403="","",'FUENTE NO BORRAR'!E2403)</f>
        <v/>
      </c>
      <c r="F2385" s="6">
        <f>IF('FUENTE NO BORRAR'!F2403="","",IF('FUENTE NO BORRAR'!$A2403&lt;&gt;"Resultado total",('FUENTE NO BORRAR'!F2403),""))</f>
        <v>75.010000000000005</v>
      </c>
      <c r="G2385" s="6">
        <f>IF('FUENTE NO BORRAR'!G2403="","",IF('FUENTE NO BORRAR'!$A2403&lt;&gt;"Resultado total",('FUENTE NO BORRAR'!G2403),""))</f>
        <v>75.010000000000005</v>
      </c>
      <c r="H2385" s="6">
        <f>IF('FUENTE NO BORRAR'!H2403="","",IF('FUENTE NO BORRAR'!$A2403&lt;&gt;"Resultado total",('FUENTE NO BORRAR'!H2403),""))</f>
        <v>75.010000000000005</v>
      </c>
      <c r="I2385" s="6">
        <f>IF('FUENTE NO BORRAR'!I2403="","",IF('FUENTE NO BORRAR'!$A2403&lt;&gt;"Resultado total",('FUENTE NO BORRAR'!I2403),""))</f>
        <v>0</v>
      </c>
    </row>
    <row r="2386" spans="1:9" x14ac:dyDescent="0.2">
      <c r="A2386" s="5" t="str">
        <f>IF('FUENTE NO BORRAR'!A2404="","",(IF('FUENTE NO BORRAR'!A2404&lt;&gt;"Resultado total",'FUENTE NO BORRAR'!A2404,"")))</f>
        <v/>
      </c>
      <c r="B2386" s="5" t="str">
        <f>IF('FUENTE NO BORRAR'!B2404="","",'FUENTE NO BORRAR'!B2404)</f>
        <v/>
      </c>
      <c r="C2386" s="5" t="str">
        <f>IF('FUENTE NO BORRAR'!C2404="","",'FUENTE NO BORRAR'!C2404)</f>
        <v/>
      </c>
      <c r="D2386" s="5" t="str">
        <f>IF('FUENTE NO BORRAR'!D2404="","",'FUENTE NO BORRAR'!D2404)</f>
        <v/>
      </c>
      <c r="E2386" s="5" t="str">
        <f>IF('FUENTE NO BORRAR'!E2404="","",'FUENTE NO BORRAR'!E2404)</f>
        <v/>
      </c>
      <c r="F2386" s="6">
        <f>IF('FUENTE NO BORRAR'!F2404="","",IF('FUENTE NO BORRAR'!$A2404&lt;&gt;"Resultado total",('FUENTE NO BORRAR'!F2404),""))</f>
        <v>54000.32</v>
      </c>
      <c r="G2386" s="6">
        <f>IF('FUENTE NO BORRAR'!G2404="","",IF('FUENTE NO BORRAR'!$A2404&lt;&gt;"Resultado total",('FUENTE NO BORRAR'!G2404),""))</f>
        <v>54000.32</v>
      </c>
      <c r="H2386" s="6">
        <f>IF('FUENTE NO BORRAR'!H2404="","",IF('FUENTE NO BORRAR'!$A2404&lt;&gt;"Resultado total",('FUENTE NO BORRAR'!H2404),""))</f>
        <v>54000.32</v>
      </c>
      <c r="I2386" s="6">
        <f>IF('FUENTE NO BORRAR'!I2404="","",IF('FUENTE NO BORRAR'!$A2404&lt;&gt;"Resultado total",('FUENTE NO BORRAR'!I2404),""))</f>
        <v>0</v>
      </c>
    </row>
    <row r="2387" spans="1:9" x14ac:dyDescent="0.2">
      <c r="A2387" s="5" t="str">
        <f>IF('FUENTE NO BORRAR'!A2405="","",(IF('FUENTE NO BORRAR'!A2405&lt;&gt;"Resultado total",'FUENTE NO BORRAR'!A2405,"")))</f>
        <v/>
      </c>
      <c r="B2387" s="5" t="str">
        <f>IF('FUENTE NO BORRAR'!B2405="","",'FUENTE NO BORRAR'!B2405)</f>
        <v/>
      </c>
      <c r="C2387" s="5" t="str">
        <f>IF('FUENTE NO BORRAR'!C2405="","",'FUENTE NO BORRAR'!C2405)</f>
        <v/>
      </c>
      <c r="D2387" s="5" t="str">
        <f>IF('FUENTE NO BORRAR'!D2405="","",'FUENTE NO BORRAR'!D2405)</f>
        <v/>
      </c>
      <c r="E2387" s="5" t="str">
        <f>IF('FUENTE NO BORRAR'!E2405="","",'FUENTE NO BORRAR'!E2405)</f>
        <v/>
      </c>
      <c r="F2387" s="6">
        <f>IF('FUENTE NO BORRAR'!F2405="","",IF('FUENTE NO BORRAR'!$A2405&lt;&gt;"Resultado total",('FUENTE NO BORRAR'!F2405),""))</f>
        <v>172651.19</v>
      </c>
      <c r="G2387" s="6">
        <f>IF('FUENTE NO BORRAR'!G2405="","",IF('FUENTE NO BORRAR'!$A2405&lt;&gt;"Resultado total",('FUENTE NO BORRAR'!G2405),""))</f>
        <v>172651.19</v>
      </c>
      <c r="H2387" s="6">
        <f>IF('FUENTE NO BORRAR'!H2405="","",IF('FUENTE NO BORRAR'!$A2405&lt;&gt;"Resultado total",('FUENTE NO BORRAR'!H2405),""))</f>
        <v>171646.19</v>
      </c>
      <c r="I2387" s="6">
        <f>IF('FUENTE NO BORRAR'!I2405="","",IF('FUENTE NO BORRAR'!$A2405&lt;&gt;"Resultado total",('FUENTE NO BORRAR'!I2405),""))</f>
        <v>0</v>
      </c>
    </row>
    <row r="2388" spans="1:9" x14ac:dyDescent="0.2">
      <c r="A2388" s="5" t="str">
        <f>IF('FUENTE NO BORRAR'!A2406="","",(IF('FUENTE NO BORRAR'!A2406&lt;&gt;"Resultado total",'FUENTE NO BORRAR'!A2406,"")))</f>
        <v/>
      </c>
      <c r="B2388" s="5" t="str">
        <f>IF('FUENTE NO BORRAR'!B2406="","",'FUENTE NO BORRAR'!B2406)</f>
        <v/>
      </c>
      <c r="C2388" s="5" t="str">
        <f>IF('FUENTE NO BORRAR'!C2406="","",'FUENTE NO BORRAR'!C2406)</f>
        <v/>
      </c>
      <c r="D2388" s="5" t="str">
        <f>IF('FUENTE NO BORRAR'!D2406="","",'FUENTE NO BORRAR'!D2406)</f>
        <v/>
      </c>
      <c r="E2388" s="5" t="str">
        <f>IF('FUENTE NO BORRAR'!E2406="","",'FUENTE NO BORRAR'!E2406)</f>
        <v/>
      </c>
      <c r="F2388" s="6">
        <f>IF('FUENTE NO BORRAR'!F2406="","",IF('FUENTE NO BORRAR'!$A2406&lt;&gt;"Resultado total",('FUENTE NO BORRAR'!F2406),""))</f>
        <v>15157</v>
      </c>
      <c r="G2388" s="6">
        <f>IF('FUENTE NO BORRAR'!G2406="","",IF('FUENTE NO BORRAR'!$A2406&lt;&gt;"Resultado total",('FUENTE NO BORRAR'!G2406),""))</f>
        <v>15157</v>
      </c>
      <c r="H2388" s="6">
        <f>IF('FUENTE NO BORRAR'!H2406="","",IF('FUENTE NO BORRAR'!$A2406&lt;&gt;"Resultado total",('FUENTE NO BORRAR'!H2406),""))</f>
        <v>15157</v>
      </c>
      <c r="I2388" s="6">
        <f>IF('FUENTE NO BORRAR'!I2406="","",IF('FUENTE NO BORRAR'!$A2406&lt;&gt;"Resultado total",('FUENTE NO BORRAR'!I2406),""))</f>
        <v>0</v>
      </c>
    </row>
    <row r="2389" spans="1:9" x14ac:dyDescent="0.2">
      <c r="A2389" s="5" t="str">
        <f>IF('FUENTE NO BORRAR'!A2407="","",(IF('FUENTE NO BORRAR'!A2407&lt;&gt;"Resultado total",'FUENTE NO BORRAR'!A2407,"")))</f>
        <v/>
      </c>
      <c r="B2389" s="5" t="str">
        <f>IF('FUENTE NO BORRAR'!B2407="","",'FUENTE NO BORRAR'!B2407)</f>
        <v/>
      </c>
      <c r="C2389" s="5" t="str">
        <f>IF('FUENTE NO BORRAR'!C2407="","",'FUENTE NO BORRAR'!C2407)</f>
        <v/>
      </c>
      <c r="D2389" s="5" t="str">
        <f>IF('FUENTE NO BORRAR'!D2407="","",'FUENTE NO BORRAR'!D2407)</f>
        <v/>
      </c>
      <c r="E2389" s="5" t="str">
        <f>IF('FUENTE NO BORRAR'!E2407="","",'FUENTE NO BORRAR'!E2407)</f>
        <v/>
      </c>
      <c r="F2389" s="6">
        <f>IF('FUENTE NO BORRAR'!F2407="","",IF('FUENTE NO BORRAR'!$A2407&lt;&gt;"Resultado total",('FUENTE NO BORRAR'!F2407),""))</f>
        <v>82717.279999999999</v>
      </c>
      <c r="G2389" s="6">
        <f>IF('FUENTE NO BORRAR'!G2407="","",IF('FUENTE NO BORRAR'!$A2407&lt;&gt;"Resultado total",('FUENTE NO BORRAR'!G2407),""))</f>
        <v>82717.279999999999</v>
      </c>
      <c r="H2389" s="6">
        <f>IF('FUENTE NO BORRAR'!H2407="","",IF('FUENTE NO BORRAR'!$A2407&lt;&gt;"Resultado total",('FUENTE NO BORRAR'!H2407),""))</f>
        <v>82717.279999999999</v>
      </c>
      <c r="I2389" s="6">
        <f>IF('FUENTE NO BORRAR'!I2407="","",IF('FUENTE NO BORRAR'!$A2407&lt;&gt;"Resultado total",('FUENTE NO BORRAR'!I2407),""))</f>
        <v>0</v>
      </c>
    </row>
    <row r="2390" spans="1:9" x14ac:dyDescent="0.2">
      <c r="A2390" s="5" t="str">
        <f>IF('FUENTE NO BORRAR'!A2408="","",(IF('FUENTE NO BORRAR'!A2408&lt;&gt;"Resultado total",'FUENTE NO BORRAR'!A2408,"")))</f>
        <v/>
      </c>
      <c r="B2390" s="5" t="str">
        <f>IF('FUENTE NO BORRAR'!B2408="","",'FUENTE NO BORRAR'!B2408)</f>
        <v/>
      </c>
      <c r="C2390" s="5" t="str">
        <f>IF('FUENTE NO BORRAR'!C2408="","",'FUENTE NO BORRAR'!C2408)</f>
        <v/>
      </c>
      <c r="D2390" s="5" t="str">
        <f>IF('FUENTE NO BORRAR'!D2408="","",'FUENTE NO BORRAR'!D2408)</f>
        <v/>
      </c>
      <c r="E2390" s="5" t="str">
        <f>IF('FUENTE NO BORRAR'!E2408="","",'FUENTE NO BORRAR'!E2408)</f>
        <v/>
      </c>
      <c r="F2390" s="6">
        <f>IF('FUENTE NO BORRAR'!F2408="","",IF('FUENTE NO BORRAR'!$A2408&lt;&gt;"Resultado total",('FUENTE NO BORRAR'!F2408),""))</f>
        <v>167040</v>
      </c>
      <c r="G2390" s="6">
        <f>IF('FUENTE NO BORRAR'!G2408="","",IF('FUENTE NO BORRAR'!$A2408&lt;&gt;"Resultado total",('FUENTE NO BORRAR'!G2408),""))</f>
        <v>167040</v>
      </c>
      <c r="H2390" s="6">
        <f>IF('FUENTE NO BORRAR'!H2408="","",IF('FUENTE NO BORRAR'!$A2408&lt;&gt;"Resultado total",('FUENTE NO BORRAR'!H2408),""))</f>
        <v>167040</v>
      </c>
      <c r="I2390" s="6">
        <f>IF('FUENTE NO BORRAR'!I2408="","",IF('FUENTE NO BORRAR'!$A2408&lt;&gt;"Resultado total",('FUENTE NO BORRAR'!I2408),""))</f>
        <v>0</v>
      </c>
    </row>
    <row r="2391" spans="1:9" x14ac:dyDescent="0.2">
      <c r="A2391" s="5" t="str">
        <f>IF('FUENTE NO BORRAR'!A2409="","",(IF('FUENTE NO BORRAR'!A2409&lt;&gt;"Resultado total",'FUENTE NO BORRAR'!A2409,"")))</f>
        <v/>
      </c>
      <c r="B2391" s="5" t="str">
        <f>IF('FUENTE NO BORRAR'!B2409="","",'FUENTE NO BORRAR'!B2409)</f>
        <v/>
      </c>
      <c r="C2391" s="5" t="str">
        <f>IF('FUENTE NO BORRAR'!C2409="","",'FUENTE NO BORRAR'!C2409)</f>
        <v/>
      </c>
      <c r="D2391" s="5" t="str">
        <f>IF('FUENTE NO BORRAR'!D2409="","",'FUENTE NO BORRAR'!D2409)</f>
        <v/>
      </c>
      <c r="E2391" s="5" t="str">
        <f>IF('FUENTE NO BORRAR'!E2409="","",'FUENTE NO BORRAR'!E2409)</f>
        <v/>
      </c>
      <c r="F2391" s="6">
        <f>IF('FUENTE NO BORRAR'!F2409="","",IF('FUENTE NO BORRAR'!$A2409&lt;&gt;"Resultado total",('FUENTE NO BORRAR'!F2409),""))</f>
        <v>0</v>
      </c>
      <c r="G2391" s="6">
        <f>IF('FUENTE NO BORRAR'!G2409="","",IF('FUENTE NO BORRAR'!$A2409&lt;&gt;"Resultado total",('FUENTE NO BORRAR'!G2409),""))</f>
        <v>0</v>
      </c>
      <c r="H2391" s="6">
        <f>IF('FUENTE NO BORRAR'!H2409="","",IF('FUENTE NO BORRAR'!$A2409&lt;&gt;"Resultado total",('FUENTE NO BORRAR'!H2409),""))</f>
        <v>0</v>
      </c>
      <c r="I2391" s="6">
        <f>IF('FUENTE NO BORRAR'!I2409="","",IF('FUENTE NO BORRAR'!$A2409&lt;&gt;"Resultado total",('FUENTE NO BORRAR'!I2409),""))</f>
        <v>0</v>
      </c>
    </row>
    <row r="2392" spans="1:9" x14ac:dyDescent="0.2">
      <c r="A2392" s="5" t="str">
        <f>IF('FUENTE NO BORRAR'!A2410="","",(IF('FUENTE NO BORRAR'!A2410&lt;&gt;"Resultado total",'FUENTE NO BORRAR'!A2410,"")))</f>
        <v/>
      </c>
      <c r="B2392" s="5" t="str">
        <f>IF('FUENTE NO BORRAR'!B2410="","",'FUENTE NO BORRAR'!B2410)</f>
        <v/>
      </c>
      <c r="C2392" s="5" t="str">
        <f>IF('FUENTE NO BORRAR'!C2410="","",'FUENTE NO BORRAR'!C2410)</f>
        <v/>
      </c>
      <c r="D2392" s="5" t="str">
        <f>IF('FUENTE NO BORRAR'!D2410="","",'FUENTE NO BORRAR'!D2410)</f>
        <v/>
      </c>
      <c r="E2392" s="5" t="str">
        <f>IF('FUENTE NO BORRAR'!E2410="","",'FUENTE NO BORRAR'!E2410)</f>
        <v/>
      </c>
      <c r="F2392" s="6">
        <f>IF('FUENTE NO BORRAR'!F2410="","",IF('FUENTE NO BORRAR'!$A2410&lt;&gt;"Resultado total",('FUENTE NO BORRAR'!F2410),""))</f>
        <v>1404485.55</v>
      </c>
      <c r="G2392" s="6">
        <f>IF('FUENTE NO BORRAR'!G2410="","",IF('FUENTE NO BORRAR'!$A2410&lt;&gt;"Resultado total",('FUENTE NO BORRAR'!G2410),""))</f>
        <v>1404485.55</v>
      </c>
      <c r="H2392" s="6">
        <f>IF('FUENTE NO BORRAR'!H2410="","",IF('FUENTE NO BORRAR'!$A2410&lt;&gt;"Resultado total",('FUENTE NO BORRAR'!H2410),""))</f>
        <v>1290513.47</v>
      </c>
      <c r="I2392" s="6">
        <f>IF('FUENTE NO BORRAR'!I2410="","",IF('FUENTE NO BORRAR'!$A2410&lt;&gt;"Resultado total",('FUENTE NO BORRAR'!I2410),""))</f>
        <v>0</v>
      </c>
    </row>
    <row r="2393" spans="1:9" x14ac:dyDescent="0.2">
      <c r="A2393" s="5" t="str">
        <f>IF('FUENTE NO BORRAR'!A2411="","",(IF('FUENTE NO BORRAR'!A2411&lt;&gt;"Resultado total",'FUENTE NO BORRAR'!A2411,"")))</f>
        <v/>
      </c>
      <c r="B2393" s="5" t="str">
        <f>IF('FUENTE NO BORRAR'!B2411="","",'FUENTE NO BORRAR'!B2411)</f>
        <v/>
      </c>
      <c r="C2393" s="5" t="str">
        <f>IF('FUENTE NO BORRAR'!C2411="","",'FUENTE NO BORRAR'!C2411)</f>
        <v/>
      </c>
      <c r="D2393" s="5" t="str">
        <f>IF('FUENTE NO BORRAR'!D2411="","",'FUENTE NO BORRAR'!D2411)</f>
        <v/>
      </c>
      <c r="E2393" s="5" t="str">
        <f>IF('FUENTE NO BORRAR'!E2411="","",'FUENTE NO BORRAR'!E2411)</f>
        <v/>
      </c>
      <c r="F2393" s="6">
        <f>IF('FUENTE NO BORRAR'!F2411="","",IF('FUENTE NO BORRAR'!$A2411&lt;&gt;"Resultado total",('FUENTE NO BORRAR'!F2411),""))</f>
        <v>0</v>
      </c>
      <c r="G2393" s="6">
        <f>IF('FUENTE NO BORRAR'!G2411="","",IF('FUENTE NO BORRAR'!$A2411&lt;&gt;"Resultado total",('FUENTE NO BORRAR'!G2411),""))</f>
        <v>0</v>
      </c>
      <c r="H2393" s="6">
        <f>IF('FUENTE NO BORRAR'!H2411="","",IF('FUENTE NO BORRAR'!$A2411&lt;&gt;"Resultado total",('FUENTE NO BORRAR'!H2411),""))</f>
        <v>0</v>
      </c>
      <c r="I2393" s="6">
        <f>IF('FUENTE NO BORRAR'!I2411="","",IF('FUENTE NO BORRAR'!$A2411&lt;&gt;"Resultado total",('FUENTE NO BORRAR'!I2411),""))</f>
        <v>0</v>
      </c>
    </row>
    <row r="2394" spans="1:9" x14ac:dyDescent="0.2">
      <c r="A2394" s="5" t="str">
        <f>IF('FUENTE NO BORRAR'!A2412="","",(IF('FUENTE NO BORRAR'!A2412&lt;&gt;"Resultado total",'FUENTE NO BORRAR'!A2412,"")))</f>
        <v/>
      </c>
      <c r="B2394" s="5" t="str">
        <f>IF('FUENTE NO BORRAR'!B2412="","",'FUENTE NO BORRAR'!B2412)</f>
        <v/>
      </c>
      <c r="C2394" s="5" t="str">
        <f>IF('FUENTE NO BORRAR'!C2412="","",'FUENTE NO BORRAR'!C2412)</f>
        <v/>
      </c>
      <c r="D2394" s="5" t="str">
        <f>IF('FUENTE NO BORRAR'!D2412="","",'FUENTE NO BORRAR'!D2412)</f>
        <v/>
      </c>
      <c r="E2394" s="5" t="str">
        <f>IF('FUENTE NO BORRAR'!E2412="","",'FUENTE NO BORRAR'!E2412)</f>
        <v/>
      </c>
      <c r="F2394" s="6">
        <f>IF('FUENTE NO BORRAR'!F2412="","",IF('FUENTE NO BORRAR'!$A2412&lt;&gt;"Resultado total",('FUENTE NO BORRAR'!F2412),""))</f>
        <v>839871.52</v>
      </c>
      <c r="G2394" s="6">
        <f>IF('FUENTE NO BORRAR'!G2412="","",IF('FUENTE NO BORRAR'!$A2412&lt;&gt;"Resultado total",('FUENTE NO BORRAR'!G2412),""))</f>
        <v>839871.52</v>
      </c>
      <c r="H2394" s="6">
        <f>IF('FUENTE NO BORRAR'!H2412="","",IF('FUENTE NO BORRAR'!$A2412&lt;&gt;"Resultado total",('FUENTE NO BORRAR'!H2412),""))</f>
        <v>792176.38</v>
      </c>
      <c r="I2394" s="6">
        <f>IF('FUENTE NO BORRAR'!I2412="","",IF('FUENTE NO BORRAR'!$A2412&lt;&gt;"Resultado total",('FUENTE NO BORRAR'!I2412),""))</f>
        <v>0</v>
      </c>
    </row>
    <row r="2395" spans="1:9" x14ac:dyDescent="0.2">
      <c r="A2395" s="5" t="str">
        <f>IF('FUENTE NO BORRAR'!A2413="","",(IF('FUENTE NO BORRAR'!A2413&lt;&gt;"Resultado total",'FUENTE NO BORRAR'!A2413,"")))</f>
        <v/>
      </c>
      <c r="B2395" s="5" t="str">
        <f>IF('FUENTE NO BORRAR'!B2413="","",'FUENTE NO BORRAR'!B2413)</f>
        <v/>
      </c>
      <c r="C2395" s="5" t="str">
        <f>IF('FUENTE NO BORRAR'!C2413="","",'FUENTE NO BORRAR'!C2413)</f>
        <v/>
      </c>
      <c r="D2395" s="5" t="str">
        <f>IF('FUENTE NO BORRAR'!D2413="","",'FUENTE NO BORRAR'!D2413)</f>
        <v/>
      </c>
      <c r="E2395" s="5" t="str">
        <f>IF('FUENTE NO BORRAR'!E2413="","",'FUENTE NO BORRAR'!E2413)</f>
        <v/>
      </c>
      <c r="F2395" s="6">
        <f>IF('FUENTE NO BORRAR'!F2413="","",IF('FUENTE NO BORRAR'!$A2413&lt;&gt;"Resultado total",('FUENTE NO BORRAR'!F2413),""))</f>
        <v>427673.9</v>
      </c>
      <c r="G2395" s="6">
        <f>IF('FUENTE NO BORRAR'!G2413="","",IF('FUENTE NO BORRAR'!$A2413&lt;&gt;"Resultado total",('FUENTE NO BORRAR'!G2413),""))</f>
        <v>427673.9</v>
      </c>
      <c r="H2395" s="6">
        <f>IF('FUENTE NO BORRAR'!H2413="","",IF('FUENTE NO BORRAR'!$A2413&lt;&gt;"Resultado total",('FUENTE NO BORRAR'!H2413),""))</f>
        <v>213836.95</v>
      </c>
      <c r="I2395" s="6">
        <f>IF('FUENTE NO BORRAR'!I2413="","",IF('FUENTE NO BORRAR'!$A2413&lt;&gt;"Resultado total",('FUENTE NO BORRAR'!I2413),""))</f>
        <v>0</v>
      </c>
    </row>
    <row r="2396" spans="1:9" x14ac:dyDescent="0.2">
      <c r="A2396" s="5" t="str">
        <f>IF('FUENTE NO BORRAR'!A2414="","",(IF('FUENTE NO BORRAR'!A2414&lt;&gt;"Resultado total",'FUENTE NO BORRAR'!A2414,"")))</f>
        <v/>
      </c>
      <c r="B2396" s="5" t="str">
        <f>IF('FUENTE NO BORRAR'!B2414="","",'FUENTE NO BORRAR'!B2414)</f>
        <v/>
      </c>
      <c r="C2396" s="5" t="str">
        <f>IF('FUENTE NO BORRAR'!C2414="","",'FUENTE NO BORRAR'!C2414)</f>
        <v/>
      </c>
      <c r="D2396" s="5" t="str">
        <f>IF('FUENTE NO BORRAR'!D2414="","",'FUENTE NO BORRAR'!D2414)</f>
        <v/>
      </c>
      <c r="E2396" s="5" t="str">
        <f>IF('FUENTE NO BORRAR'!E2414="","",'FUENTE NO BORRAR'!E2414)</f>
        <v/>
      </c>
      <c r="F2396" s="6">
        <f>IF('FUENTE NO BORRAR'!F2414="","",IF('FUENTE NO BORRAR'!$A2414&lt;&gt;"Resultado total",('FUENTE NO BORRAR'!F2414),""))</f>
        <v>1329361.9199999999</v>
      </c>
      <c r="G2396" s="6">
        <f>IF('FUENTE NO BORRAR'!G2414="","",IF('FUENTE NO BORRAR'!$A2414&lt;&gt;"Resultado total",('FUENTE NO BORRAR'!G2414),""))</f>
        <v>1329361.9199999999</v>
      </c>
      <c r="H2396" s="6">
        <f>IF('FUENTE NO BORRAR'!H2414="","",IF('FUENTE NO BORRAR'!$A2414&lt;&gt;"Resultado total",('FUENTE NO BORRAR'!H2414),""))</f>
        <v>1329361.9199999999</v>
      </c>
      <c r="I2396" s="6">
        <f>IF('FUENTE NO BORRAR'!I2414="","",IF('FUENTE NO BORRAR'!$A2414&lt;&gt;"Resultado total",('FUENTE NO BORRAR'!I2414),""))</f>
        <v>1.0000000000000001E-9</v>
      </c>
    </row>
    <row r="2397" spans="1:9" x14ac:dyDescent="0.2">
      <c r="A2397" s="5" t="str">
        <f>IF('FUENTE NO BORRAR'!A2415="","",(IF('FUENTE NO BORRAR'!A2415&lt;&gt;"Resultado total",'FUENTE NO BORRAR'!A2415,"")))</f>
        <v/>
      </c>
      <c r="B2397" s="5" t="str">
        <f>IF('FUENTE NO BORRAR'!B2415="","",'FUENTE NO BORRAR'!B2415)</f>
        <v/>
      </c>
      <c r="C2397" s="5" t="str">
        <f>IF('FUENTE NO BORRAR'!C2415="","",'FUENTE NO BORRAR'!C2415)</f>
        <v/>
      </c>
      <c r="D2397" s="5" t="str">
        <f>IF('FUENTE NO BORRAR'!D2415="","",'FUENTE NO BORRAR'!D2415)</f>
        <v/>
      </c>
      <c r="E2397" s="5" t="str">
        <f>IF('FUENTE NO BORRAR'!E2415="","",'FUENTE NO BORRAR'!E2415)</f>
        <v/>
      </c>
      <c r="F2397" s="6">
        <f>IF('FUENTE NO BORRAR'!F2415="","",IF('FUENTE NO BORRAR'!$A2415&lt;&gt;"Resultado total",('FUENTE NO BORRAR'!F2415),""))</f>
        <v>50460</v>
      </c>
      <c r="G2397" s="6">
        <f>IF('FUENTE NO BORRAR'!G2415="","",IF('FUENTE NO BORRAR'!$A2415&lt;&gt;"Resultado total",('FUENTE NO BORRAR'!G2415),""))</f>
        <v>50460</v>
      </c>
      <c r="H2397" s="6">
        <f>IF('FUENTE NO BORRAR'!H2415="","",IF('FUENTE NO BORRAR'!$A2415&lt;&gt;"Resultado total",('FUENTE NO BORRAR'!H2415),""))</f>
        <v>50460</v>
      </c>
      <c r="I2397" s="6">
        <f>IF('FUENTE NO BORRAR'!I2415="","",IF('FUENTE NO BORRAR'!$A2415&lt;&gt;"Resultado total",('FUENTE NO BORRAR'!I2415),""))</f>
        <v>0</v>
      </c>
    </row>
    <row r="2398" spans="1:9" x14ac:dyDescent="0.2">
      <c r="A2398" s="5" t="str">
        <f>IF('FUENTE NO BORRAR'!A2416="","",(IF('FUENTE NO BORRAR'!A2416&lt;&gt;"Resultado total",'FUENTE NO BORRAR'!A2416,"")))</f>
        <v/>
      </c>
      <c r="B2398" s="5" t="str">
        <f>IF('FUENTE NO BORRAR'!B2416="","",'FUENTE NO BORRAR'!B2416)</f>
        <v/>
      </c>
      <c r="C2398" s="5" t="str">
        <f>IF('FUENTE NO BORRAR'!C2416="","",'FUENTE NO BORRAR'!C2416)</f>
        <v/>
      </c>
      <c r="D2398" s="5" t="str">
        <f>IF('FUENTE NO BORRAR'!D2416="","",'FUENTE NO BORRAR'!D2416)</f>
        <v/>
      </c>
      <c r="E2398" s="5" t="str">
        <f>IF('FUENTE NO BORRAR'!E2416="","",'FUENTE NO BORRAR'!E2416)</f>
        <v/>
      </c>
      <c r="F2398" s="6">
        <f>IF('FUENTE NO BORRAR'!F2416="","",IF('FUENTE NO BORRAR'!$A2416&lt;&gt;"Resultado total",('FUENTE NO BORRAR'!F2416),""))</f>
        <v>86302</v>
      </c>
      <c r="G2398" s="6">
        <f>IF('FUENTE NO BORRAR'!G2416="","",IF('FUENTE NO BORRAR'!$A2416&lt;&gt;"Resultado total",('FUENTE NO BORRAR'!G2416),""))</f>
        <v>86301.33</v>
      </c>
      <c r="H2398" s="6">
        <f>IF('FUENTE NO BORRAR'!H2416="","",IF('FUENTE NO BORRAR'!$A2416&lt;&gt;"Resultado total",('FUENTE NO BORRAR'!H2416),""))</f>
        <v>86301.33</v>
      </c>
      <c r="I2398" s="6">
        <f>IF('FUENTE NO BORRAR'!I2416="","",IF('FUENTE NO BORRAR'!$A2416&lt;&gt;"Resultado total",('FUENTE NO BORRAR'!I2416),""))</f>
        <v>0.67</v>
      </c>
    </row>
    <row r="2399" spans="1:9" x14ac:dyDescent="0.2">
      <c r="A2399" s="5" t="str">
        <f>IF('FUENTE NO BORRAR'!A2417="","",(IF('FUENTE NO BORRAR'!A2417&lt;&gt;"Resultado total",'FUENTE NO BORRAR'!A2417,"")))</f>
        <v/>
      </c>
      <c r="B2399" s="5" t="str">
        <f>IF('FUENTE NO BORRAR'!B2417="","",'FUENTE NO BORRAR'!B2417)</f>
        <v/>
      </c>
      <c r="C2399" s="5" t="str">
        <f>IF('FUENTE NO BORRAR'!C2417="","",'FUENTE NO BORRAR'!C2417)</f>
        <v/>
      </c>
      <c r="D2399" s="5" t="str">
        <f>IF('FUENTE NO BORRAR'!D2417="","",'FUENTE NO BORRAR'!D2417)</f>
        <v/>
      </c>
      <c r="E2399" s="5" t="str">
        <f>IF('FUENTE NO BORRAR'!E2417="","",'FUENTE NO BORRAR'!E2417)</f>
        <v/>
      </c>
      <c r="F2399" s="6">
        <f>IF('FUENTE NO BORRAR'!F2417="","",IF('FUENTE NO BORRAR'!$A2417&lt;&gt;"Resultado total",('FUENTE NO BORRAR'!F2417),""))</f>
        <v>39451.599999999999</v>
      </c>
      <c r="G2399" s="6">
        <f>IF('FUENTE NO BORRAR'!G2417="","",IF('FUENTE NO BORRAR'!$A2417&lt;&gt;"Resultado total",('FUENTE NO BORRAR'!G2417),""))</f>
        <v>39451.599999999999</v>
      </c>
      <c r="H2399" s="6">
        <f>IF('FUENTE NO BORRAR'!H2417="","",IF('FUENTE NO BORRAR'!$A2417&lt;&gt;"Resultado total",('FUENTE NO BORRAR'!H2417),""))</f>
        <v>0</v>
      </c>
      <c r="I2399" s="6">
        <f>IF('FUENTE NO BORRAR'!I2417="","",IF('FUENTE NO BORRAR'!$A2417&lt;&gt;"Resultado total",('FUENTE NO BORRAR'!I2417),""))</f>
        <v>0</v>
      </c>
    </row>
    <row r="2400" spans="1:9" x14ac:dyDescent="0.2">
      <c r="A2400" s="5" t="str">
        <f>IF('FUENTE NO BORRAR'!A2418="","",(IF('FUENTE NO BORRAR'!A2418&lt;&gt;"Resultado total",'FUENTE NO BORRAR'!A2418,"")))</f>
        <v/>
      </c>
      <c r="B2400" s="5" t="str">
        <f>IF('FUENTE NO BORRAR'!B2418="","",'FUENTE NO BORRAR'!B2418)</f>
        <v/>
      </c>
      <c r="C2400" s="5" t="str">
        <f>IF('FUENTE NO BORRAR'!C2418="","",'FUENTE NO BORRAR'!C2418)</f>
        <v/>
      </c>
      <c r="D2400" s="5" t="str">
        <f>IF('FUENTE NO BORRAR'!D2418="","",'FUENTE NO BORRAR'!D2418)</f>
        <v/>
      </c>
      <c r="E2400" s="5" t="str">
        <f>IF('FUENTE NO BORRAR'!E2418="","",'FUENTE NO BORRAR'!E2418)</f>
        <v/>
      </c>
      <c r="F2400" s="6">
        <f>IF('FUENTE NO BORRAR'!F2418="","",IF('FUENTE NO BORRAR'!$A2418&lt;&gt;"Resultado total",('FUENTE NO BORRAR'!F2418),""))</f>
        <v>300</v>
      </c>
      <c r="G2400" s="6">
        <f>IF('FUENTE NO BORRAR'!G2418="","",IF('FUENTE NO BORRAR'!$A2418&lt;&gt;"Resultado total",('FUENTE NO BORRAR'!G2418),""))</f>
        <v>300</v>
      </c>
      <c r="H2400" s="6">
        <f>IF('FUENTE NO BORRAR'!H2418="","",IF('FUENTE NO BORRAR'!$A2418&lt;&gt;"Resultado total",('FUENTE NO BORRAR'!H2418),""))</f>
        <v>300</v>
      </c>
      <c r="I2400" s="6">
        <f>IF('FUENTE NO BORRAR'!I2418="","",IF('FUENTE NO BORRAR'!$A2418&lt;&gt;"Resultado total",('FUENTE NO BORRAR'!I2418),""))</f>
        <v>0</v>
      </c>
    </row>
    <row r="2401" spans="1:9" x14ac:dyDescent="0.2">
      <c r="A2401" s="5" t="str">
        <f>IF('FUENTE NO BORRAR'!A2419="","",(IF('FUENTE NO BORRAR'!A2419&lt;&gt;"Resultado total",'FUENTE NO BORRAR'!A2419,"")))</f>
        <v/>
      </c>
      <c r="B2401" s="5" t="str">
        <f>IF('FUENTE NO BORRAR'!B2419="","",'FUENTE NO BORRAR'!B2419)</f>
        <v/>
      </c>
      <c r="C2401" s="5" t="str">
        <f>IF('FUENTE NO BORRAR'!C2419="","",'FUENTE NO BORRAR'!C2419)</f>
        <v/>
      </c>
      <c r="D2401" s="5" t="str">
        <f>IF('FUENTE NO BORRAR'!D2419="","",'FUENTE NO BORRAR'!D2419)</f>
        <v/>
      </c>
      <c r="E2401" s="5" t="str">
        <f>IF('FUENTE NO BORRAR'!E2419="","",'FUENTE NO BORRAR'!E2419)</f>
        <v/>
      </c>
      <c r="F2401" s="6">
        <f>IF('FUENTE NO BORRAR'!F2419="","",IF('FUENTE NO BORRAR'!$A2419&lt;&gt;"Resultado total",('FUENTE NO BORRAR'!F2419),""))</f>
        <v>32863.43</v>
      </c>
      <c r="G2401" s="6">
        <f>IF('FUENTE NO BORRAR'!G2419="","",IF('FUENTE NO BORRAR'!$A2419&lt;&gt;"Resultado total",('FUENTE NO BORRAR'!G2419),""))</f>
        <v>32863.43</v>
      </c>
      <c r="H2401" s="6">
        <f>IF('FUENTE NO BORRAR'!H2419="","",IF('FUENTE NO BORRAR'!$A2419&lt;&gt;"Resultado total",('FUENTE NO BORRAR'!H2419),""))</f>
        <v>6639.84</v>
      </c>
      <c r="I2401" s="6">
        <f>IF('FUENTE NO BORRAR'!I2419="","",IF('FUENTE NO BORRAR'!$A2419&lt;&gt;"Resultado total",('FUENTE NO BORRAR'!I2419),""))</f>
        <v>0</v>
      </c>
    </row>
    <row r="2402" spans="1:9" x14ac:dyDescent="0.2">
      <c r="A2402" s="5" t="str">
        <f>IF('FUENTE NO BORRAR'!A2420="","",(IF('FUENTE NO BORRAR'!A2420&lt;&gt;"Resultado total",'FUENTE NO BORRAR'!A2420,"")))</f>
        <v/>
      </c>
      <c r="B2402" s="5" t="str">
        <f>IF('FUENTE NO BORRAR'!B2420="","",'FUENTE NO BORRAR'!B2420)</f>
        <v/>
      </c>
      <c r="C2402" s="5" t="str">
        <f>IF('FUENTE NO BORRAR'!C2420="","",'FUENTE NO BORRAR'!C2420)</f>
        <v/>
      </c>
      <c r="D2402" s="5" t="str">
        <f>IF('FUENTE NO BORRAR'!D2420="","",'FUENTE NO BORRAR'!D2420)</f>
        <v/>
      </c>
      <c r="E2402" s="5" t="str">
        <f>IF('FUENTE NO BORRAR'!E2420="","",'FUENTE NO BORRAR'!E2420)</f>
        <v/>
      </c>
      <c r="F2402" s="6">
        <f>IF('FUENTE NO BORRAR'!F2420="","",IF('FUENTE NO BORRAR'!$A2420&lt;&gt;"Resultado total",('FUENTE NO BORRAR'!F2420),""))</f>
        <v>4060</v>
      </c>
      <c r="G2402" s="6">
        <f>IF('FUENTE NO BORRAR'!G2420="","",IF('FUENTE NO BORRAR'!$A2420&lt;&gt;"Resultado total",('FUENTE NO BORRAR'!G2420),""))</f>
        <v>4060</v>
      </c>
      <c r="H2402" s="6">
        <f>IF('FUENTE NO BORRAR'!H2420="","",IF('FUENTE NO BORRAR'!$A2420&lt;&gt;"Resultado total",('FUENTE NO BORRAR'!H2420),""))</f>
        <v>4060</v>
      </c>
      <c r="I2402" s="6">
        <f>IF('FUENTE NO BORRAR'!I2420="","",IF('FUENTE NO BORRAR'!$A2420&lt;&gt;"Resultado total",('FUENTE NO BORRAR'!I2420),""))</f>
        <v>0</v>
      </c>
    </row>
    <row r="2403" spans="1:9" x14ac:dyDescent="0.2">
      <c r="A2403" s="5" t="str">
        <f>IF('FUENTE NO BORRAR'!A2421="","",(IF('FUENTE NO BORRAR'!A2421&lt;&gt;"Resultado total",'FUENTE NO BORRAR'!A2421,"")))</f>
        <v/>
      </c>
      <c r="B2403" s="5" t="str">
        <f>IF('FUENTE NO BORRAR'!B2421="","",'FUENTE NO BORRAR'!B2421)</f>
        <v/>
      </c>
      <c r="C2403" s="5" t="str">
        <f>IF('FUENTE NO BORRAR'!C2421="","",'FUENTE NO BORRAR'!C2421)</f>
        <v/>
      </c>
      <c r="D2403" s="5" t="str">
        <f>IF('FUENTE NO BORRAR'!D2421="","",'FUENTE NO BORRAR'!D2421)</f>
        <v/>
      </c>
      <c r="E2403" s="5" t="str">
        <f>IF('FUENTE NO BORRAR'!E2421="","",'FUENTE NO BORRAR'!E2421)</f>
        <v/>
      </c>
      <c r="F2403" s="6">
        <f>IF('FUENTE NO BORRAR'!F2421="","",IF('FUENTE NO BORRAR'!$A2421&lt;&gt;"Resultado total",('FUENTE NO BORRAR'!F2421),""))</f>
        <v>6902</v>
      </c>
      <c r="G2403" s="6">
        <f>IF('FUENTE NO BORRAR'!G2421="","",IF('FUENTE NO BORRAR'!$A2421&lt;&gt;"Resultado total",('FUENTE NO BORRAR'!G2421),""))</f>
        <v>6902</v>
      </c>
      <c r="H2403" s="6">
        <f>IF('FUENTE NO BORRAR'!H2421="","",IF('FUENTE NO BORRAR'!$A2421&lt;&gt;"Resultado total",('FUENTE NO BORRAR'!H2421),""))</f>
        <v>6902</v>
      </c>
      <c r="I2403" s="6">
        <f>IF('FUENTE NO BORRAR'!I2421="","",IF('FUENTE NO BORRAR'!$A2421&lt;&gt;"Resultado total",('FUENTE NO BORRAR'!I2421),""))</f>
        <v>0</v>
      </c>
    </row>
    <row r="2404" spans="1:9" x14ac:dyDescent="0.2">
      <c r="A2404" s="5" t="str">
        <f>IF('FUENTE NO BORRAR'!A2422="","",(IF('FUENTE NO BORRAR'!A2422&lt;&gt;"Resultado total",'FUENTE NO BORRAR'!A2422,"")))</f>
        <v/>
      </c>
      <c r="B2404" s="5" t="str">
        <f>IF('FUENTE NO BORRAR'!B2422="","",'FUENTE NO BORRAR'!B2422)</f>
        <v/>
      </c>
      <c r="C2404" s="5" t="str">
        <f>IF('FUENTE NO BORRAR'!C2422="","",'FUENTE NO BORRAR'!C2422)</f>
        <v/>
      </c>
      <c r="D2404" s="5" t="str">
        <f>IF('FUENTE NO BORRAR'!D2422="","",'FUENTE NO BORRAR'!D2422)</f>
        <v/>
      </c>
      <c r="E2404" s="5" t="str">
        <f>IF('FUENTE NO BORRAR'!E2422="","",'FUENTE NO BORRAR'!E2422)</f>
        <v/>
      </c>
      <c r="F2404" s="6">
        <f>IF('FUENTE NO BORRAR'!F2422="","",IF('FUENTE NO BORRAR'!$A2422&lt;&gt;"Resultado total",('FUENTE NO BORRAR'!F2422),""))</f>
        <v>147378.22</v>
      </c>
      <c r="G2404" s="6">
        <f>IF('FUENTE NO BORRAR'!G2422="","",IF('FUENTE NO BORRAR'!$A2422&lt;&gt;"Resultado total",('FUENTE NO BORRAR'!G2422),""))</f>
        <v>147378.22</v>
      </c>
      <c r="H2404" s="6">
        <f>IF('FUENTE NO BORRAR'!H2422="","",IF('FUENTE NO BORRAR'!$A2422&lt;&gt;"Resultado total",('FUENTE NO BORRAR'!H2422),""))</f>
        <v>147378.22</v>
      </c>
      <c r="I2404" s="6">
        <f>IF('FUENTE NO BORRAR'!I2422="","",IF('FUENTE NO BORRAR'!$A2422&lt;&gt;"Resultado total",('FUENTE NO BORRAR'!I2422),""))</f>
        <v>0</v>
      </c>
    </row>
    <row r="2405" spans="1:9" x14ac:dyDescent="0.2">
      <c r="A2405" s="5" t="str">
        <f>IF('FUENTE NO BORRAR'!A2423="","",(IF('FUENTE NO BORRAR'!A2423&lt;&gt;"Resultado total",'FUENTE NO BORRAR'!A2423,"")))</f>
        <v/>
      </c>
      <c r="B2405" s="5" t="str">
        <f>IF('FUENTE NO BORRAR'!B2423="","",'FUENTE NO BORRAR'!B2423)</f>
        <v/>
      </c>
      <c r="C2405" s="5" t="str">
        <f>IF('FUENTE NO BORRAR'!C2423="","",'FUENTE NO BORRAR'!C2423)</f>
        <v/>
      </c>
      <c r="D2405" s="5" t="str">
        <f>IF('FUENTE NO BORRAR'!D2423="","",'FUENTE NO BORRAR'!D2423)</f>
        <v/>
      </c>
      <c r="E2405" s="5" t="str">
        <f>IF('FUENTE NO BORRAR'!E2423="","",'FUENTE NO BORRAR'!E2423)</f>
        <v/>
      </c>
      <c r="F2405" s="6">
        <f>IF('FUENTE NO BORRAR'!F2423="","",IF('FUENTE NO BORRAR'!$A2423&lt;&gt;"Resultado total",('FUENTE NO BORRAR'!F2423),""))</f>
        <v>1215</v>
      </c>
      <c r="G2405" s="6">
        <f>IF('FUENTE NO BORRAR'!G2423="","",IF('FUENTE NO BORRAR'!$A2423&lt;&gt;"Resultado total",('FUENTE NO BORRAR'!G2423),""))</f>
        <v>1215</v>
      </c>
      <c r="H2405" s="6">
        <f>IF('FUENTE NO BORRAR'!H2423="","",IF('FUENTE NO BORRAR'!$A2423&lt;&gt;"Resultado total",('FUENTE NO BORRAR'!H2423),""))</f>
        <v>1215</v>
      </c>
      <c r="I2405" s="6">
        <f>IF('FUENTE NO BORRAR'!I2423="","",IF('FUENTE NO BORRAR'!$A2423&lt;&gt;"Resultado total",('FUENTE NO BORRAR'!I2423),""))</f>
        <v>0</v>
      </c>
    </row>
    <row r="2406" spans="1:9" x14ac:dyDescent="0.2">
      <c r="A2406" s="5" t="str">
        <f>IF('FUENTE NO BORRAR'!A2424="","",(IF('FUENTE NO BORRAR'!A2424&lt;&gt;"Resultado total",'FUENTE NO BORRAR'!A2424,"")))</f>
        <v/>
      </c>
      <c r="B2406" s="5" t="str">
        <f>IF('FUENTE NO BORRAR'!B2424="","",'FUENTE NO BORRAR'!B2424)</f>
        <v/>
      </c>
      <c r="C2406" s="5" t="str">
        <f>IF('FUENTE NO BORRAR'!C2424="","",'FUENTE NO BORRAR'!C2424)</f>
        <v/>
      </c>
      <c r="D2406" s="5" t="str">
        <f>IF('FUENTE NO BORRAR'!D2424="","",'FUENTE NO BORRAR'!D2424)</f>
        <v/>
      </c>
      <c r="E2406" s="5" t="str">
        <f>IF('FUENTE NO BORRAR'!E2424="","",'FUENTE NO BORRAR'!E2424)</f>
        <v/>
      </c>
      <c r="F2406" s="6">
        <f>IF('FUENTE NO BORRAR'!F2424="","",IF('FUENTE NO BORRAR'!$A2424&lt;&gt;"Resultado total",('FUENTE NO BORRAR'!F2424),""))</f>
        <v>18832.599999999999</v>
      </c>
      <c r="G2406" s="6">
        <f>IF('FUENTE NO BORRAR'!G2424="","",IF('FUENTE NO BORRAR'!$A2424&lt;&gt;"Resultado total",('FUENTE NO BORRAR'!G2424),""))</f>
        <v>18832.599999999999</v>
      </c>
      <c r="H2406" s="6">
        <f>IF('FUENTE NO BORRAR'!H2424="","",IF('FUENTE NO BORRAR'!$A2424&lt;&gt;"Resultado total",('FUENTE NO BORRAR'!H2424),""))</f>
        <v>18832.599999999999</v>
      </c>
      <c r="I2406" s="6">
        <f>IF('FUENTE NO BORRAR'!I2424="","",IF('FUENTE NO BORRAR'!$A2424&lt;&gt;"Resultado total",('FUENTE NO BORRAR'!I2424),""))</f>
        <v>0</v>
      </c>
    </row>
    <row r="2407" spans="1:9" x14ac:dyDescent="0.2">
      <c r="A2407" s="5" t="str">
        <f>IF('FUENTE NO BORRAR'!A2425="","",(IF('FUENTE NO BORRAR'!A2425&lt;&gt;"Resultado total",'FUENTE NO BORRAR'!A2425,"")))</f>
        <v/>
      </c>
      <c r="B2407" s="5" t="str">
        <f>IF('FUENTE NO BORRAR'!B2425="","",'FUENTE NO BORRAR'!B2425)</f>
        <v/>
      </c>
      <c r="C2407" s="5" t="str">
        <f>IF('FUENTE NO BORRAR'!C2425="","",'FUENTE NO BORRAR'!C2425)</f>
        <v/>
      </c>
      <c r="D2407" s="5" t="str">
        <f>IF('FUENTE NO BORRAR'!D2425="","",'FUENTE NO BORRAR'!D2425)</f>
        <v/>
      </c>
      <c r="E2407" s="5" t="str">
        <f>IF('FUENTE NO BORRAR'!E2425="","",'FUENTE NO BORRAR'!E2425)</f>
        <v/>
      </c>
      <c r="F2407" s="6">
        <f>IF('FUENTE NO BORRAR'!F2425="","",IF('FUENTE NO BORRAR'!$A2425&lt;&gt;"Resultado total",('FUENTE NO BORRAR'!F2425),""))</f>
        <v>12122</v>
      </c>
      <c r="G2407" s="6">
        <f>IF('FUENTE NO BORRAR'!G2425="","",IF('FUENTE NO BORRAR'!$A2425&lt;&gt;"Resultado total",('FUENTE NO BORRAR'!G2425),""))</f>
        <v>12122</v>
      </c>
      <c r="H2407" s="6">
        <f>IF('FUENTE NO BORRAR'!H2425="","",IF('FUENTE NO BORRAR'!$A2425&lt;&gt;"Resultado total",('FUENTE NO BORRAR'!H2425),""))</f>
        <v>4582</v>
      </c>
      <c r="I2407" s="6">
        <f>IF('FUENTE NO BORRAR'!I2425="","",IF('FUENTE NO BORRAR'!$A2425&lt;&gt;"Resultado total",('FUENTE NO BORRAR'!I2425),""))</f>
        <v>0</v>
      </c>
    </row>
    <row r="2408" spans="1:9" x14ac:dyDescent="0.2">
      <c r="A2408" s="5" t="str">
        <f>IF('FUENTE NO BORRAR'!A2426="","",(IF('FUENTE NO BORRAR'!A2426&lt;&gt;"Resultado total",'FUENTE NO BORRAR'!A2426,"")))</f>
        <v/>
      </c>
      <c r="B2408" s="5" t="str">
        <f>IF('FUENTE NO BORRAR'!B2426="","",'FUENTE NO BORRAR'!B2426)</f>
        <v/>
      </c>
      <c r="C2408" s="5" t="str">
        <f>IF('FUENTE NO BORRAR'!C2426="","",'FUENTE NO BORRAR'!C2426)</f>
        <v/>
      </c>
      <c r="D2408" s="5" t="str">
        <f>IF('FUENTE NO BORRAR'!D2426="","",'FUENTE NO BORRAR'!D2426)</f>
        <v/>
      </c>
      <c r="E2408" s="5" t="str">
        <f>IF('FUENTE NO BORRAR'!E2426="","",'FUENTE NO BORRAR'!E2426)</f>
        <v/>
      </c>
      <c r="F2408" s="6">
        <f>IF('FUENTE NO BORRAR'!F2426="","",IF('FUENTE NO BORRAR'!$A2426&lt;&gt;"Resultado total",('FUENTE NO BORRAR'!F2426),""))</f>
        <v>6496</v>
      </c>
      <c r="G2408" s="6">
        <f>IF('FUENTE NO BORRAR'!G2426="","",IF('FUENTE NO BORRAR'!$A2426&lt;&gt;"Resultado total",('FUENTE NO BORRAR'!G2426),""))</f>
        <v>6496</v>
      </c>
      <c r="H2408" s="6">
        <f>IF('FUENTE NO BORRAR'!H2426="","",IF('FUENTE NO BORRAR'!$A2426&lt;&gt;"Resultado total",('FUENTE NO BORRAR'!H2426),""))</f>
        <v>6496</v>
      </c>
      <c r="I2408" s="6">
        <f>IF('FUENTE NO BORRAR'!I2426="","",IF('FUENTE NO BORRAR'!$A2426&lt;&gt;"Resultado total",('FUENTE NO BORRAR'!I2426),""))</f>
        <v>0</v>
      </c>
    </row>
    <row r="2409" spans="1:9" x14ac:dyDescent="0.2">
      <c r="A2409" s="5" t="str">
        <f>IF('FUENTE NO BORRAR'!A2427="","",(IF('FUENTE NO BORRAR'!A2427&lt;&gt;"Resultado total",'FUENTE NO BORRAR'!A2427,"")))</f>
        <v/>
      </c>
      <c r="B2409" s="5" t="str">
        <f>IF('FUENTE NO BORRAR'!B2427="","",'FUENTE NO BORRAR'!B2427)</f>
        <v/>
      </c>
      <c r="C2409" s="5" t="str">
        <f>IF('FUENTE NO BORRAR'!C2427="","",'FUENTE NO BORRAR'!C2427)</f>
        <v>18015041M101</v>
      </c>
      <c r="D2409" s="5" t="str">
        <f>IF('FUENTE NO BORRAR'!D2427="","",'FUENTE NO BORRAR'!D2427)</f>
        <v>18015041M101</v>
      </c>
      <c r="E2409" s="5" t="str">
        <f>IF('FUENTE NO BORRAR'!E2427="","",'FUENTE NO BORRAR'!E2427)</f>
        <v/>
      </c>
      <c r="F2409" s="6">
        <f>IF('FUENTE NO BORRAR'!F2427="","",IF('FUENTE NO BORRAR'!$A2427&lt;&gt;"Resultado total",('FUENTE NO BORRAR'!F2427),""))</f>
        <v>6097622.6200000001</v>
      </c>
      <c r="G2409" s="6">
        <f>IF('FUENTE NO BORRAR'!G2427="","",IF('FUENTE NO BORRAR'!$A2427&lt;&gt;"Resultado total",('FUENTE NO BORRAR'!G2427),""))</f>
        <v>6097622.6200000001</v>
      </c>
      <c r="H2409" s="6">
        <f>IF('FUENTE NO BORRAR'!H2427="","",IF('FUENTE NO BORRAR'!$A2427&lt;&gt;"Resultado total",('FUENTE NO BORRAR'!H2427),""))</f>
        <v>6097622.6200000001</v>
      </c>
      <c r="I2409" s="6">
        <f>IF('FUENTE NO BORRAR'!I2427="","",IF('FUENTE NO BORRAR'!$A2427&lt;&gt;"Resultado total",('FUENTE NO BORRAR'!I2427),""))</f>
        <v>0</v>
      </c>
    </row>
    <row r="2410" spans="1:9" x14ac:dyDescent="0.2">
      <c r="A2410" s="5" t="str">
        <f>IF('FUENTE NO BORRAR'!A2428="","",(IF('FUENTE NO BORRAR'!A2428&lt;&gt;"Resultado total",'FUENTE NO BORRAR'!A2428,"")))</f>
        <v/>
      </c>
      <c r="B2410" s="5" t="str">
        <f>IF('FUENTE NO BORRAR'!B2428="","",'FUENTE NO BORRAR'!B2428)</f>
        <v/>
      </c>
      <c r="C2410" s="5" t="str">
        <f>IF('FUENTE NO BORRAR'!C2428="","",'FUENTE NO BORRAR'!C2428)</f>
        <v/>
      </c>
      <c r="D2410" s="5" t="str">
        <f>IF('FUENTE NO BORRAR'!D2428="","",'FUENTE NO BORRAR'!D2428)</f>
        <v/>
      </c>
      <c r="E2410" s="5" t="str">
        <f>IF('FUENTE NO BORRAR'!E2428="","",'FUENTE NO BORRAR'!E2428)</f>
        <v/>
      </c>
      <c r="F2410" s="6">
        <f>IF('FUENTE NO BORRAR'!F2428="","",IF('FUENTE NO BORRAR'!$A2428&lt;&gt;"Resultado total",('FUENTE NO BORRAR'!F2428),""))</f>
        <v>3000696.13</v>
      </c>
      <c r="G2410" s="6">
        <f>IF('FUENTE NO BORRAR'!G2428="","",IF('FUENTE NO BORRAR'!$A2428&lt;&gt;"Resultado total",('FUENTE NO BORRAR'!G2428),""))</f>
        <v>3000696.13</v>
      </c>
      <c r="H2410" s="6">
        <f>IF('FUENTE NO BORRAR'!H2428="","",IF('FUENTE NO BORRAR'!$A2428&lt;&gt;"Resultado total",('FUENTE NO BORRAR'!H2428),""))</f>
        <v>3000696.13</v>
      </c>
      <c r="I2410" s="6">
        <f>IF('FUENTE NO BORRAR'!I2428="","",IF('FUENTE NO BORRAR'!$A2428&lt;&gt;"Resultado total",('FUENTE NO BORRAR'!I2428),""))</f>
        <v>0</v>
      </c>
    </row>
    <row r="2411" spans="1:9" x14ac:dyDescent="0.2">
      <c r="A2411" s="5" t="str">
        <f>IF('FUENTE NO BORRAR'!A2429="","",(IF('FUENTE NO BORRAR'!A2429&lt;&gt;"Resultado total",'FUENTE NO BORRAR'!A2429,"")))</f>
        <v/>
      </c>
      <c r="B2411" s="5" t="str">
        <f>IF('FUENTE NO BORRAR'!B2429="","",'FUENTE NO BORRAR'!B2429)</f>
        <v/>
      </c>
      <c r="C2411" s="5" t="str">
        <f>IF('FUENTE NO BORRAR'!C2429="","",'FUENTE NO BORRAR'!C2429)</f>
        <v/>
      </c>
      <c r="D2411" s="5" t="str">
        <f>IF('FUENTE NO BORRAR'!D2429="","",'FUENTE NO BORRAR'!D2429)</f>
        <v/>
      </c>
      <c r="E2411" s="5" t="str">
        <f>IF('FUENTE NO BORRAR'!E2429="","",'FUENTE NO BORRAR'!E2429)</f>
        <v/>
      </c>
      <c r="F2411" s="6">
        <f>IF('FUENTE NO BORRAR'!F2429="","",IF('FUENTE NO BORRAR'!$A2429&lt;&gt;"Resultado total",('FUENTE NO BORRAR'!F2429),""))</f>
        <v>494642.24</v>
      </c>
      <c r="G2411" s="6">
        <f>IF('FUENTE NO BORRAR'!G2429="","",IF('FUENTE NO BORRAR'!$A2429&lt;&gt;"Resultado total",('FUENTE NO BORRAR'!G2429),""))</f>
        <v>494642.24</v>
      </c>
      <c r="H2411" s="6">
        <f>IF('FUENTE NO BORRAR'!H2429="","",IF('FUENTE NO BORRAR'!$A2429&lt;&gt;"Resultado total",('FUENTE NO BORRAR'!H2429),""))</f>
        <v>451210.26</v>
      </c>
      <c r="I2411" s="6">
        <f>IF('FUENTE NO BORRAR'!I2429="","",IF('FUENTE NO BORRAR'!$A2429&lt;&gt;"Resultado total",('FUENTE NO BORRAR'!I2429),""))</f>
        <v>0</v>
      </c>
    </row>
    <row r="2412" spans="1:9" x14ac:dyDescent="0.2">
      <c r="A2412" s="5" t="str">
        <f>IF('FUENTE NO BORRAR'!A2430="","",(IF('FUENTE NO BORRAR'!A2430&lt;&gt;"Resultado total",'FUENTE NO BORRAR'!A2430,"")))</f>
        <v/>
      </c>
      <c r="B2412" s="5" t="str">
        <f>IF('FUENTE NO BORRAR'!B2430="","",'FUENTE NO BORRAR'!B2430)</f>
        <v/>
      </c>
      <c r="C2412" s="5" t="str">
        <f>IF('FUENTE NO BORRAR'!C2430="","",'FUENTE NO BORRAR'!C2430)</f>
        <v/>
      </c>
      <c r="D2412" s="5" t="str">
        <f>IF('FUENTE NO BORRAR'!D2430="","",'FUENTE NO BORRAR'!D2430)</f>
        <v/>
      </c>
      <c r="E2412" s="5" t="str">
        <f>IF('FUENTE NO BORRAR'!E2430="","",'FUENTE NO BORRAR'!E2430)</f>
        <v/>
      </c>
      <c r="F2412" s="6">
        <f>IF('FUENTE NO BORRAR'!F2430="","",IF('FUENTE NO BORRAR'!$A2430&lt;&gt;"Resultado total",('FUENTE NO BORRAR'!F2430),""))</f>
        <v>662060.30000000005</v>
      </c>
      <c r="G2412" s="6">
        <f>IF('FUENTE NO BORRAR'!G2430="","",IF('FUENTE NO BORRAR'!$A2430&lt;&gt;"Resultado total",('FUENTE NO BORRAR'!G2430),""))</f>
        <v>662060.30000000005</v>
      </c>
      <c r="H2412" s="6">
        <f>IF('FUENTE NO BORRAR'!H2430="","",IF('FUENTE NO BORRAR'!$A2430&lt;&gt;"Resultado total",('FUENTE NO BORRAR'!H2430),""))</f>
        <v>662060.30000000005</v>
      </c>
      <c r="I2412" s="6">
        <f>IF('FUENTE NO BORRAR'!I2430="","",IF('FUENTE NO BORRAR'!$A2430&lt;&gt;"Resultado total",('FUENTE NO BORRAR'!I2430),""))</f>
        <v>0</v>
      </c>
    </row>
    <row r="2413" spans="1:9" x14ac:dyDescent="0.2">
      <c r="A2413" s="5" t="str">
        <f>IF('FUENTE NO BORRAR'!A2431="","",(IF('FUENTE NO BORRAR'!A2431&lt;&gt;"Resultado total",'FUENTE NO BORRAR'!A2431,"")))</f>
        <v/>
      </c>
      <c r="B2413" s="5" t="str">
        <f>IF('FUENTE NO BORRAR'!B2431="","",'FUENTE NO BORRAR'!B2431)</f>
        <v/>
      </c>
      <c r="C2413" s="5" t="str">
        <f>IF('FUENTE NO BORRAR'!C2431="","",'FUENTE NO BORRAR'!C2431)</f>
        <v/>
      </c>
      <c r="D2413" s="5" t="str">
        <f>IF('FUENTE NO BORRAR'!D2431="","",'FUENTE NO BORRAR'!D2431)</f>
        <v/>
      </c>
      <c r="E2413" s="5" t="str">
        <f>IF('FUENTE NO BORRAR'!E2431="","",'FUENTE NO BORRAR'!E2431)</f>
        <v/>
      </c>
      <c r="F2413" s="6">
        <f>IF('FUENTE NO BORRAR'!F2431="","",IF('FUENTE NO BORRAR'!$A2431&lt;&gt;"Resultado total",('FUENTE NO BORRAR'!F2431),""))</f>
        <v>17049132.350000001</v>
      </c>
      <c r="G2413" s="6">
        <f>IF('FUENTE NO BORRAR'!G2431="","",IF('FUENTE NO BORRAR'!$A2431&lt;&gt;"Resultado total",('FUENTE NO BORRAR'!G2431),""))</f>
        <v>17049132.350000001</v>
      </c>
      <c r="H2413" s="6">
        <f>IF('FUENTE NO BORRAR'!H2431="","",IF('FUENTE NO BORRAR'!$A2431&lt;&gt;"Resultado total",('FUENTE NO BORRAR'!H2431),""))</f>
        <v>17049132.350000001</v>
      </c>
      <c r="I2413" s="6">
        <f>IF('FUENTE NO BORRAR'!I2431="","",IF('FUENTE NO BORRAR'!$A2431&lt;&gt;"Resultado total",('FUENTE NO BORRAR'!I2431),""))</f>
        <v>4.0000000000000002E-9</v>
      </c>
    </row>
    <row r="2414" spans="1:9" x14ac:dyDescent="0.2">
      <c r="A2414" s="5" t="str">
        <f>IF('FUENTE NO BORRAR'!A2432="","",(IF('FUENTE NO BORRAR'!A2432&lt;&gt;"Resultado total",'FUENTE NO BORRAR'!A2432,"")))</f>
        <v/>
      </c>
      <c r="B2414" s="5" t="str">
        <f>IF('FUENTE NO BORRAR'!B2432="","",'FUENTE NO BORRAR'!B2432)</f>
        <v/>
      </c>
      <c r="C2414" s="5" t="str">
        <f>IF('FUENTE NO BORRAR'!C2432="","",'FUENTE NO BORRAR'!C2432)</f>
        <v/>
      </c>
      <c r="D2414" s="5" t="str">
        <f>IF('FUENTE NO BORRAR'!D2432="","",'FUENTE NO BORRAR'!D2432)</f>
        <v/>
      </c>
      <c r="E2414" s="5" t="str">
        <f>IF('FUENTE NO BORRAR'!E2432="","",'FUENTE NO BORRAR'!E2432)</f>
        <v/>
      </c>
      <c r="F2414" s="6">
        <f>IF('FUENTE NO BORRAR'!F2432="","",IF('FUENTE NO BORRAR'!$A2432&lt;&gt;"Resultado total",('FUENTE NO BORRAR'!F2432),""))</f>
        <v>733830.15</v>
      </c>
      <c r="G2414" s="6">
        <f>IF('FUENTE NO BORRAR'!G2432="","",IF('FUENTE NO BORRAR'!$A2432&lt;&gt;"Resultado total",('FUENTE NO BORRAR'!G2432),""))</f>
        <v>733830.15</v>
      </c>
      <c r="H2414" s="6">
        <f>IF('FUENTE NO BORRAR'!H2432="","",IF('FUENTE NO BORRAR'!$A2432&lt;&gt;"Resultado total",('FUENTE NO BORRAR'!H2432),""))</f>
        <v>733830.15</v>
      </c>
      <c r="I2414" s="6">
        <f>IF('FUENTE NO BORRAR'!I2432="","",IF('FUENTE NO BORRAR'!$A2432&lt;&gt;"Resultado total",('FUENTE NO BORRAR'!I2432),""))</f>
        <v>0</v>
      </c>
    </row>
    <row r="2415" spans="1:9" x14ac:dyDescent="0.2">
      <c r="A2415" s="5" t="str">
        <f>IF('FUENTE NO BORRAR'!A2433="","",(IF('FUENTE NO BORRAR'!A2433&lt;&gt;"Resultado total",'FUENTE NO BORRAR'!A2433,"")))</f>
        <v/>
      </c>
      <c r="B2415" s="5" t="str">
        <f>IF('FUENTE NO BORRAR'!B2433="","",'FUENTE NO BORRAR'!B2433)</f>
        <v/>
      </c>
      <c r="C2415" s="5" t="str">
        <f>IF('FUENTE NO BORRAR'!C2433="","",'FUENTE NO BORRAR'!C2433)</f>
        <v/>
      </c>
      <c r="D2415" s="5" t="str">
        <f>IF('FUENTE NO BORRAR'!D2433="","",'FUENTE NO BORRAR'!D2433)</f>
        <v/>
      </c>
      <c r="E2415" s="5" t="str">
        <f>IF('FUENTE NO BORRAR'!E2433="","",'FUENTE NO BORRAR'!E2433)</f>
        <v/>
      </c>
      <c r="F2415" s="6">
        <f>IF('FUENTE NO BORRAR'!F2433="","",IF('FUENTE NO BORRAR'!$A2433&lt;&gt;"Resultado total",('FUENTE NO BORRAR'!F2433),""))</f>
        <v>167003.5</v>
      </c>
      <c r="G2415" s="6">
        <f>IF('FUENTE NO BORRAR'!G2433="","",IF('FUENTE NO BORRAR'!$A2433&lt;&gt;"Resultado total",('FUENTE NO BORRAR'!G2433),""))</f>
        <v>167003.5</v>
      </c>
      <c r="H2415" s="6">
        <f>IF('FUENTE NO BORRAR'!H2433="","",IF('FUENTE NO BORRAR'!$A2433&lt;&gt;"Resultado total",('FUENTE NO BORRAR'!H2433),""))</f>
        <v>167003.5</v>
      </c>
      <c r="I2415" s="6">
        <f>IF('FUENTE NO BORRAR'!I2433="","",IF('FUENTE NO BORRAR'!$A2433&lt;&gt;"Resultado total",('FUENTE NO BORRAR'!I2433),""))</f>
        <v>0</v>
      </c>
    </row>
    <row r="2416" spans="1:9" x14ac:dyDescent="0.2">
      <c r="A2416" s="5" t="str">
        <f>IF('FUENTE NO BORRAR'!A2434="","",(IF('FUENTE NO BORRAR'!A2434&lt;&gt;"Resultado total",'FUENTE NO BORRAR'!A2434,"")))</f>
        <v/>
      </c>
      <c r="B2416" s="5" t="str">
        <f>IF('FUENTE NO BORRAR'!B2434="","",'FUENTE NO BORRAR'!B2434)</f>
        <v/>
      </c>
      <c r="C2416" s="5" t="str">
        <f>IF('FUENTE NO BORRAR'!C2434="","",'FUENTE NO BORRAR'!C2434)</f>
        <v/>
      </c>
      <c r="D2416" s="5" t="str">
        <f>IF('FUENTE NO BORRAR'!D2434="","",'FUENTE NO BORRAR'!D2434)</f>
        <v/>
      </c>
      <c r="E2416" s="5" t="str">
        <f>IF('FUENTE NO BORRAR'!E2434="","",'FUENTE NO BORRAR'!E2434)</f>
        <v/>
      </c>
      <c r="F2416" s="6">
        <f>IF('FUENTE NO BORRAR'!F2434="","",IF('FUENTE NO BORRAR'!$A2434&lt;&gt;"Resultado total",('FUENTE NO BORRAR'!F2434),""))</f>
        <v>456248.12</v>
      </c>
      <c r="G2416" s="6">
        <f>IF('FUENTE NO BORRAR'!G2434="","",IF('FUENTE NO BORRAR'!$A2434&lt;&gt;"Resultado total",('FUENTE NO BORRAR'!G2434),""))</f>
        <v>456248.12</v>
      </c>
      <c r="H2416" s="6">
        <f>IF('FUENTE NO BORRAR'!H2434="","",IF('FUENTE NO BORRAR'!$A2434&lt;&gt;"Resultado total",('FUENTE NO BORRAR'!H2434),""))</f>
        <v>456248.12</v>
      </c>
      <c r="I2416" s="6">
        <f>IF('FUENTE NO BORRAR'!I2434="","",IF('FUENTE NO BORRAR'!$A2434&lt;&gt;"Resultado total",('FUENTE NO BORRAR'!I2434),""))</f>
        <v>0</v>
      </c>
    </row>
    <row r="2417" spans="1:11" x14ac:dyDescent="0.2">
      <c r="A2417" s="5" t="str">
        <f>IF('FUENTE NO BORRAR'!A2435="","",(IF('FUENTE NO BORRAR'!A2435&lt;&gt;"Resultado total",'FUENTE NO BORRAR'!A2435,"")))</f>
        <v/>
      </c>
      <c r="B2417" s="5" t="str">
        <f>IF('FUENTE NO BORRAR'!B2435="","",'FUENTE NO BORRAR'!B2435)</f>
        <v/>
      </c>
      <c r="C2417" s="5" t="str">
        <f>IF('FUENTE NO BORRAR'!C2435="","",'FUENTE NO BORRAR'!C2435)</f>
        <v/>
      </c>
      <c r="D2417" s="5" t="str">
        <f>IF('FUENTE NO BORRAR'!D2435="","",'FUENTE NO BORRAR'!D2435)</f>
        <v/>
      </c>
      <c r="E2417" s="5" t="str">
        <f>IF('FUENTE NO BORRAR'!E2435="","",'FUENTE NO BORRAR'!E2435)</f>
        <v/>
      </c>
      <c r="F2417" s="6">
        <f>IF('FUENTE NO BORRAR'!F2435="","",IF('FUENTE NO BORRAR'!$A2435&lt;&gt;"Resultado total",('FUENTE NO BORRAR'!F2435),""))</f>
        <v>4196914.33</v>
      </c>
      <c r="G2417" s="6">
        <f>IF('FUENTE NO BORRAR'!G2435="","",IF('FUENTE NO BORRAR'!$A2435&lt;&gt;"Resultado total",('FUENTE NO BORRAR'!G2435),""))</f>
        <v>4196914.33</v>
      </c>
      <c r="H2417" s="6">
        <f>IF('FUENTE NO BORRAR'!H2435="","",IF('FUENTE NO BORRAR'!$A2435&lt;&gt;"Resultado total",('FUENTE NO BORRAR'!H2435),""))</f>
        <v>4196914.33</v>
      </c>
      <c r="I2417" s="6">
        <f>IF('FUENTE NO BORRAR'!I2435="","",IF('FUENTE NO BORRAR'!$A2435&lt;&gt;"Resultado total",('FUENTE NO BORRAR'!I2435),""))</f>
        <v>0</v>
      </c>
    </row>
    <row r="2418" spans="1:11" x14ac:dyDescent="0.2">
      <c r="A2418" s="5" t="str">
        <f>IF('FUENTE NO BORRAR'!A2436="","",(IF('FUENTE NO BORRAR'!A2436&lt;&gt;"Resultado total",'FUENTE NO BORRAR'!A2436,"")))</f>
        <v/>
      </c>
      <c r="B2418" s="5" t="str">
        <f>IF('FUENTE NO BORRAR'!B2436="","",'FUENTE NO BORRAR'!B2436)</f>
        <v/>
      </c>
      <c r="C2418" s="5" t="str">
        <f>IF('FUENTE NO BORRAR'!C2436="","",'FUENTE NO BORRAR'!C2436)</f>
        <v/>
      </c>
      <c r="D2418" s="5" t="str">
        <f>IF('FUENTE NO BORRAR'!D2436="","",'FUENTE NO BORRAR'!D2436)</f>
        <v/>
      </c>
      <c r="E2418" s="5" t="str">
        <f>IF('FUENTE NO BORRAR'!E2436="","",'FUENTE NO BORRAR'!E2436)</f>
        <v/>
      </c>
      <c r="F2418" s="6">
        <f>IF('FUENTE NO BORRAR'!F2436="","",IF('FUENTE NO BORRAR'!$A2436&lt;&gt;"Resultado total",('FUENTE NO BORRAR'!F2436),""))</f>
        <v>2784965.94</v>
      </c>
      <c r="G2418" s="6">
        <f>IF('FUENTE NO BORRAR'!G2436="","",IF('FUENTE NO BORRAR'!$A2436&lt;&gt;"Resultado total",('FUENTE NO BORRAR'!G2436),""))</f>
        <v>2784965.94</v>
      </c>
      <c r="H2418" s="6">
        <f>IF('FUENTE NO BORRAR'!H2436="","",IF('FUENTE NO BORRAR'!$A2436&lt;&gt;"Resultado total",('FUENTE NO BORRAR'!H2436),""))</f>
        <v>2804026.85</v>
      </c>
      <c r="I2418" s="6">
        <f>IF('FUENTE NO BORRAR'!I2436="","",IF('FUENTE NO BORRAR'!$A2436&lt;&gt;"Resultado total",('FUENTE NO BORRAR'!I2436),""))</f>
        <v>0</v>
      </c>
    </row>
    <row r="2419" spans="1:11" x14ac:dyDescent="0.2">
      <c r="A2419" s="5" t="str">
        <f>IF('FUENTE NO BORRAR'!A2437="","",(IF('FUENTE NO BORRAR'!A2437&lt;&gt;"Resultado total",'FUENTE NO BORRAR'!A2437,"")))</f>
        <v/>
      </c>
      <c r="B2419" s="5" t="str">
        <f>IF('FUENTE NO BORRAR'!B2437="","",'FUENTE NO BORRAR'!B2437)</f>
        <v/>
      </c>
      <c r="C2419" s="5" t="str">
        <f>IF('FUENTE NO BORRAR'!C2437="","",'FUENTE NO BORRAR'!C2437)</f>
        <v/>
      </c>
      <c r="D2419" s="5" t="str">
        <f>IF('FUENTE NO BORRAR'!D2437="","",'FUENTE NO BORRAR'!D2437)</f>
        <v/>
      </c>
      <c r="E2419" s="5" t="str">
        <f>IF('FUENTE NO BORRAR'!E2437="","",'FUENTE NO BORRAR'!E2437)</f>
        <v/>
      </c>
      <c r="F2419" s="6">
        <f>IF('FUENTE NO BORRAR'!F2437="","",IF('FUENTE NO BORRAR'!$A2437&lt;&gt;"Resultado total",('FUENTE NO BORRAR'!F2437),""))</f>
        <v>2937542.81</v>
      </c>
      <c r="G2419" s="6">
        <f>IF('FUENTE NO BORRAR'!G2437="","",IF('FUENTE NO BORRAR'!$A2437&lt;&gt;"Resultado total",('FUENTE NO BORRAR'!G2437),""))</f>
        <v>2937542.81</v>
      </c>
      <c r="H2419" s="6">
        <f>IF('FUENTE NO BORRAR'!H2437="","",IF('FUENTE NO BORRAR'!$A2437&lt;&gt;"Resultado total",('FUENTE NO BORRAR'!H2437),""))</f>
        <v>2937542.81</v>
      </c>
      <c r="I2419" s="6">
        <f>IF('FUENTE NO BORRAR'!I2437="","",IF('FUENTE NO BORRAR'!$A2437&lt;&gt;"Resultado total",('FUENTE NO BORRAR'!I2437),""))</f>
        <v>0</v>
      </c>
    </row>
    <row r="2420" spans="1:11" x14ac:dyDescent="0.2">
      <c r="A2420" s="5" t="str">
        <f>IF('FUENTE NO BORRAR'!A2438="","",(IF('FUENTE NO BORRAR'!A2438&lt;&gt;"Resultado total",'FUENTE NO BORRAR'!A2438,"")))</f>
        <v/>
      </c>
      <c r="B2420" s="5" t="str">
        <f>IF('FUENTE NO BORRAR'!B2438="","",'FUENTE NO BORRAR'!B2438)</f>
        <v/>
      </c>
      <c r="C2420" s="5" t="str">
        <f>IF('FUENTE NO BORRAR'!C2438="","",'FUENTE NO BORRAR'!C2438)</f>
        <v/>
      </c>
      <c r="D2420" s="5" t="str">
        <f>IF('FUENTE NO BORRAR'!D2438="","",'FUENTE NO BORRAR'!D2438)</f>
        <v/>
      </c>
      <c r="E2420" s="5" t="str">
        <f>IF('FUENTE NO BORRAR'!E2438="","",'FUENTE NO BORRAR'!E2438)</f>
        <v/>
      </c>
      <c r="F2420" s="6">
        <f>IF('FUENTE NO BORRAR'!F2438="","",IF('FUENTE NO BORRAR'!$A2438&lt;&gt;"Resultado total",('FUENTE NO BORRAR'!F2438),""))</f>
        <v>4618610.6399999997</v>
      </c>
      <c r="G2420" s="6">
        <f>IF('FUENTE NO BORRAR'!G2438="","",IF('FUENTE NO BORRAR'!$A2438&lt;&gt;"Resultado total",('FUENTE NO BORRAR'!G2438),""))</f>
        <v>4618610.6399999997</v>
      </c>
      <c r="H2420" s="6">
        <f>IF('FUENTE NO BORRAR'!H2438="","",IF('FUENTE NO BORRAR'!$A2438&lt;&gt;"Resultado total",('FUENTE NO BORRAR'!H2438),""))</f>
        <v>4618610.6399999997</v>
      </c>
      <c r="I2420" s="6">
        <f>IF('FUENTE NO BORRAR'!I2438="","",IF('FUENTE NO BORRAR'!$A2438&lt;&gt;"Resultado total",('FUENTE NO BORRAR'!I2438),""))</f>
        <v>0</v>
      </c>
    </row>
    <row r="2421" spans="1:11" x14ac:dyDescent="0.2">
      <c r="A2421" s="5" t="str">
        <f>IF('FUENTE NO BORRAR'!A2439="","",(IF('FUENTE NO BORRAR'!A2439&lt;&gt;"Resultado total",'FUENTE NO BORRAR'!A2439,"")))</f>
        <v/>
      </c>
      <c r="B2421" s="5" t="str">
        <f>IF('FUENTE NO BORRAR'!B2439="","",'FUENTE NO BORRAR'!B2439)</f>
        <v/>
      </c>
      <c r="C2421" s="5" t="str">
        <f>IF('FUENTE NO BORRAR'!C2439="","",'FUENTE NO BORRAR'!C2439)</f>
        <v/>
      </c>
      <c r="D2421" s="5" t="str">
        <f>IF('FUENTE NO BORRAR'!D2439="","",'FUENTE NO BORRAR'!D2439)</f>
        <v/>
      </c>
      <c r="E2421" s="5" t="str">
        <f>IF('FUENTE NO BORRAR'!E2439="","",'FUENTE NO BORRAR'!E2439)</f>
        <v/>
      </c>
      <c r="F2421" s="6">
        <f>IF('FUENTE NO BORRAR'!F2439="","",IF('FUENTE NO BORRAR'!$A2439&lt;&gt;"Resultado total",('FUENTE NO BORRAR'!F2439),""))</f>
        <v>1485216.78</v>
      </c>
      <c r="G2421" s="6">
        <f>IF('FUENTE NO BORRAR'!G2439="","",IF('FUENTE NO BORRAR'!$A2439&lt;&gt;"Resultado total",('FUENTE NO BORRAR'!G2439),""))</f>
        <v>1485216.78</v>
      </c>
      <c r="H2421" s="6">
        <f>IF('FUENTE NO BORRAR'!H2439="","",IF('FUENTE NO BORRAR'!$A2439&lt;&gt;"Resultado total",('FUENTE NO BORRAR'!H2439),""))</f>
        <v>1485216.78</v>
      </c>
      <c r="I2421" s="6">
        <f>IF('FUENTE NO BORRAR'!I2439="","",IF('FUENTE NO BORRAR'!$A2439&lt;&gt;"Resultado total",('FUENTE NO BORRAR'!I2439),""))</f>
        <v>0</v>
      </c>
    </row>
    <row r="2422" spans="1:11" x14ac:dyDescent="0.2">
      <c r="A2422" s="5" t="str">
        <f>IF('FUENTE NO BORRAR'!A2440="","",(IF('FUENTE NO BORRAR'!A2440&lt;&gt;"Resultado total",'FUENTE NO BORRAR'!A2440,"")))</f>
        <v/>
      </c>
      <c r="B2422" s="5" t="str">
        <f>IF('FUENTE NO BORRAR'!B2440="","",'FUENTE NO BORRAR'!B2440)</f>
        <v/>
      </c>
      <c r="C2422" s="5" t="str">
        <f>IF('FUENTE NO BORRAR'!C2440="","",'FUENTE NO BORRAR'!C2440)</f>
        <v/>
      </c>
      <c r="D2422" s="5" t="str">
        <f>IF('FUENTE NO BORRAR'!D2440="","",'FUENTE NO BORRAR'!D2440)</f>
        <v/>
      </c>
      <c r="E2422" s="5" t="str">
        <f>IF('FUENTE NO BORRAR'!E2440="","",'FUENTE NO BORRAR'!E2440)</f>
        <v/>
      </c>
      <c r="F2422" s="6">
        <f>IF('FUENTE NO BORRAR'!F2440="","",IF('FUENTE NO BORRAR'!$A2440&lt;&gt;"Resultado total",('FUENTE NO BORRAR'!F2440),""))</f>
        <v>701648.9</v>
      </c>
      <c r="G2422" s="6">
        <f>IF('FUENTE NO BORRAR'!G2440="","",IF('FUENTE NO BORRAR'!$A2440&lt;&gt;"Resultado total",('FUENTE NO BORRAR'!G2440),""))</f>
        <v>701648.9</v>
      </c>
      <c r="H2422" s="6">
        <f>IF('FUENTE NO BORRAR'!H2440="","",IF('FUENTE NO BORRAR'!$A2440&lt;&gt;"Resultado total",('FUENTE NO BORRAR'!H2440),""))</f>
        <v>701648.9</v>
      </c>
      <c r="I2422" s="6">
        <f>IF('FUENTE NO BORRAR'!I2440="","",IF('FUENTE NO BORRAR'!$A2440&lt;&gt;"Resultado total",('FUENTE NO BORRAR'!I2440),""))</f>
        <v>0</v>
      </c>
    </row>
    <row r="2423" spans="1:11" x14ac:dyDescent="0.2">
      <c r="A2423" s="5" t="str">
        <f>IF('FUENTE NO BORRAR'!A2441="","",(IF('FUENTE NO BORRAR'!A2441&lt;&gt;"Resultado total",'FUENTE NO BORRAR'!A2441,"")))</f>
        <v/>
      </c>
      <c r="B2423" s="5" t="str">
        <f>IF('FUENTE NO BORRAR'!B2441="","",'FUENTE NO BORRAR'!B2441)</f>
        <v/>
      </c>
      <c r="C2423" s="5" t="str">
        <f>IF('FUENTE NO BORRAR'!C2441="","",'FUENTE NO BORRAR'!C2441)</f>
        <v/>
      </c>
      <c r="D2423" s="5" t="str">
        <f>IF('FUENTE NO BORRAR'!D2441="","",'FUENTE NO BORRAR'!D2441)</f>
        <v/>
      </c>
      <c r="E2423" s="5" t="str">
        <f>IF('FUENTE NO BORRAR'!E2441="","",'FUENTE NO BORRAR'!E2441)</f>
        <v/>
      </c>
      <c r="F2423" s="6">
        <f>IF('FUENTE NO BORRAR'!F2441="","",IF('FUENTE NO BORRAR'!$A2441&lt;&gt;"Resultado total",('FUENTE NO BORRAR'!F2441),""))</f>
        <v>11230925.9</v>
      </c>
      <c r="G2423" s="6">
        <f>IF('FUENTE NO BORRAR'!G2441="","",IF('FUENTE NO BORRAR'!$A2441&lt;&gt;"Resultado total",('FUENTE NO BORRAR'!G2441),""))</f>
        <v>11230925.9</v>
      </c>
      <c r="H2423" s="6">
        <f>IF('FUENTE NO BORRAR'!H2441="","",IF('FUENTE NO BORRAR'!$A2441&lt;&gt;"Resultado total",('FUENTE NO BORRAR'!H2441),""))</f>
        <v>11230925.9</v>
      </c>
      <c r="I2423" s="6">
        <f>IF('FUENTE NO BORRAR'!I2441="","",IF('FUENTE NO BORRAR'!$A2441&lt;&gt;"Resultado total",('FUENTE NO BORRAR'!I2441),""))</f>
        <v>0</v>
      </c>
    </row>
    <row r="2424" spans="1:11" x14ac:dyDescent="0.2">
      <c r="A2424" s="5" t="str">
        <f>IF('FUENTE NO BORRAR'!A2442="","",(IF('FUENTE NO BORRAR'!A2442&lt;&gt;"Resultado total",'FUENTE NO BORRAR'!A2442,"")))</f>
        <v/>
      </c>
      <c r="B2424" s="5" t="str">
        <f>IF('FUENTE NO BORRAR'!B2442="","",'FUENTE NO BORRAR'!B2442)</f>
        <v/>
      </c>
      <c r="C2424" s="5" t="str">
        <f>IF('FUENTE NO BORRAR'!C2442="","",'FUENTE NO BORRAR'!C2442)</f>
        <v/>
      </c>
      <c r="D2424" s="5" t="str">
        <f>IF('FUENTE NO BORRAR'!D2442="","",'FUENTE NO BORRAR'!D2442)</f>
        <v/>
      </c>
      <c r="E2424" s="5" t="str">
        <f>IF('FUENTE NO BORRAR'!E2442="","",'FUENTE NO BORRAR'!E2442)</f>
        <v/>
      </c>
      <c r="F2424" s="6">
        <f>IF('FUENTE NO BORRAR'!F2442="","",IF('FUENTE NO BORRAR'!$A2442&lt;&gt;"Resultado total",('FUENTE NO BORRAR'!F2442),""))</f>
        <v>6146251.3300000001</v>
      </c>
      <c r="G2424" s="6">
        <f>IF('FUENTE NO BORRAR'!G2442="","",IF('FUENTE NO BORRAR'!$A2442&lt;&gt;"Resultado total",('FUENTE NO BORRAR'!G2442),""))</f>
        <v>6146251.3099999996</v>
      </c>
      <c r="H2424" s="6">
        <f>IF('FUENTE NO BORRAR'!H2442="","",IF('FUENTE NO BORRAR'!$A2442&lt;&gt;"Resultado total",('FUENTE NO BORRAR'!H2442),""))</f>
        <v>6077764</v>
      </c>
      <c r="I2424" s="6">
        <f>IF('FUENTE NO BORRAR'!I2442="","",IF('FUENTE NO BORRAR'!$A2442&lt;&gt;"Resultado total",('FUENTE NO BORRAR'!I2442),""))</f>
        <v>2.0000005000000001E-2</v>
      </c>
    </row>
    <row r="2425" spans="1:11" x14ac:dyDescent="0.2">
      <c r="A2425" s="5" t="str">
        <f>IF('FUENTE NO BORRAR'!A2443="","",(IF('FUENTE NO BORRAR'!A2443&lt;&gt;"Resultado total",'FUENTE NO BORRAR'!A2443,"")))</f>
        <v/>
      </c>
      <c r="B2425" s="5" t="str">
        <f>IF('FUENTE NO BORRAR'!B2443="","",'FUENTE NO BORRAR'!B2443)</f>
        <v/>
      </c>
      <c r="C2425" s="5" t="str">
        <f>IF('FUENTE NO BORRAR'!C2443="","",'FUENTE NO BORRAR'!C2443)</f>
        <v/>
      </c>
      <c r="D2425" s="5" t="str">
        <f>IF('FUENTE NO BORRAR'!D2443="","",'FUENTE NO BORRAR'!D2443)</f>
        <v/>
      </c>
      <c r="E2425" s="5" t="str">
        <f>IF('FUENTE NO BORRAR'!E2443="","",'FUENTE NO BORRAR'!E2443)</f>
        <v/>
      </c>
      <c r="F2425" s="6">
        <f>IF('FUENTE NO BORRAR'!F2443="","",IF('FUENTE NO BORRAR'!$A2443&lt;&gt;"Resultado total",('FUENTE NO BORRAR'!F2443),""))</f>
        <v>14275076.800000001</v>
      </c>
      <c r="G2425" s="6">
        <f>IF('FUENTE NO BORRAR'!G2443="","",IF('FUENTE NO BORRAR'!$A2443&lt;&gt;"Resultado total",('FUENTE NO BORRAR'!G2443),""))</f>
        <v>14275046.800000001</v>
      </c>
      <c r="H2425" s="6">
        <f>IF('FUENTE NO BORRAR'!H2443="","",IF('FUENTE NO BORRAR'!$A2443&lt;&gt;"Resultado total",('FUENTE NO BORRAR'!H2443),""))</f>
        <v>14264896.699999999</v>
      </c>
      <c r="I2425" s="6">
        <f>IF('FUENTE NO BORRAR'!I2443="","",IF('FUENTE NO BORRAR'!$A2443&lt;&gt;"Resultado total",('FUENTE NO BORRAR'!I2443),""))</f>
        <v>30.000000006</v>
      </c>
    </row>
    <row r="2426" spans="1:11" x14ac:dyDescent="0.2">
      <c r="A2426" s="5" t="str">
        <f>IF('FUENTE NO BORRAR'!A2444="","",(IF('FUENTE NO BORRAR'!A2444&lt;&gt;"Resultado total",'FUENTE NO BORRAR'!A2444,"")))</f>
        <v/>
      </c>
      <c r="B2426" s="5" t="str">
        <f>IF('FUENTE NO BORRAR'!B2444="","",'FUENTE NO BORRAR'!B2444)</f>
        <v/>
      </c>
      <c r="C2426" s="5" t="str">
        <f>IF('FUENTE NO BORRAR'!C2444="","",'FUENTE NO BORRAR'!C2444)</f>
        <v/>
      </c>
      <c r="D2426" s="5" t="str">
        <f>IF('FUENTE NO BORRAR'!D2444="","",'FUENTE NO BORRAR'!D2444)</f>
        <v/>
      </c>
      <c r="E2426" s="5" t="str">
        <f>IF('FUENTE NO BORRAR'!E2444="","",'FUENTE NO BORRAR'!E2444)</f>
        <v/>
      </c>
      <c r="F2426" s="6">
        <f>IF('FUENTE NO BORRAR'!F2444="","",IF('FUENTE NO BORRAR'!$A2444&lt;&gt;"Resultado total",('FUENTE NO BORRAR'!F2444),""))</f>
        <v>587313.28</v>
      </c>
      <c r="G2426" s="6">
        <f>IF('FUENTE NO BORRAR'!G2444="","",IF('FUENTE NO BORRAR'!$A2444&lt;&gt;"Resultado total",('FUENTE NO BORRAR'!G2444),""))</f>
        <v>587313.28</v>
      </c>
      <c r="H2426" s="6">
        <f>IF('FUENTE NO BORRAR'!H2444="","",IF('FUENTE NO BORRAR'!$A2444&lt;&gt;"Resultado total",('FUENTE NO BORRAR'!H2444),""))</f>
        <v>587313.28</v>
      </c>
      <c r="I2426" s="6">
        <f>IF('FUENTE NO BORRAR'!I2444="","",IF('FUENTE NO BORRAR'!$A2444&lt;&gt;"Resultado total",('FUENTE NO BORRAR'!I2444),""))</f>
        <v>0</v>
      </c>
    </row>
    <row r="2427" spans="1:11" x14ac:dyDescent="0.2">
      <c r="A2427" s="5" t="str">
        <f>IF('FUENTE NO BORRAR'!A2445="","",(IF('FUENTE NO BORRAR'!A2445&lt;&gt;"Resultado total",'FUENTE NO BORRAR'!A2445,"")))</f>
        <v/>
      </c>
      <c r="B2427" s="5" t="str">
        <f>IF('FUENTE NO BORRAR'!B2445="","",'FUENTE NO BORRAR'!B2445)</f>
        <v/>
      </c>
      <c r="C2427" s="5" t="str">
        <f>IF('FUENTE NO BORRAR'!C2445="","",'FUENTE NO BORRAR'!C2445)</f>
        <v/>
      </c>
      <c r="D2427" s="5" t="str">
        <f>IF('FUENTE NO BORRAR'!D2445="","",'FUENTE NO BORRAR'!D2445)</f>
        <v/>
      </c>
      <c r="E2427" s="5" t="str">
        <f>IF('FUENTE NO BORRAR'!E2445="","",'FUENTE NO BORRAR'!E2445)</f>
        <v/>
      </c>
      <c r="F2427" s="6">
        <f>IF('FUENTE NO BORRAR'!F2445="","",IF('FUENTE NO BORRAR'!$A2445&lt;&gt;"Resultado total",('FUENTE NO BORRAR'!F2445),""))</f>
        <v>187251.98</v>
      </c>
      <c r="G2427" s="6">
        <f>IF('FUENTE NO BORRAR'!G2445="","",IF('FUENTE NO BORRAR'!$A2445&lt;&gt;"Resultado total",('FUENTE NO BORRAR'!G2445),""))</f>
        <v>187251.98</v>
      </c>
      <c r="H2427" s="6">
        <f>IF('FUENTE NO BORRAR'!H2445="","",IF('FUENTE NO BORRAR'!$A2445&lt;&gt;"Resultado total",('FUENTE NO BORRAR'!H2445),""))</f>
        <v>186729.98</v>
      </c>
      <c r="I2427" s="6">
        <f>IF('FUENTE NO BORRAR'!I2445="","",IF('FUENTE NO BORRAR'!$A2445&lt;&gt;"Resultado total",('FUENTE NO BORRAR'!I2445),""))</f>
        <v>0</v>
      </c>
    </row>
    <row r="2428" spans="1:11" ht="13.5" thickBot="1" x14ac:dyDescent="0.25">
      <c r="A2428" s="5" t="str">
        <f>IF('FUENTE NO BORRAR'!A2446="","",(IF('FUENTE NO BORRAR'!A2446&lt;&gt;"Resultado total",'FUENTE NO BORRAR'!A2446,"")))</f>
        <v/>
      </c>
      <c r="B2428" s="5" t="str">
        <f>IF('FUENTE NO BORRAR'!B2446="","",'FUENTE NO BORRAR'!B2446)</f>
        <v/>
      </c>
      <c r="C2428" s="5" t="str">
        <f>IF('FUENTE NO BORRAR'!C2446="","",'FUENTE NO BORRAR'!C2446)</f>
        <v/>
      </c>
      <c r="D2428" s="5" t="str">
        <f>IF('FUENTE NO BORRAR'!D2446="","",'FUENTE NO BORRAR'!D2446)</f>
        <v/>
      </c>
      <c r="E2428" s="5" t="str">
        <f>IF('FUENTE NO BORRAR'!E2446="","",'FUENTE NO BORRAR'!E2446)</f>
        <v/>
      </c>
      <c r="F2428" s="6">
        <f>IF('FUENTE NO BORRAR'!F2446="","",IF('FUENTE NO BORRAR'!$A2446&lt;&gt;"Resultado total",('FUENTE NO BORRAR'!F2446),""))</f>
        <v>30677.8</v>
      </c>
      <c r="G2428" s="6">
        <f>IF('FUENTE NO BORRAR'!G2446="","",IF('FUENTE NO BORRAR'!$A2446&lt;&gt;"Resultado total",('FUENTE NO BORRAR'!G2446),""))</f>
        <v>30677.8</v>
      </c>
      <c r="H2428" s="6">
        <f>IF('FUENTE NO BORRAR'!H2446="","",IF('FUENTE NO BORRAR'!$A2446&lt;&gt;"Resultado total",('FUENTE NO BORRAR'!H2446),""))</f>
        <v>2987.4</v>
      </c>
      <c r="I2428" s="6">
        <f>IF('FUENTE NO BORRAR'!I2446="","",IF('FUENTE NO BORRAR'!$A2446&lt;&gt;"Resultado total",('FUENTE NO BORRAR'!I2446),""))</f>
        <v>0</v>
      </c>
    </row>
    <row r="2429" spans="1:11" ht="13.5" thickBot="1" x14ac:dyDescent="0.25">
      <c r="A2429" s="31" t="s">
        <v>5</v>
      </c>
      <c r="B2429" s="30"/>
      <c r="C2429" s="30"/>
      <c r="D2429" s="29"/>
      <c r="E2429" s="7"/>
      <c r="F2429" s="8">
        <f>SUM(F8:F2428)</f>
        <v>1528775087.6899993</v>
      </c>
      <c r="G2429" s="8">
        <f>SUM(G8:G2428)</f>
        <v>1324768236.4600022</v>
      </c>
      <c r="H2429" s="8">
        <f t="shared" ref="H2429:I2429" si="0">SUM(H8:H2428)</f>
        <v>1277008881.8800008</v>
      </c>
      <c r="I2429" s="8">
        <f t="shared" si="0"/>
        <v>204006851.23000011</v>
      </c>
    </row>
    <row r="2430" spans="1:11" x14ac:dyDescent="0.2">
      <c r="H2430" s="2"/>
      <c r="I2430" s="2"/>
      <c r="J2430" s="2"/>
      <c r="K2430" s="2"/>
    </row>
    <row r="2431" spans="1:11" ht="18" x14ac:dyDescent="0.25">
      <c r="A2431" s="45" t="s">
        <v>20</v>
      </c>
      <c r="H2431" s="2"/>
      <c r="I2431" s="2"/>
      <c r="J2431" s="2"/>
      <c r="K2431" s="2"/>
    </row>
    <row r="2432" spans="1:11" ht="7.5" customHeight="1" x14ac:dyDescent="0.2">
      <c r="A2432" s="32"/>
      <c r="H2432" s="2"/>
      <c r="I2432" s="2"/>
      <c r="J2432" s="2"/>
      <c r="K2432" s="2"/>
    </row>
    <row r="2433" spans="1:11" ht="19.5" customHeight="1" x14ac:dyDescent="0.2">
      <c r="A2433" s="55" t="s">
        <v>19</v>
      </c>
      <c r="B2433" s="55"/>
      <c r="C2433" s="55"/>
      <c r="D2433" s="55"/>
      <c r="E2433" s="55"/>
      <c r="F2433" s="55"/>
      <c r="H2433" s="2"/>
      <c r="I2433" s="2"/>
      <c r="J2433" s="2"/>
      <c r="K2433" s="2"/>
    </row>
    <row r="2434" spans="1:11" ht="21.75" customHeight="1" x14ac:dyDescent="0.2">
      <c r="A2434" s="55"/>
      <c r="B2434" s="55"/>
      <c r="C2434" s="55"/>
      <c r="D2434" s="55"/>
      <c r="E2434" s="55"/>
      <c r="F2434" s="55"/>
      <c r="H2434" s="2"/>
      <c r="I2434" s="2"/>
      <c r="J2434" s="2"/>
      <c r="K2434" s="2"/>
    </row>
    <row r="2435" spans="1:11" x14ac:dyDescent="0.2">
      <c r="A2435" s="32"/>
      <c r="H2435" s="2"/>
      <c r="I2435" s="2"/>
      <c r="J2435" s="2"/>
      <c r="K2435" s="2"/>
    </row>
    <row r="2436" spans="1:11" x14ac:dyDescent="0.2">
      <c r="A2436" s="32"/>
      <c r="H2436" s="2"/>
      <c r="I2436" s="2"/>
      <c r="J2436" s="2"/>
      <c r="K2436" s="2"/>
    </row>
    <row r="2437" spans="1:11" x14ac:dyDescent="0.2">
      <c r="F2437" s="2"/>
      <c r="G2437" s="2"/>
      <c r="H2437" s="2"/>
    </row>
    <row r="2438" spans="1:11" ht="15.75" x14ac:dyDescent="0.25">
      <c r="A2438" s="34" t="s">
        <v>23</v>
      </c>
      <c r="B2438" s="33"/>
      <c r="C2438" s="33"/>
      <c r="D2438" s="35"/>
      <c r="E2438" s="34"/>
      <c r="F2438" s="33"/>
      <c r="G2438" s="33"/>
      <c r="H2438" s="38" t="s">
        <v>154</v>
      </c>
      <c r="I2438" s="39"/>
      <c r="J2438" s="33"/>
    </row>
    <row r="2439" spans="1:11" ht="15" x14ac:dyDescent="0.25">
      <c r="A2439" s="36"/>
      <c r="B2439" s="33"/>
      <c r="C2439" s="33"/>
      <c r="D2439" s="35"/>
      <c r="E2439" s="33"/>
      <c r="F2439" s="33"/>
      <c r="G2439" s="33"/>
      <c r="H2439" s="40"/>
      <c r="I2439" s="39"/>
      <c r="J2439" s="33"/>
    </row>
    <row r="2440" spans="1:11" ht="15" x14ac:dyDescent="0.25">
      <c r="A2440" s="33"/>
      <c r="B2440" s="33"/>
      <c r="C2440" s="33"/>
      <c r="D2440" s="35"/>
      <c r="E2440" s="33"/>
      <c r="F2440" s="33"/>
      <c r="G2440" s="33"/>
      <c r="H2440" s="40"/>
      <c r="I2440" s="39"/>
      <c r="J2440" s="33"/>
    </row>
    <row r="2441" spans="1:11" ht="15" x14ac:dyDescent="0.25">
      <c r="A2441" s="36" t="s">
        <v>10</v>
      </c>
      <c r="B2441" s="33"/>
      <c r="C2441" s="33"/>
      <c r="D2441" s="35"/>
      <c r="E2441" s="41" t="s">
        <v>11</v>
      </c>
      <c r="F2441" s="33"/>
      <c r="G2441" s="33"/>
      <c r="H2441" s="42" t="s">
        <v>12</v>
      </c>
      <c r="I2441" s="39"/>
      <c r="J2441" s="33"/>
    </row>
    <row r="2442" spans="1:11" ht="39" customHeight="1" x14ac:dyDescent="0.25">
      <c r="A2442" s="43" t="s">
        <v>22</v>
      </c>
      <c r="B2442" s="33"/>
      <c r="C2442" s="33"/>
      <c r="D2442" s="35"/>
      <c r="E2442" s="38" t="s">
        <v>150</v>
      </c>
      <c r="F2442" s="33"/>
      <c r="G2442" s="33"/>
      <c r="H2442" s="54" t="s">
        <v>24</v>
      </c>
      <c r="I2442" s="54"/>
      <c r="J2442" s="33"/>
    </row>
    <row r="2443" spans="1:11" ht="15.75" x14ac:dyDescent="0.25">
      <c r="A2443" s="43"/>
      <c r="B2443" s="33"/>
      <c r="C2443" s="33"/>
      <c r="D2443" s="35"/>
      <c r="E2443" s="38"/>
      <c r="F2443" s="33"/>
      <c r="G2443" s="33"/>
      <c r="H2443" s="34"/>
      <c r="I2443" s="39"/>
      <c r="J2443" s="33"/>
    </row>
    <row r="2444" spans="1:11" ht="15.75" x14ac:dyDescent="0.25">
      <c r="A2444" s="43"/>
      <c r="B2444" s="33"/>
      <c r="C2444" s="33"/>
      <c r="D2444" s="35"/>
      <c r="E2444" s="38"/>
      <c r="F2444" s="33"/>
      <c r="G2444" s="33"/>
      <c r="H2444" s="34"/>
      <c r="I2444" s="39"/>
      <c r="J2444" s="33"/>
    </row>
    <row r="2445" spans="1:11" ht="15.75" x14ac:dyDescent="0.25">
      <c r="A2445" s="34" t="s">
        <v>13</v>
      </c>
      <c r="B2445" s="33"/>
      <c r="C2445" s="33"/>
      <c r="D2445" s="35"/>
      <c r="E2445" s="38"/>
      <c r="F2445" s="34" t="s">
        <v>153</v>
      </c>
      <c r="G2445" s="37"/>
      <c r="H2445" s="34"/>
      <c r="I2445" s="39"/>
      <c r="J2445" s="33"/>
    </row>
    <row r="2446" spans="1:11" ht="15.75" x14ac:dyDescent="0.25">
      <c r="A2446" s="36"/>
      <c r="B2446" s="33"/>
      <c r="C2446" s="33"/>
      <c r="D2446" s="35"/>
      <c r="E2446" s="38"/>
      <c r="F2446" s="36"/>
      <c r="G2446" s="37"/>
      <c r="H2446" s="34"/>
      <c r="I2446" s="39"/>
      <c r="J2446" s="33"/>
    </row>
    <row r="2447" spans="1:11" ht="15.75" x14ac:dyDescent="0.25">
      <c r="A2447" s="33"/>
      <c r="B2447" s="33"/>
      <c r="C2447" s="33"/>
      <c r="D2447" s="35"/>
      <c r="E2447" s="38"/>
      <c r="F2447" s="33"/>
      <c r="G2447" s="37"/>
      <c r="H2447" s="34"/>
      <c r="I2447" s="39"/>
      <c r="J2447" s="33"/>
    </row>
    <row r="2448" spans="1:11" ht="15.75" x14ac:dyDescent="0.25">
      <c r="A2448" s="36" t="s">
        <v>14</v>
      </c>
      <c r="B2448" s="33"/>
      <c r="C2448" s="33"/>
      <c r="D2448" s="35"/>
      <c r="E2448" s="38"/>
      <c r="F2448" s="36" t="s">
        <v>15</v>
      </c>
      <c r="G2448" s="37"/>
      <c r="H2448" s="34"/>
      <c r="I2448" s="39"/>
      <c r="J2448" s="33"/>
    </row>
    <row r="2449" spans="1:11" ht="15.75" x14ac:dyDescent="0.25">
      <c r="A2449" s="43" t="s">
        <v>25</v>
      </c>
      <c r="B2449" s="33"/>
      <c r="C2449" s="33"/>
      <c r="D2449" s="35"/>
      <c r="E2449" s="38"/>
      <c r="F2449" s="43" t="s">
        <v>151</v>
      </c>
      <c r="G2449" s="37"/>
      <c r="H2449" s="34"/>
      <c r="I2449" s="39"/>
      <c r="J2449" s="33"/>
    </row>
    <row r="2450" spans="1:11" ht="15.75" x14ac:dyDescent="0.25">
      <c r="A2450" s="13"/>
      <c r="D2450" s="14"/>
      <c r="E2450" s="12"/>
      <c r="F2450" s="15"/>
      <c r="G2450" s="11"/>
      <c r="H2450" s="11"/>
    </row>
    <row r="2451" spans="1:11" x14ac:dyDescent="0.2">
      <c r="A2451" s="16"/>
      <c r="D2451" s="17"/>
      <c r="E2451" s="11"/>
      <c r="F2451" s="18"/>
      <c r="G2451" s="11"/>
      <c r="H2451" s="11"/>
    </row>
    <row r="2452" spans="1:11" x14ac:dyDescent="0.2">
      <c r="B2452" s="19"/>
      <c r="C2452" s="19"/>
      <c r="E2452" s="17"/>
      <c r="F2452" s="11"/>
      <c r="G2452" s="18"/>
      <c r="H2452" s="11"/>
      <c r="I2452" s="11"/>
    </row>
    <row r="2453" spans="1:11" x14ac:dyDescent="0.2">
      <c r="B2453" s="16"/>
      <c r="C2453" s="16"/>
      <c r="E2453" s="20"/>
      <c r="F2453" s="11"/>
      <c r="G2453" s="21"/>
      <c r="H2453" s="11"/>
      <c r="I2453" s="11"/>
    </row>
    <row r="2454" spans="1:11" ht="15.75" x14ac:dyDescent="0.25">
      <c r="B2454" s="22"/>
      <c r="C2454" s="22"/>
      <c r="E2454" s="15"/>
      <c r="F2454" s="11"/>
      <c r="G2454" s="14"/>
      <c r="H2454" s="11"/>
      <c r="I2454" s="11"/>
    </row>
    <row r="2455" spans="1:11" x14ac:dyDescent="0.2">
      <c r="H2455" s="2"/>
      <c r="I2455" s="2"/>
      <c r="J2455" s="2"/>
      <c r="K2455" s="2"/>
    </row>
    <row r="2456" spans="1:11" x14ac:dyDescent="0.2">
      <c r="H2456" s="2"/>
      <c r="I2456" s="2"/>
      <c r="J2456" s="2"/>
      <c r="K2456" s="2"/>
    </row>
    <row r="2457" spans="1:11" x14ac:dyDescent="0.2">
      <c r="H2457" s="2"/>
      <c r="I2457" s="2"/>
      <c r="J2457" s="2"/>
      <c r="K2457" s="2"/>
    </row>
    <row r="2458" spans="1:11" x14ac:dyDescent="0.2">
      <c r="H2458" s="2"/>
      <c r="I2458" s="2"/>
      <c r="J2458" s="2"/>
      <c r="K2458" s="2"/>
    </row>
    <row r="2459" spans="1:11" x14ac:dyDescent="0.2">
      <c r="H2459" s="2"/>
      <c r="I2459" s="2"/>
      <c r="J2459" s="2"/>
      <c r="K2459" s="2"/>
    </row>
    <row r="2460" spans="1:11" x14ac:dyDescent="0.2">
      <c r="H2460" s="2"/>
      <c r="I2460" s="2"/>
      <c r="J2460" s="2"/>
      <c r="K2460" s="2"/>
    </row>
    <row r="2461" spans="1:11" x14ac:dyDescent="0.2">
      <c r="H2461" s="2"/>
      <c r="I2461" s="2"/>
      <c r="J2461" s="2"/>
      <c r="K2461" s="2"/>
    </row>
    <row r="2462" spans="1:11" x14ac:dyDescent="0.2">
      <c r="H2462" s="2"/>
      <c r="I2462" s="2"/>
      <c r="J2462" s="2"/>
      <c r="K2462" s="2"/>
    </row>
    <row r="2463" spans="1:11" x14ac:dyDescent="0.2">
      <c r="H2463" s="2"/>
      <c r="I2463" s="2"/>
      <c r="J2463" s="2"/>
      <c r="K2463" s="2"/>
    </row>
    <row r="2464" spans="1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</sheetData>
  <mergeCells count="11">
    <mergeCell ref="H2442:I2442"/>
    <mergeCell ref="A2433:F2434"/>
    <mergeCell ref="A6:A7"/>
    <mergeCell ref="B6:B7"/>
    <mergeCell ref="A2:I2"/>
    <mergeCell ref="A3:I3"/>
    <mergeCell ref="A4:I4"/>
    <mergeCell ref="A5:I5"/>
    <mergeCell ref="F6:H6"/>
    <mergeCell ref="E6:E7"/>
    <mergeCell ref="C6:D7"/>
  </mergeCells>
  <printOptions horizontalCentered="1"/>
  <pageMargins left="0.70866141732283472" right="0.70866141732283472" top="0.74803149606299213" bottom="0.74803149606299213" header="0.31496062992125984" footer="0.31496062992125984"/>
  <pageSetup scale="60" fitToHeight="0" orientation="portrait" horizontalDpi="4294967293" verticalDpi="4294967293" r:id="rId1"/>
  <headerFooter>
    <oddFooter>&amp;C&amp;F&amp;RPágina &amp;P &amp;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50"/>
  <sheetViews>
    <sheetView workbookViewId="0"/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6" width="17" bestFit="1" customWidth="1"/>
    <col min="7" max="8" width="20.42578125" bestFit="1" customWidth="1"/>
    <col min="9" max="9" width="19.140625" bestFit="1" customWidth="1"/>
    <col min="10" max="10" width="11.7109375" bestFit="1" customWidth="1"/>
    <col min="11" max="11" width="13.7109375" bestFit="1" customWidth="1"/>
  </cols>
  <sheetData>
    <row r="1" spans="1:9" x14ac:dyDescent="0.2">
      <c r="A1" s="53" t="s">
        <v>29</v>
      </c>
      <c r="B1" s="53" t="s">
        <v>30</v>
      </c>
      <c r="C1" s="53" t="s">
        <v>31</v>
      </c>
      <c r="D1" s="53" t="s">
        <v>32</v>
      </c>
      <c r="E1" s="53" t="s">
        <v>33</v>
      </c>
      <c r="F1" s="46" t="s">
        <v>34</v>
      </c>
      <c r="G1" s="46" t="s">
        <v>35</v>
      </c>
      <c r="H1" s="46" t="s">
        <v>36</v>
      </c>
      <c r="I1" s="46" t="s">
        <v>37</v>
      </c>
    </row>
    <row r="2" spans="1:9" x14ac:dyDescent="0.2">
      <c r="A2" s="46" t="s">
        <v>38</v>
      </c>
      <c r="B2" s="46" t="s">
        <v>39</v>
      </c>
      <c r="C2" s="46" t="s">
        <v>40</v>
      </c>
      <c r="D2" s="46" t="s">
        <v>41</v>
      </c>
      <c r="E2" s="46" t="s">
        <v>32</v>
      </c>
      <c r="F2" s="47">
        <f>[1]!BexGetData("DP_1","DJS6ARX3MS2YI3A6B50F1GCUY","11","I","22076014I333","2067613012")</f>
        <v>1209079.33</v>
      </c>
      <c r="G2" s="48">
        <f>[1]!BexGetData("DP_1","DJU2XQM4HBO2BQNZJAJPT32U2","11","I","22076014I333","2067613012")</f>
        <v>0</v>
      </c>
      <c r="H2" s="48">
        <f>[1]!BexGetData("DP_1","DJU2XQM4HBQDDLN9HWUK0D9NE","11","I","22076014I333","2067613012")</f>
        <v>0</v>
      </c>
      <c r="I2" s="48">
        <f>[1]!BexGetData("DP_1","DJU2XQM4HBSOFGMJGJ5E7NGGQ","11","I","22076014I333","2067613012")</f>
        <v>1209079.33</v>
      </c>
    </row>
    <row r="3" spans="1:9" x14ac:dyDescent="0.2">
      <c r="A3" s="46" t="s">
        <v>32</v>
      </c>
      <c r="B3" s="46" t="s">
        <v>32</v>
      </c>
      <c r="C3" s="46" t="s">
        <v>32</v>
      </c>
      <c r="D3" s="46" t="s">
        <v>32</v>
      </c>
      <c r="E3" s="46" t="s">
        <v>32</v>
      </c>
      <c r="F3" s="47">
        <f>[1]!BexGetData("DP_1","DJS6ARX3MS2YI3A6B50F1GCUY","11","I","22076014I333","2067614032")</f>
        <v>828721.45</v>
      </c>
      <c r="G3" s="48">
        <f>[1]!BexGetData("DP_1","DJU2XQM4HBO2BQNZJAJPT32U2","11","I","22076014I333","2067614032")</f>
        <v>0</v>
      </c>
      <c r="H3" s="48">
        <f>[1]!BexGetData("DP_1","DJU2XQM4HBQDDLN9HWUK0D9NE","11","I","22076014I333","2067614032")</f>
        <v>0</v>
      </c>
      <c r="I3" s="48">
        <f>[1]!BexGetData("DP_1","DJU2XQM4HBSOFGMJGJ5E7NGGQ","11","I","22076014I333","2067614032")</f>
        <v>828721.45</v>
      </c>
    </row>
    <row r="4" spans="1:9" x14ac:dyDescent="0.2">
      <c r="A4" s="46" t="s">
        <v>42</v>
      </c>
      <c r="B4" s="46" t="s">
        <v>39</v>
      </c>
      <c r="C4" s="46" t="s">
        <v>40</v>
      </c>
      <c r="D4" s="46" t="s">
        <v>41</v>
      </c>
      <c r="E4" s="46" t="s">
        <v>32</v>
      </c>
      <c r="F4" s="47">
        <f>[1]!BexGetData("DP_1","DJS6ARX3MS2YI3A6B50F1GCUY","12","I","22076014I333","2067613012")</f>
        <v>1110312.19</v>
      </c>
      <c r="G4" s="48">
        <f>[1]!BexGetData("DP_1","DJU2XQM4HBO2BQNZJAJPT32U2","12","I","22076014I333","2067613012")</f>
        <v>0</v>
      </c>
      <c r="H4" s="48">
        <f>[1]!BexGetData("DP_1","DJU2XQM4HBQDDLN9HWUK0D9NE","12","I","22076014I333","2067613012")</f>
        <v>0</v>
      </c>
      <c r="I4" s="48">
        <f>[1]!BexGetData("DP_1","DJU2XQM4HBSOFGMJGJ5E7NGGQ","12","I","22076014I333","2067613012")</f>
        <v>1110312.19</v>
      </c>
    </row>
    <row r="5" spans="1:9" x14ac:dyDescent="0.2">
      <c r="A5" s="46" t="s">
        <v>32</v>
      </c>
      <c r="B5" s="46" t="s">
        <v>32</v>
      </c>
      <c r="C5" s="46" t="s">
        <v>32</v>
      </c>
      <c r="D5" s="46" t="s">
        <v>32</v>
      </c>
      <c r="E5" s="46" t="s">
        <v>32</v>
      </c>
      <c r="F5" s="47">
        <f>[1]!BexGetData("DP_1","DJS6ARX3MS2YI3A6B50F1GCUY","12","I","22076014I333","2067614032")</f>
        <v>1282229.98</v>
      </c>
      <c r="G5" s="48">
        <f>[1]!BexGetData("DP_1","DJU2XQM4HBO2BQNZJAJPT32U2","12","I","22076014I333","2067614032")</f>
        <v>0</v>
      </c>
      <c r="H5" s="48">
        <f>[1]!BexGetData("DP_1","DJU2XQM4HBQDDLN9HWUK0D9NE","12","I","22076014I333","2067614032")</f>
        <v>0</v>
      </c>
      <c r="I5" s="48">
        <f>[1]!BexGetData("DP_1","DJU2XQM4HBSOFGMJGJ5E7NGGQ","12","I","22076014I333","2067614032")</f>
        <v>1282229.98</v>
      </c>
    </row>
    <row r="6" spans="1:9" x14ac:dyDescent="0.2">
      <c r="A6" s="46" t="s">
        <v>43</v>
      </c>
      <c r="B6" s="46" t="s">
        <v>39</v>
      </c>
      <c r="C6" s="46" t="s">
        <v>40</v>
      </c>
      <c r="D6" s="46" t="s">
        <v>41</v>
      </c>
      <c r="E6" s="46" t="s">
        <v>32</v>
      </c>
      <c r="F6" s="49" t="str">
        <f>[1]!BexGetData("DP_1","DJS6ARX3MS2YI3A6B50F1GCUY","13","I","22076014I333","2067341011")</f>
        <v/>
      </c>
      <c r="G6" s="48">
        <f>[1]!BexGetData("DP_1","DJU2XQM4HBO2BQNZJAJPT32U2","13","I","22076014I333","2067341011")</f>
        <v>27.84</v>
      </c>
      <c r="H6" s="48">
        <f>[1]!BexGetData("DP_1","DJU2XQM4HBQDDLN9HWUK0D9NE","13","I","22076014I333","2067341011")</f>
        <v>27.84</v>
      </c>
      <c r="I6" s="48">
        <f>[1]!BexGetData("DP_1","DJU2XQM4HBSOFGMJGJ5E7NGGQ","13","I","22076014I333","2067341011")</f>
        <v>-27.84</v>
      </c>
    </row>
    <row r="7" spans="1:9" x14ac:dyDescent="0.2">
      <c r="A7" s="46" t="s">
        <v>32</v>
      </c>
      <c r="B7" s="46" t="s">
        <v>32</v>
      </c>
      <c r="C7" s="46" t="s">
        <v>32</v>
      </c>
      <c r="D7" s="46" t="s">
        <v>32</v>
      </c>
      <c r="E7" s="46" t="s">
        <v>32</v>
      </c>
      <c r="F7" s="47">
        <f>[1]!BexGetData("DP_1","DJS6ARX3MS2YI3A6B50F1GCUY","13","I","22076014I333","2067614022")</f>
        <v>252068.77</v>
      </c>
      <c r="G7" s="48">
        <f>[1]!BexGetData("DP_1","DJU2XQM4HBO2BQNZJAJPT32U2","13","I","22076014I333","2067614022")</f>
        <v>0</v>
      </c>
      <c r="H7" s="48">
        <f>[1]!BexGetData("DP_1","DJU2XQM4HBQDDLN9HWUK0D9NE","13","I","22076014I333","2067614022")</f>
        <v>0</v>
      </c>
      <c r="I7" s="48">
        <f>[1]!BexGetData("DP_1","DJU2XQM4HBSOFGMJGJ5E7NGGQ","13","I","22076014I333","2067614022")</f>
        <v>252068.77</v>
      </c>
    </row>
    <row r="8" spans="1:9" x14ac:dyDescent="0.2">
      <c r="A8" s="46" t="s">
        <v>32</v>
      </c>
      <c r="B8" s="46" t="s">
        <v>32</v>
      </c>
      <c r="C8" s="46" t="s">
        <v>32</v>
      </c>
      <c r="D8" s="46" t="s">
        <v>32</v>
      </c>
      <c r="E8" s="46" t="s">
        <v>32</v>
      </c>
      <c r="F8" s="47">
        <f>[1]!BexGetData("DP_1","DJS6ARX3MS2YI3A6B50F1GCUY","13","I","22076014I333","2067614032")</f>
        <v>83150.17</v>
      </c>
      <c r="G8" s="48">
        <f>[1]!BexGetData("DP_1","DJU2XQM4HBO2BQNZJAJPT32U2","13","I","22076014I333","2067614032")</f>
        <v>0</v>
      </c>
      <c r="H8" s="48">
        <f>[1]!BexGetData("DP_1","DJU2XQM4HBQDDLN9HWUK0D9NE","13","I","22076014I333","2067614032")</f>
        <v>0</v>
      </c>
      <c r="I8" s="48">
        <f>[1]!BexGetData("DP_1","DJU2XQM4HBSOFGMJGJ5E7NGGQ","13","I","22076014I333","2067614032")</f>
        <v>83150.17</v>
      </c>
    </row>
    <row r="9" spans="1:9" x14ac:dyDescent="0.2">
      <c r="A9" s="46" t="s">
        <v>32</v>
      </c>
      <c r="B9" s="46" t="s">
        <v>32</v>
      </c>
      <c r="C9" s="46" t="s">
        <v>32</v>
      </c>
      <c r="D9" s="46" t="s">
        <v>32</v>
      </c>
      <c r="E9" s="46" t="s">
        <v>32</v>
      </c>
      <c r="F9" s="47">
        <f>[1]!BexGetData("DP_1","DJS6ARX3MS2YI3A6B50F1GCUY","13","I","22076014I333","2067615012")</f>
        <v>3.21</v>
      </c>
      <c r="G9" s="48">
        <f>[1]!BexGetData("DP_1","DJU2XQM4HBO2BQNZJAJPT32U2","13","I","22076014I333","2067615012")</f>
        <v>0</v>
      </c>
      <c r="H9" s="48">
        <f>[1]!BexGetData("DP_1","DJU2XQM4HBQDDLN9HWUK0D9NE","13","I","22076014I333","2067615012")</f>
        <v>0</v>
      </c>
      <c r="I9" s="48">
        <f>[1]!BexGetData("DP_1","DJU2XQM4HBSOFGMJGJ5E7NGGQ","13","I","22076014I333","2067615012")</f>
        <v>3.21</v>
      </c>
    </row>
    <row r="10" spans="1:9" x14ac:dyDescent="0.2">
      <c r="A10" s="46" t="s">
        <v>44</v>
      </c>
      <c r="B10" s="46" t="s">
        <v>39</v>
      </c>
      <c r="C10" s="46" t="s">
        <v>40</v>
      </c>
      <c r="D10" s="46" t="s">
        <v>41</v>
      </c>
      <c r="E10" s="46" t="s">
        <v>32</v>
      </c>
      <c r="F10" s="47">
        <f>[1]!BexGetData("DP_1","DJS6ARX3MS2YI3A6B50F1GCUY","15","I","22076014I333","2067612022")</f>
        <v>1616.16</v>
      </c>
      <c r="G10" s="48">
        <f>[1]!BexGetData("DP_1","DJU2XQM4HBO2BQNZJAJPT32U2","15","I","22076014I333","2067612022")</f>
        <v>0</v>
      </c>
      <c r="H10" s="48">
        <f>[1]!BexGetData("DP_1","DJU2XQM4HBQDDLN9HWUK0D9NE","15","I","22076014I333","2067612022")</f>
        <v>0</v>
      </c>
      <c r="I10" s="48">
        <f>[1]!BexGetData("DP_1","DJU2XQM4HBSOFGMJGJ5E7NGGQ","15","I","22076014I333","2067612022")</f>
        <v>1616.16</v>
      </c>
    </row>
    <row r="11" spans="1:9" x14ac:dyDescent="0.2">
      <c r="A11" s="46" t="s">
        <v>32</v>
      </c>
      <c r="B11" s="46" t="s">
        <v>32</v>
      </c>
      <c r="C11" s="46" t="s">
        <v>32</v>
      </c>
      <c r="D11" s="46" t="s">
        <v>32</v>
      </c>
      <c r="E11" s="46" t="s">
        <v>32</v>
      </c>
      <c r="F11" s="47">
        <f>[1]!BexGetData("DP_1","DJS6ARX3MS2YI3A6B50F1GCUY","15","I","22076014I333","2067613012")</f>
        <v>132.94999999999999</v>
      </c>
      <c r="G11" s="48">
        <f>[1]!BexGetData("DP_1","DJU2XQM4HBO2BQNZJAJPT32U2","15","I","22076014I333","2067613012")</f>
        <v>0</v>
      </c>
      <c r="H11" s="48">
        <f>[1]!BexGetData("DP_1","DJU2XQM4HBQDDLN9HWUK0D9NE","15","I","22076014I333","2067613012")</f>
        <v>0</v>
      </c>
      <c r="I11" s="48">
        <f>[1]!BexGetData("DP_1","DJU2XQM4HBSOFGMJGJ5E7NGGQ","15","I","22076014I333","2067613012")</f>
        <v>132.94999999999999</v>
      </c>
    </row>
    <row r="12" spans="1:9" x14ac:dyDescent="0.2">
      <c r="A12" s="46" t="s">
        <v>32</v>
      </c>
      <c r="B12" s="46" t="s">
        <v>32</v>
      </c>
      <c r="C12" s="46" t="s">
        <v>32</v>
      </c>
      <c r="D12" s="46" t="s">
        <v>32</v>
      </c>
      <c r="E12" s="46" t="s">
        <v>32</v>
      </c>
      <c r="F12" s="47">
        <f>[1]!BexGetData("DP_1","DJS6ARX3MS2YI3A6B50F1GCUY","15","I","22076014I333","2067613022")</f>
        <v>47.16</v>
      </c>
      <c r="G12" s="48">
        <f>[1]!BexGetData("DP_1","DJU2XQM4HBO2BQNZJAJPT32U2","15","I","22076014I333","2067613022")</f>
        <v>0</v>
      </c>
      <c r="H12" s="48">
        <f>[1]!BexGetData("DP_1","DJU2XQM4HBQDDLN9HWUK0D9NE","15","I","22076014I333","2067613022")</f>
        <v>0</v>
      </c>
      <c r="I12" s="48">
        <f>[1]!BexGetData("DP_1","DJU2XQM4HBSOFGMJGJ5E7NGGQ","15","I","22076014I333","2067613022")</f>
        <v>47.16</v>
      </c>
    </row>
    <row r="13" spans="1:9" x14ac:dyDescent="0.2">
      <c r="A13" s="46" t="s">
        <v>32</v>
      </c>
      <c r="B13" s="46" t="s">
        <v>32</v>
      </c>
      <c r="C13" s="46" t="s">
        <v>32</v>
      </c>
      <c r="D13" s="46" t="s">
        <v>32</v>
      </c>
      <c r="E13" s="46" t="s">
        <v>32</v>
      </c>
      <c r="F13" s="47">
        <f>[1]!BexGetData("DP_1","DJS6ARX3MS2YI3A6B50F1GCUY","15","I","22076014I333","2067614012")</f>
        <v>1509922.61</v>
      </c>
      <c r="G13" s="48">
        <f>[1]!BexGetData("DP_1","DJU2XQM4HBO2BQNZJAJPT32U2","15","I","22076014I333","2067614012")</f>
        <v>1209509.21</v>
      </c>
      <c r="H13" s="48">
        <f>[1]!BexGetData("DP_1","DJU2XQM4HBQDDLN9HWUK0D9NE","15","I","22076014I333","2067614012")</f>
        <v>1196997.05</v>
      </c>
      <c r="I13" s="48">
        <f>[1]!BexGetData("DP_1","DJU2XQM4HBSOFGMJGJ5E7NGGQ","15","I","22076014I333","2067614012")</f>
        <v>300413.40000000002</v>
      </c>
    </row>
    <row r="14" spans="1:9" x14ac:dyDescent="0.2">
      <c r="A14" s="46" t="s">
        <v>32</v>
      </c>
      <c r="B14" s="46" t="s">
        <v>32</v>
      </c>
      <c r="C14" s="46" t="s">
        <v>32</v>
      </c>
      <c r="D14" s="46" t="s">
        <v>32</v>
      </c>
      <c r="E14" s="46" t="s">
        <v>32</v>
      </c>
      <c r="F14" s="47">
        <f>[1]!BexGetData("DP_1","DJS6ARX3MS2YI3A6B50F1GCUY","15","I","22076014I333","2067614022")</f>
        <v>948979.16</v>
      </c>
      <c r="G14" s="48">
        <f>[1]!BexGetData("DP_1","DJU2XQM4HBO2BQNZJAJPT32U2","15","I","22076014I333","2067614022")</f>
        <v>0</v>
      </c>
      <c r="H14" s="48">
        <f>[1]!BexGetData("DP_1","DJU2XQM4HBQDDLN9HWUK0D9NE","15","I","22076014I333","2067614022")</f>
        <v>0</v>
      </c>
      <c r="I14" s="48">
        <f>[1]!BexGetData("DP_1","DJU2XQM4HBSOFGMJGJ5E7NGGQ","15","I","22076014I333","2067614022")</f>
        <v>948979.16</v>
      </c>
    </row>
    <row r="15" spans="1:9" x14ac:dyDescent="0.2">
      <c r="A15" s="46" t="s">
        <v>32</v>
      </c>
      <c r="B15" s="46" t="s">
        <v>45</v>
      </c>
      <c r="C15" s="46" t="s">
        <v>46</v>
      </c>
      <c r="D15" s="46" t="s">
        <v>46</v>
      </c>
      <c r="E15" s="46" t="s">
        <v>32</v>
      </c>
      <c r="F15" s="49" t="str">
        <f>[1]!BexGetData("DP_1","DJS6ARX3MS2YI3A6B50F1GCUY","15","M","15015032M101","2067341011")</f>
        <v/>
      </c>
      <c r="G15" s="48">
        <f>[1]!BexGetData("DP_1","DJU2XQM4HBO2BQNZJAJPT32U2","15","M","15015032M101","2067341011")</f>
        <v>6871.45</v>
      </c>
      <c r="H15" s="48">
        <f>[1]!BexGetData("DP_1","DJU2XQM4HBQDDLN9HWUK0D9NE","15","M","15015032M101","2067341011")</f>
        <v>6871.45</v>
      </c>
      <c r="I15" s="48">
        <f>[1]!BexGetData("DP_1","DJU2XQM4HBSOFGMJGJ5E7NGGQ","15","M","15015032M101","2067341011")</f>
        <v>-6871.45</v>
      </c>
    </row>
    <row r="16" spans="1:9" x14ac:dyDescent="0.2">
      <c r="A16" s="46" t="s">
        <v>32</v>
      </c>
      <c r="B16" s="46" t="s">
        <v>47</v>
      </c>
      <c r="C16" s="46" t="s">
        <v>48</v>
      </c>
      <c r="D16" s="46" t="s">
        <v>49</v>
      </c>
      <c r="E16" s="46" t="s">
        <v>32</v>
      </c>
      <c r="F16" s="49" t="str">
        <f>[1]!BexGetData("DP_1","DJS6ARX3MS2YI3A6B50F1GCUY","15","U","22076014U238","2067341011")</f>
        <v/>
      </c>
      <c r="G16" s="48">
        <f>[1]!BexGetData("DP_1","DJU2XQM4HBO2BQNZJAJPT32U2","15","U","22076014U238","2067341011")</f>
        <v>1049.22</v>
      </c>
      <c r="H16" s="48">
        <f>[1]!BexGetData("DP_1","DJU2XQM4HBQDDLN9HWUK0D9NE","15","U","22076014U238","2067341011")</f>
        <v>1049.22</v>
      </c>
      <c r="I16" s="48">
        <f>[1]!BexGetData("DP_1","DJU2XQM4HBSOFGMJGJ5E7NGGQ","15","U","22076014U238","2067341011")</f>
        <v>-1049.22</v>
      </c>
    </row>
    <row r="17" spans="1:9" x14ac:dyDescent="0.2">
      <c r="A17" s="46" t="s">
        <v>50</v>
      </c>
      <c r="B17" s="46" t="s">
        <v>39</v>
      </c>
      <c r="C17" s="46" t="s">
        <v>51</v>
      </c>
      <c r="D17" s="46" t="s">
        <v>52</v>
      </c>
      <c r="E17" s="46" t="s">
        <v>32</v>
      </c>
      <c r="F17" s="49" t="str">
        <f>[1]!BexGetData("DP_1","DJS6ARX3MS2YI3A6B50F1GCUY","16","I","17015016I334","2067112011")</f>
        <v/>
      </c>
      <c r="G17" s="48">
        <f>[1]!BexGetData("DP_1","DJU2XQM4HBO2BQNZJAJPT32U2","16","I","17015016I334","2067112011")</f>
        <v>0</v>
      </c>
      <c r="H17" s="48">
        <f>[1]!BexGetData("DP_1","DJU2XQM4HBQDDLN9HWUK0D9NE","16","I","17015016I334","2067112011")</f>
        <v>0</v>
      </c>
      <c r="I17" s="48">
        <f>[1]!BexGetData("DP_1","DJU2XQM4HBSOFGMJGJ5E7NGGQ","16","I","17015016I334","2067112011")</f>
        <v>0</v>
      </c>
    </row>
    <row r="18" spans="1:9" x14ac:dyDescent="0.2">
      <c r="A18" s="46" t="s">
        <v>32</v>
      </c>
      <c r="B18" s="46" t="s">
        <v>32</v>
      </c>
      <c r="C18" s="46" t="s">
        <v>32</v>
      </c>
      <c r="D18" s="46" t="s">
        <v>32</v>
      </c>
      <c r="E18" s="46" t="s">
        <v>32</v>
      </c>
      <c r="F18" s="49" t="str">
        <f>[1]!BexGetData("DP_1","DJS6ARX3MS2YI3A6B50F1GCUY","16","I","17015016I334","2067134021")</f>
        <v/>
      </c>
      <c r="G18" s="48">
        <f>[1]!BexGetData("DP_1","DJU2XQM4HBO2BQNZJAJPT32U2","16","I","17015016I334","2067134021")</f>
        <v>0</v>
      </c>
      <c r="H18" s="48">
        <f>[1]!BexGetData("DP_1","DJU2XQM4HBQDDLN9HWUK0D9NE","16","I","17015016I334","2067134021")</f>
        <v>0</v>
      </c>
      <c r="I18" s="48">
        <f>[1]!BexGetData("DP_1","DJU2XQM4HBSOFGMJGJ5E7NGGQ","16","I","17015016I334","2067134021")</f>
        <v>0</v>
      </c>
    </row>
    <row r="19" spans="1:9" x14ac:dyDescent="0.2">
      <c r="A19" s="46" t="s">
        <v>32</v>
      </c>
      <c r="B19" s="46" t="s">
        <v>32</v>
      </c>
      <c r="C19" s="46" t="s">
        <v>32</v>
      </c>
      <c r="D19" s="46" t="s">
        <v>32</v>
      </c>
      <c r="E19" s="46" t="s">
        <v>32</v>
      </c>
      <c r="F19" s="49" t="str">
        <f>[1]!BexGetData("DP_1","DJS6ARX3MS2YI3A6B50F1GCUY","16","I","17015016I334","2067154011")</f>
        <v/>
      </c>
      <c r="G19" s="48">
        <f>[1]!BexGetData("DP_1","DJU2XQM4HBO2BQNZJAJPT32U2","16","I","17015016I334","2067154011")</f>
        <v>0</v>
      </c>
      <c r="H19" s="48">
        <f>[1]!BexGetData("DP_1","DJU2XQM4HBQDDLN9HWUK0D9NE","16","I","17015016I334","2067154011")</f>
        <v>0</v>
      </c>
      <c r="I19" s="48">
        <f>[1]!BexGetData("DP_1","DJU2XQM4HBSOFGMJGJ5E7NGGQ","16","I","17015016I334","2067154011")</f>
        <v>0</v>
      </c>
    </row>
    <row r="20" spans="1:9" x14ac:dyDescent="0.2">
      <c r="A20" s="46" t="s">
        <v>32</v>
      </c>
      <c r="B20" s="46" t="s">
        <v>32</v>
      </c>
      <c r="C20" s="46" t="s">
        <v>53</v>
      </c>
      <c r="D20" s="46" t="s">
        <v>54</v>
      </c>
      <c r="E20" s="46" t="s">
        <v>32</v>
      </c>
      <c r="F20" s="47">
        <f>[1]!BexGetData("DP_1","DJS6ARX3MS2YI3A6B50F1GCUY","16","I","22075016I333","2067612022")</f>
        <v>1800000</v>
      </c>
      <c r="G20" s="48">
        <f>[1]!BexGetData("DP_1","DJU2XQM4HBO2BQNZJAJPT32U2","16","I","22075016I333","2067612022")</f>
        <v>1796523</v>
      </c>
      <c r="H20" s="48">
        <f>[1]!BexGetData("DP_1","DJU2XQM4HBQDDLN9HWUK0D9NE","16","I","22075016I333","2067612022")</f>
        <v>1777938.29</v>
      </c>
      <c r="I20" s="48">
        <f>[1]!BexGetData("DP_1","DJU2XQM4HBSOFGMJGJ5E7NGGQ","16","I","22075016I333","2067612022")</f>
        <v>3477</v>
      </c>
    </row>
    <row r="21" spans="1:9" x14ac:dyDescent="0.2">
      <c r="A21" s="46" t="s">
        <v>32</v>
      </c>
      <c r="B21" s="46" t="s">
        <v>32</v>
      </c>
      <c r="C21" s="46" t="s">
        <v>32</v>
      </c>
      <c r="D21" s="46" t="s">
        <v>32</v>
      </c>
      <c r="E21" s="46" t="s">
        <v>32</v>
      </c>
      <c r="F21" s="49" t="str">
        <f>[1]!BexGetData("DP_1","DJS6ARX3MS2YI3A6B50F1GCUY","16","I","22075016I333","2067613012")</f>
        <v/>
      </c>
      <c r="G21" s="48">
        <f>[1]!BexGetData("DP_1","DJU2XQM4HBO2BQNZJAJPT32U2","16","I","22075016I333","2067613012")</f>
        <v>0</v>
      </c>
      <c r="H21" s="48">
        <f>[1]!BexGetData("DP_1","DJU2XQM4HBQDDLN9HWUK0D9NE","16","I","22075016I333","2067613012")</f>
        <v>0</v>
      </c>
      <c r="I21" s="48">
        <f>[1]!BexGetData("DP_1","DJU2XQM4HBSOFGMJGJ5E7NGGQ","16","I","22075016I333","2067613012")</f>
        <v>0</v>
      </c>
    </row>
    <row r="22" spans="1:9" x14ac:dyDescent="0.2">
      <c r="A22" s="46" t="s">
        <v>32</v>
      </c>
      <c r="B22" s="46" t="s">
        <v>32</v>
      </c>
      <c r="C22" s="46" t="s">
        <v>32</v>
      </c>
      <c r="D22" s="46" t="s">
        <v>32</v>
      </c>
      <c r="E22" s="46" t="s">
        <v>32</v>
      </c>
      <c r="F22" s="47">
        <f>[1]!BexGetData("DP_1","DJS6ARX3MS2YI3A6B50F1GCUY","16","I","22075016I333","2067613022")</f>
        <v>2887972.25</v>
      </c>
      <c r="G22" s="48">
        <f>[1]!BexGetData("DP_1","DJU2XQM4HBO2BQNZJAJPT32U2","16","I","22075016I333","2067613022")</f>
        <v>1760248.04</v>
      </c>
      <c r="H22" s="48">
        <f>[1]!BexGetData("DP_1","DJU2XQM4HBQDDLN9HWUK0D9NE","16","I","22075016I333","2067613022")</f>
        <v>1742038.57</v>
      </c>
      <c r="I22" s="48">
        <f>[1]!BexGetData("DP_1","DJU2XQM4HBSOFGMJGJ5E7NGGQ","16","I","22075016I333","2067613022")</f>
        <v>1127724.21</v>
      </c>
    </row>
    <row r="23" spans="1:9" x14ac:dyDescent="0.2">
      <c r="A23" s="46" t="s">
        <v>32</v>
      </c>
      <c r="B23" s="46" t="s">
        <v>32</v>
      </c>
      <c r="C23" s="46" t="s">
        <v>32</v>
      </c>
      <c r="D23" s="46" t="s">
        <v>32</v>
      </c>
      <c r="E23" s="46" t="s">
        <v>32</v>
      </c>
      <c r="F23" s="47">
        <f>[1]!BexGetData("DP_1","DJS6ARX3MS2YI3A6B50F1GCUY","16","I","22075016I333","2067614022")</f>
        <v>2164416.39</v>
      </c>
      <c r="G23" s="48">
        <f>[1]!BexGetData("DP_1","DJU2XQM4HBO2BQNZJAJPT32U2","16","I","22075016I333","2067614022")</f>
        <v>2131068.0499999998</v>
      </c>
      <c r="H23" s="48">
        <f>[1]!BexGetData("DP_1","DJU2XQM4HBQDDLN9HWUK0D9NE","16","I","22075016I333","2067614022")</f>
        <v>2109022.52</v>
      </c>
      <c r="I23" s="48">
        <f>[1]!BexGetData("DP_1","DJU2XQM4HBSOFGMJGJ5E7NGGQ","16","I","22075016I333","2067614022")</f>
        <v>33348.339999999997</v>
      </c>
    </row>
    <row r="24" spans="1:9" x14ac:dyDescent="0.2">
      <c r="A24" s="46" t="s">
        <v>32</v>
      </c>
      <c r="B24" s="46" t="s">
        <v>45</v>
      </c>
      <c r="C24" s="46" t="s">
        <v>46</v>
      </c>
      <c r="D24" s="46" t="s">
        <v>46</v>
      </c>
      <c r="E24" s="46" t="s">
        <v>32</v>
      </c>
      <c r="F24" s="49" t="str">
        <f>[1]!BexGetData("DP_1","DJS6ARX3MS2YI3A6B50F1GCUY","16","M","15015032M101","2067341011")</f>
        <v/>
      </c>
      <c r="G24" s="48">
        <f>[1]!BexGetData("DP_1","DJU2XQM4HBO2BQNZJAJPT32U2","16","M","15015032M101","2067341011")</f>
        <v>174</v>
      </c>
      <c r="H24" s="48">
        <f>[1]!BexGetData("DP_1","DJU2XQM4HBQDDLN9HWUK0D9NE","16","M","15015032M101","2067341011")</f>
        <v>174</v>
      </c>
      <c r="I24" s="48">
        <f>[1]!BexGetData("DP_1","DJU2XQM4HBSOFGMJGJ5E7NGGQ","16","M","15015032M101","2067341011")</f>
        <v>-174</v>
      </c>
    </row>
    <row r="25" spans="1:9" x14ac:dyDescent="0.2">
      <c r="A25" s="46" t="s">
        <v>32</v>
      </c>
      <c r="B25" s="46" t="s">
        <v>55</v>
      </c>
      <c r="C25" s="46" t="s">
        <v>56</v>
      </c>
      <c r="D25" s="46" t="s">
        <v>57</v>
      </c>
      <c r="E25" s="46" t="s">
        <v>32</v>
      </c>
      <c r="F25" s="49" t="str">
        <f>[1]!BexGetData("DP_1","DJS6ARX3MS2YI3A6B50F1GCUY","16","S","22015016S238","2067341011")</f>
        <v/>
      </c>
      <c r="G25" s="48">
        <f>[1]!BexGetData("DP_1","DJU2XQM4HBO2BQNZJAJPT32U2","16","S","22015016S238","2067341011")</f>
        <v>236.64</v>
      </c>
      <c r="H25" s="48">
        <f>[1]!BexGetData("DP_1","DJU2XQM4HBQDDLN9HWUK0D9NE","16","S","22015016S238","2067341011")</f>
        <v>236.64</v>
      </c>
      <c r="I25" s="48">
        <f>[1]!BexGetData("DP_1","DJU2XQM4HBSOFGMJGJ5E7NGGQ","16","S","22015016S238","2067341011")</f>
        <v>-236.64</v>
      </c>
    </row>
    <row r="26" spans="1:9" x14ac:dyDescent="0.2">
      <c r="A26" s="46" t="s">
        <v>32</v>
      </c>
      <c r="B26" s="46" t="s">
        <v>32</v>
      </c>
      <c r="C26" s="46" t="s">
        <v>32</v>
      </c>
      <c r="D26" s="46" t="s">
        <v>32</v>
      </c>
      <c r="E26" s="46" t="s">
        <v>32</v>
      </c>
      <c r="F26" s="47">
        <f>[1]!BexGetData("DP_1","DJS6ARX3MS2YI3A6B50F1GCUY","16","S","22015016S238","2067612012")</f>
        <v>48004987.25</v>
      </c>
      <c r="G26" s="48">
        <f>[1]!BexGetData("DP_1","DJU2XQM4HBO2BQNZJAJPT32U2","16","S","22015016S238","2067612012")</f>
        <v>4004987.25</v>
      </c>
      <c r="H26" s="48">
        <f>[1]!BexGetData("DP_1","DJU2XQM4HBQDDLN9HWUK0D9NE","16","S","22015016S238","2067612012")</f>
        <v>3404191.49</v>
      </c>
      <c r="I26" s="48">
        <f>[1]!BexGetData("DP_1","DJU2XQM4HBSOFGMJGJ5E7NGGQ","16","S","22015016S238","2067612012")</f>
        <v>44000000</v>
      </c>
    </row>
    <row r="27" spans="1:9" x14ac:dyDescent="0.2">
      <c r="A27" s="46" t="s">
        <v>32</v>
      </c>
      <c r="B27" s="46" t="s">
        <v>32</v>
      </c>
      <c r="C27" s="46" t="s">
        <v>32</v>
      </c>
      <c r="D27" s="46" t="s">
        <v>32</v>
      </c>
      <c r="E27" s="46" t="s">
        <v>32</v>
      </c>
      <c r="F27" s="47">
        <f>[1]!BexGetData("DP_1","DJS6ARX3MS2YI3A6B50F1GCUY","16","S","22015016S238","2067612022")</f>
        <v>17140000</v>
      </c>
      <c r="G27" s="48">
        <f>[1]!BexGetData("DP_1","DJU2XQM4HBO2BQNZJAJPT32U2","16","S","22015016S238","2067612022")</f>
        <v>3712015.04</v>
      </c>
      <c r="H27" s="48">
        <f>[1]!BexGetData("DP_1","DJU2XQM4HBQDDLN9HWUK0D9NE","16","S","22015016S238","2067612022")</f>
        <v>3684178.92</v>
      </c>
      <c r="I27" s="48">
        <f>[1]!BexGetData("DP_1","DJU2XQM4HBSOFGMJGJ5E7NGGQ","16","S","22015016S238","2067612022")</f>
        <v>13427984.960000001</v>
      </c>
    </row>
    <row r="28" spans="1:9" x14ac:dyDescent="0.2">
      <c r="A28" s="46" t="s">
        <v>32</v>
      </c>
      <c r="B28" s="46" t="s">
        <v>32</v>
      </c>
      <c r="C28" s="46" t="s">
        <v>32</v>
      </c>
      <c r="D28" s="46" t="s">
        <v>32</v>
      </c>
      <c r="E28" s="46" t="s">
        <v>32</v>
      </c>
      <c r="F28" s="47">
        <f>[1]!BexGetData("DP_1","DJS6ARX3MS2YI3A6B50F1GCUY","16","S","22015016S238","2067612042")</f>
        <v>2179973.98</v>
      </c>
      <c r="G28" s="48">
        <f>[1]!BexGetData("DP_1","DJU2XQM4HBO2BQNZJAJPT32U2","16","S","22015016S238","2067612042")</f>
        <v>199521.75</v>
      </c>
      <c r="H28" s="48">
        <f>[1]!BexGetData("DP_1","DJU2XQM4HBQDDLN9HWUK0D9NE","16","S","22015016S238","2067612042")</f>
        <v>197457.73</v>
      </c>
      <c r="I28" s="48">
        <f>[1]!BexGetData("DP_1","DJU2XQM4HBSOFGMJGJ5E7NGGQ","16","S","22015016S238","2067612042")</f>
        <v>1980452.23</v>
      </c>
    </row>
    <row r="29" spans="1:9" x14ac:dyDescent="0.2">
      <c r="A29" s="46" t="s">
        <v>32</v>
      </c>
      <c r="B29" s="46" t="s">
        <v>32</v>
      </c>
      <c r="C29" s="46" t="s">
        <v>32</v>
      </c>
      <c r="D29" s="46" t="s">
        <v>32</v>
      </c>
      <c r="E29" s="46" t="s">
        <v>32</v>
      </c>
      <c r="F29" s="47">
        <f>[1]!BexGetData("DP_1","DJS6ARX3MS2YI3A6B50F1GCUY","16","S","22015016S238","2067613022")</f>
        <v>700000</v>
      </c>
      <c r="G29" s="48">
        <f>[1]!BexGetData("DP_1","DJU2XQM4HBO2BQNZJAJPT32U2","16","S","22015016S238","2067613022")</f>
        <v>377014.73</v>
      </c>
      <c r="H29" s="48">
        <f>[1]!BexGetData("DP_1","DJU2XQM4HBQDDLN9HWUK0D9NE","16","S","22015016S238","2067613022")</f>
        <v>374739.64</v>
      </c>
      <c r="I29" s="48">
        <f>[1]!BexGetData("DP_1","DJU2XQM4HBSOFGMJGJ5E7NGGQ","16","S","22015016S238","2067613022")</f>
        <v>322985.27</v>
      </c>
    </row>
    <row r="30" spans="1:9" x14ac:dyDescent="0.2">
      <c r="A30" s="46" t="s">
        <v>32</v>
      </c>
      <c r="B30" s="46" t="s">
        <v>32</v>
      </c>
      <c r="C30" s="46" t="s">
        <v>32</v>
      </c>
      <c r="D30" s="46" t="s">
        <v>32</v>
      </c>
      <c r="E30" s="46" t="s">
        <v>32</v>
      </c>
      <c r="F30" s="47">
        <f>[1]!BexGetData("DP_1","DJS6ARX3MS2YI3A6B50F1GCUY","16","S","22015016S238","2067614022")</f>
        <v>553317.05000000005</v>
      </c>
      <c r="G30" s="48">
        <f>[1]!BexGetData("DP_1","DJU2XQM4HBO2BQNZJAJPT32U2","16","S","22015016S238","2067614022")</f>
        <v>545331.75</v>
      </c>
      <c r="H30" s="48">
        <f>[1]!BexGetData("DP_1","DJU2XQM4HBQDDLN9HWUK0D9NE","16","S","22015016S238","2067614022")</f>
        <v>539690.38</v>
      </c>
      <c r="I30" s="48">
        <f>[1]!BexGetData("DP_1","DJU2XQM4HBSOFGMJGJ5E7NGGQ","16","S","22015016S238","2067614022")</f>
        <v>7985.3</v>
      </c>
    </row>
    <row r="31" spans="1:9" x14ac:dyDescent="0.2">
      <c r="A31" s="46" t="s">
        <v>32</v>
      </c>
      <c r="B31" s="46" t="s">
        <v>32</v>
      </c>
      <c r="C31" s="46" t="s">
        <v>32</v>
      </c>
      <c r="D31" s="46" t="s">
        <v>32</v>
      </c>
      <c r="E31" s="46" t="s">
        <v>32</v>
      </c>
      <c r="F31" s="47">
        <f>[1]!BexGetData("DP_1","DJS6ARX3MS2YI3A6B50F1GCUY","16","S","22015016S238","2067614032")</f>
        <v>5454325</v>
      </c>
      <c r="G31" s="48">
        <f>[1]!BexGetData("DP_1","DJU2XQM4HBO2BQNZJAJPT32U2","16","S","22015016S238","2067614032")</f>
        <v>5454325</v>
      </c>
      <c r="H31" s="48">
        <f>[1]!BexGetData("DP_1","DJU2XQM4HBQDDLN9HWUK0D9NE","16","S","22015016S238","2067614032")</f>
        <v>5414431.9800000004</v>
      </c>
      <c r="I31" s="48">
        <f>[1]!BexGetData("DP_1","DJU2XQM4HBSOFGMJGJ5E7NGGQ","16","S","22015016S238","2067614032")</f>
        <v>1.0000000000000001E-9</v>
      </c>
    </row>
    <row r="32" spans="1:9" x14ac:dyDescent="0.2">
      <c r="A32" s="46" t="s">
        <v>32</v>
      </c>
      <c r="B32" s="46" t="s">
        <v>32</v>
      </c>
      <c r="C32" s="46" t="s">
        <v>32</v>
      </c>
      <c r="D32" s="46" t="s">
        <v>32</v>
      </c>
      <c r="E32" s="46" t="s">
        <v>32</v>
      </c>
      <c r="F32" s="47">
        <f>[1]!BexGetData("DP_1","DJS6ARX3MS2YI3A6B50F1GCUY","16","S","22015016S238","2067622012")</f>
        <v>2000000</v>
      </c>
      <c r="G32" s="48">
        <f>[1]!BexGetData("DP_1","DJU2XQM4HBO2BQNZJAJPT32U2","16","S","22015016S238","2067622012")</f>
        <v>0</v>
      </c>
      <c r="H32" s="48">
        <f>[1]!BexGetData("DP_1","DJU2XQM4HBQDDLN9HWUK0D9NE","16","S","22015016S238","2067622012")</f>
        <v>0</v>
      </c>
      <c r="I32" s="48">
        <f>[1]!BexGetData("DP_1","DJU2XQM4HBSOFGMJGJ5E7NGGQ","16","S","22015016S238","2067622012")</f>
        <v>2000000</v>
      </c>
    </row>
    <row r="33" spans="1:9" x14ac:dyDescent="0.2">
      <c r="A33" s="46" t="s">
        <v>32</v>
      </c>
      <c r="B33" s="46" t="s">
        <v>32</v>
      </c>
      <c r="C33" s="46" t="s">
        <v>58</v>
      </c>
      <c r="D33" s="46" t="s">
        <v>59</v>
      </c>
      <c r="E33" s="46" t="s">
        <v>32</v>
      </c>
      <c r="F33" s="47">
        <f>[1]!BexGetData("DP_1","DJS6ARX3MS2YI3A6B50F1GCUY","16","S","22075016S231","2067613012")</f>
        <v>2296168.56</v>
      </c>
      <c r="G33" s="48">
        <f>[1]!BexGetData("DP_1","DJU2XQM4HBO2BQNZJAJPT32U2","16","S","22075016S231","2067613012")</f>
        <v>2296168.56</v>
      </c>
      <c r="H33" s="48">
        <f>[1]!BexGetData("DP_1","DJU2XQM4HBQDDLN9HWUK0D9NE","16","S","22075016S231","2067613012")</f>
        <v>2272415.09</v>
      </c>
      <c r="I33" s="48">
        <f>[1]!BexGetData("DP_1","DJU2XQM4HBSOFGMJGJ5E7NGGQ","16","S","22075016S231","2067613012")</f>
        <v>0</v>
      </c>
    </row>
    <row r="34" spans="1:9" x14ac:dyDescent="0.2">
      <c r="A34" s="46" t="s">
        <v>32</v>
      </c>
      <c r="B34" s="46" t="s">
        <v>32</v>
      </c>
      <c r="C34" s="46" t="s">
        <v>32</v>
      </c>
      <c r="D34" s="46" t="s">
        <v>32</v>
      </c>
      <c r="E34" s="46" t="s">
        <v>32</v>
      </c>
      <c r="F34" s="47">
        <f>[1]!BexGetData("DP_1","DJS6ARX3MS2YI3A6B50F1GCUY","16","S","22075016S231","2067614012")</f>
        <v>1000000</v>
      </c>
      <c r="G34" s="48">
        <f>[1]!BexGetData("DP_1","DJU2XQM4HBO2BQNZJAJPT32U2","16","S","22075016S231","2067614012")</f>
        <v>591759.11</v>
      </c>
      <c r="H34" s="48">
        <f>[1]!BexGetData("DP_1","DJU2XQM4HBQDDLN9HWUK0D9NE","16","S","22075016S231","2067614012")</f>
        <v>586891.93000000005</v>
      </c>
      <c r="I34" s="48">
        <f>[1]!BexGetData("DP_1","DJU2XQM4HBSOFGMJGJ5E7NGGQ","16","S","22075016S231","2067614012")</f>
        <v>408240.89</v>
      </c>
    </row>
    <row r="35" spans="1:9" x14ac:dyDescent="0.2">
      <c r="A35" s="46" t="s">
        <v>32</v>
      </c>
      <c r="B35" s="46" t="s">
        <v>32</v>
      </c>
      <c r="C35" s="46" t="s">
        <v>32</v>
      </c>
      <c r="D35" s="46" t="s">
        <v>32</v>
      </c>
      <c r="E35" s="46" t="s">
        <v>32</v>
      </c>
      <c r="F35" s="47">
        <f>[1]!BexGetData("DP_1","DJS6ARX3MS2YI3A6B50F1GCUY","16","S","22075016S231","2067614032")</f>
        <v>1000000</v>
      </c>
      <c r="G35" s="48">
        <f>[1]!BexGetData("DP_1","DJU2XQM4HBO2BQNZJAJPT32U2","16","S","22075016S231","2067614032")</f>
        <v>1000000</v>
      </c>
      <c r="H35" s="48">
        <f>[1]!BexGetData("DP_1","DJU2XQM4HBQDDLN9HWUK0D9NE","16","S","22075016S231","2067614032")</f>
        <v>993965.52</v>
      </c>
      <c r="I35" s="48">
        <f>[1]!BexGetData("DP_1","DJU2XQM4HBSOFGMJGJ5E7NGGQ","16","S","22075016S231","2067614032")</f>
        <v>0</v>
      </c>
    </row>
    <row r="36" spans="1:9" x14ac:dyDescent="0.2">
      <c r="A36" s="46" t="s">
        <v>32</v>
      </c>
      <c r="B36" s="46" t="s">
        <v>32</v>
      </c>
      <c r="C36" s="46" t="s">
        <v>60</v>
      </c>
      <c r="D36" s="46" t="s">
        <v>61</v>
      </c>
      <c r="E36" s="46" t="s">
        <v>32</v>
      </c>
      <c r="F36" s="49" t="str">
        <f>[1]!BexGetData("DP_1","DJS6ARX3MS2YI3A6B50F1GCUY","16","S","22075016S239","2067341011")</f>
        <v/>
      </c>
      <c r="G36" s="48">
        <f>[1]!BexGetData("DP_1","DJU2XQM4HBO2BQNZJAJPT32U2","16","S","22075016S239","2067341011")</f>
        <v>164.6</v>
      </c>
      <c r="H36" s="48">
        <f>[1]!BexGetData("DP_1","DJU2XQM4HBQDDLN9HWUK0D9NE","16","S","22075016S239","2067341011")</f>
        <v>164.6</v>
      </c>
      <c r="I36" s="48">
        <f>[1]!BexGetData("DP_1","DJU2XQM4HBSOFGMJGJ5E7NGGQ","16","S","22075016S239","2067341011")</f>
        <v>-164.6</v>
      </c>
    </row>
    <row r="37" spans="1:9" x14ac:dyDescent="0.2">
      <c r="A37" s="46" t="s">
        <v>62</v>
      </c>
      <c r="B37" s="46" t="s">
        <v>63</v>
      </c>
      <c r="C37" s="46" t="s">
        <v>64</v>
      </c>
      <c r="D37" s="46" t="s">
        <v>64</v>
      </c>
      <c r="E37" s="46" t="s">
        <v>32</v>
      </c>
      <c r="F37" s="49" t="str">
        <f>[1]!BexGetData("DP_1","DJS6ARX3MS2YI3A6B50F1GCUY","17","E","17011011E103","2067112011")</f>
        <v/>
      </c>
      <c r="G37" s="48">
        <f>[1]!BexGetData("DP_1","DJU2XQM4HBO2BQNZJAJPT32U2","17","E","17011011E103","2067112011")</f>
        <v>0</v>
      </c>
      <c r="H37" s="48">
        <f>[1]!BexGetData("DP_1","DJU2XQM4HBQDDLN9HWUK0D9NE","17","E","17011011E103","2067112011")</f>
        <v>0</v>
      </c>
      <c r="I37" s="48">
        <f>[1]!BexGetData("DP_1","DJU2XQM4HBSOFGMJGJ5E7NGGQ","17","E","17011011E103","2067112011")</f>
        <v>0</v>
      </c>
    </row>
    <row r="38" spans="1:9" x14ac:dyDescent="0.2">
      <c r="A38" s="46" t="s">
        <v>32</v>
      </c>
      <c r="B38" s="46" t="s">
        <v>32</v>
      </c>
      <c r="C38" s="46" t="s">
        <v>32</v>
      </c>
      <c r="D38" s="46" t="s">
        <v>32</v>
      </c>
      <c r="E38" s="46" t="s">
        <v>32</v>
      </c>
      <c r="F38" s="49" t="str">
        <f>[1]!BexGetData("DP_1","DJS6ARX3MS2YI3A6B50F1GCUY","17","E","17011011E103","2067132021")</f>
        <v/>
      </c>
      <c r="G38" s="48">
        <f>[1]!BexGetData("DP_1","DJU2XQM4HBO2BQNZJAJPT32U2","17","E","17011011E103","2067132021")</f>
        <v>0</v>
      </c>
      <c r="H38" s="48">
        <f>[1]!BexGetData("DP_1","DJU2XQM4HBQDDLN9HWUK0D9NE","17","E","17011011E103","2067132021")</f>
        <v>0</v>
      </c>
      <c r="I38" s="48">
        <f>[1]!BexGetData("DP_1","DJU2XQM4HBSOFGMJGJ5E7NGGQ","17","E","17011011E103","2067132021")</f>
        <v>0</v>
      </c>
    </row>
    <row r="39" spans="1:9" x14ac:dyDescent="0.2">
      <c r="A39" s="46" t="s">
        <v>32</v>
      </c>
      <c r="B39" s="46" t="s">
        <v>32</v>
      </c>
      <c r="C39" s="46" t="s">
        <v>32</v>
      </c>
      <c r="D39" s="46" t="s">
        <v>32</v>
      </c>
      <c r="E39" s="46" t="s">
        <v>32</v>
      </c>
      <c r="F39" s="49" t="str">
        <f>[1]!BexGetData("DP_1","DJS6ARX3MS2YI3A6B50F1GCUY","17","E","17011011E103","2067134021")</f>
        <v/>
      </c>
      <c r="G39" s="48">
        <f>[1]!BexGetData("DP_1","DJU2XQM4HBO2BQNZJAJPT32U2","17","E","17011011E103","2067134021")</f>
        <v>0</v>
      </c>
      <c r="H39" s="48">
        <f>[1]!BexGetData("DP_1","DJU2XQM4HBQDDLN9HWUK0D9NE","17","E","17011011E103","2067134021")</f>
        <v>0</v>
      </c>
      <c r="I39" s="48">
        <f>[1]!BexGetData("DP_1","DJU2XQM4HBSOFGMJGJ5E7NGGQ","17","E","17011011E103","2067134021")</f>
        <v>0</v>
      </c>
    </row>
    <row r="40" spans="1:9" x14ac:dyDescent="0.2">
      <c r="A40" s="46" t="s">
        <v>32</v>
      </c>
      <c r="B40" s="46" t="s">
        <v>32</v>
      </c>
      <c r="C40" s="46" t="s">
        <v>32</v>
      </c>
      <c r="D40" s="46" t="s">
        <v>32</v>
      </c>
      <c r="E40" s="46" t="s">
        <v>32</v>
      </c>
      <c r="F40" s="49" t="str">
        <f>[1]!BexGetData("DP_1","DJS6ARX3MS2YI3A6B50F1GCUY","17","E","17011011E103","2067154011")</f>
        <v/>
      </c>
      <c r="G40" s="48">
        <f>[1]!BexGetData("DP_1","DJU2XQM4HBO2BQNZJAJPT32U2","17","E","17011011E103","2067154011")</f>
        <v>0</v>
      </c>
      <c r="H40" s="48">
        <f>[1]!BexGetData("DP_1","DJU2XQM4HBQDDLN9HWUK0D9NE","17","E","17011011E103","2067154011")</f>
        <v>0</v>
      </c>
      <c r="I40" s="48">
        <f>[1]!BexGetData("DP_1","DJU2XQM4HBSOFGMJGJ5E7NGGQ","17","E","17011011E103","2067154011")</f>
        <v>0</v>
      </c>
    </row>
    <row r="41" spans="1:9" x14ac:dyDescent="0.2">
      <c r="A41" s="46" t="s">
        <v>32</v>
      </c>
      <c r="B41" s="46" t="s">
        <v>39</v>
      </c>
      <c r="C41" s="46" t="s">
        <v>51</v>
      </c>
      <c r="D41" s="46" t="s">
        <v>52</v>
      </c>
      <c r="E41" s="46" t="s">
        <v>32</v>
      </c>
      <c r="F41" s="49" t="str">
        <f>[1]!BexGetData("DP_1","DJS6ARX3MS2YI3A6B50F1GCUY","17","I","17015016I334","2067112011")</f>
        <v/>
      </c>
      <c r="G41" s="48">
        <f>[1]!BexGetData("DP_1","DJU2XQM4HBO2BQNZJAJPT32U2","17","I","17015016I334","2067112011")</f>
        <v>0</v>
      </c>
      <c r="H41" s="48">
        <f>[1]!BexGetData("DP_1","DJU2XQM4HBQDDLN9HWUK0D9NE","17","I","17015016I334","2067112011")</f>
        <v>0</v>
      </c>
      <c r="I41" s="48">
        <f>[1]!BexGetData("DP_1","DJU2XQM4HBSOFGMJGJ5E7NGGQ","17","I","17015016I334","2067112011")</f>
        <v>0</v>
      </c>
    </row>
    <row r="42" spans="1:9" x14ac:dyDescent="0.2">
      <c r="A42" s="46" t="s">
        <v>32</v>
      </c>
      <c r="B42" s="46" t="s">
        <v>32</v>
      </c>
      <c r="C42" s="46" t="s">
        <v>32</v>
      </c>
      <c r="D42" s="46" t="s">
        <v>32</v>
      </c>
      <c r="E42" s="46" t="s">
        <v>32</v>
      </c>
      <c r="F42" s="49" t="str">
        <f>[1]!BexGetData("DP_1","DJS6ARX3MS2YI3A6B50F1GCUY","17","I","17015016I334","2067131021")</f>
        <v/>
      </c>
      <c r="G42" s="48">
        <f>[1]!BexGetData("DP_1","DJU2XQM4HBO2BQNZJAJPT32U2","17","I","17015016I334","2067131021")</f>
        <v>0</v>
      </c>
      <c r="H42" s="48">
        <f>[1]!BexGetData("DP_1","DJU2XQM4HBQDDLN9HWUK0D9NE","17","I","17015016I334","2067131021")</f>
        <v>0</v>
      </c>
      <c r="I42" s="48">
        <f>[1]!BexGetData("DP_1","DJU2XQM4HBSOFGMJGJ5E7NGGQ","17","I","17015016I334","2067131021")</f>
        <v>0</v>
      </c>
    </row>
    <row r="43" spans="1:9" x14ac:dyDescent="0.2">
      <c r="A43" s="46" t="s">
        <v>32</v>
      </c>
      <c r="B43" s="46" t="s">
        <v>32</v>
      </c>
      <c r="C43" s="46" t="s">
        <v>32</v>
      </c>
      <c r="D43" s="46" t="s">
        <v>32</v>
      </c>
      <c r="E43" s="46" t="s">
        <v>32</v>
      </c>
      <c r="F43" s="49" t="str">
        <f>[1]!BexGetData("DP_1","DJS6ARX3MS2YI3A6B50F1GCUY","17","I","17015016I334","2067132021")</f>
        <v/>
      </c>
      <c r="G43" s="48">
        <f>[1]!BexGetData("DP_1","DJU2XQM4HBO2BQNZJAJPT32U2","17","I","17015016I334","2067132021")</f>
        <v>0</v>
      </c>
      <c r="H43" s="48">
        <f>[1]!BexGetData("DP_1","DJU2XQM4HBQDDLN9HWUK0D9NE","17","I","17015016I334","2067132021")</f>
        <v>0</v>
      </c>
      <c r="I43" s="48">
        <f>[1]!BexGetData("DP_1","DJU2XQM4HBSOFGMJGJ5E7NGGQ","17","I","17015016I334","2067132021")</f>
        <v>0</v>
      </c>
    </row>
    <row r="44" spans="1:9" x14ac:dyDescent="0.2">
      <c r="A44" s="46" t="s">
        <v>32</v>
      </c>
      <c r="B44" s="46" t="s">
        <v>32</v>
      </c>
      <c r="C44" s="46" t="s">
        <v>32</v>
      </c>
      <c r="D44" s="46" t="s">
        <v>32</v>
      </c>
      <c r="E44" s="46" t="s">
        <v>32</v>
      </c>
      <c r="F44" s="49" t="str">
        <f>[1]!BexGetData("DP_1","DJS6ARX3MS2YI3A6B50F1GCUY","17","I","17015016I334","2067134021")</f>
        <v/>
      </c>
      <c r="G44" s="48">
        <f>[1]!BexGetData("DP_1","DJU2XQM4HBO2BQNZJAJPT32U2","17","I","17015016I334","2067134021")</f>
        <v>0</v>
      </c>
      <c r="H44" s="48">
        <f>[1]!BexGetData("DP_1","DJU2XQM4HBQDDLN9HWUK0D9NE","17","I","17015016I334","2067134021")</f>
        <v>0</v>
      </c>
      <c r="I44" s="48">
        <f>[1]!BexGetData("DP_1","DJU2XQM4HBSOFGMJGJ5E7NGGQ","17","I","17015016I334","2067134021")</f>
        <v>0</v>
      </c>
    </row>
    <row r="45" spans="1:9" x14ac:dyDescent="0.2">
      <c r="A45" s="46" t="s">
        <v>32</v>
      </c>
      <c r="B45" s="46" t="s">
        <v>32</v>
      </c>
      <c r="C45" s="46" t="s">
        <v>32</v>
      </c>
      <c r="D45" s="46" t="s">
        <v>32</v>
      </c>
      <c r="E45" s="46" t="s">
        <v>32</v>
      </c>
      <c r="F45" s="49" t="str">
        <f>[1]!BexGetData("DP_1","DJS6ARX3MS2YI3A6B50F1GCUY","17","I","17015016I334","2067154011")</f>
        <v/>
      </c>
      <c r="G45" s="48">
        <f>[1]!BexGetData("DP_1","DJU2XQM4HBO2BQNZJAJPT32U2","17","I","17015016I334","2067154011")</f>
        <v>0</v>
      </c>
      <c r="H45" s="48">
        <f>[1]!BexGetData("DP_1","DJU2XQM4HBQDDLN9HWUK0D9NE","17","I","17015016I334","2067154011")</f>
        <v>0</v>
      </c>
      <c r="I45" s="48">
        <f>[1]!BexGetData("DP_1","DJU2XQM4HBSOFGMJGJ5E7NGGQ","17","I","17015016I334","2067154011")</f>
        <v>0</v>
      </c>
    </row>
    <row r="46" spans="1:9" x14ac:dyDescent="0.2">
      <c r="A46" s="46" t="s">
        <v>32</v>
      </c>
      <c r="B46" s="46" t="s">
        <v>32</v>
      </c>
      <c r="C46" s="46" t="s">
        <v>65</v>
      </c>
      <c r="D46" s="46" t="s">
        <v>66</v>
      </c>
      <c r="E46" s="46" t="s">
        <v>32</v>
      </c>
      <c r="F46" s="47">
        <f>[1]!BexGetData("DP_1","DJS6ARX3MS2YI3A6B50F1GCUY","17","I","17015017I334","2067112011")</f>
        <v>67814723.980000004</v>
      </c>
      <c r="G46" s="48">
        <f>[1]!BexGetData("DP_1","DJU2XQM4HBO2BQNZJAJPT32U2","17","I","17015017I334","2067112011")</f>
        <v>67814723.980000004</v>
      </c>
      <c r="H46" s="48">
        <f>[1]!BexGetData("DP_1","DJU2XQM4HBQDDLN9HWUK0D9NE","17","I","17015017I334","2067112011")</f>
        <v>67818556.150000006</v>
      </c>
      <c r="I46" s="48">
        <f>[1]!BexGetData("DP_1","DJU2XQM4HBSOFGMJGJ5E7NGGQ","17","I","17015017I334","2067112011")</f>
        <v>0</v>
      </c>
    </row>
    <row r="47" spans="1:9" x14ac:dyDescent="0.2">
      <c r="A47" s="46" t="s">
        <v>32</v>
      </c>
      <c r="B47" s="46" t="s">
        <v>32</v>
      </c>
      <c r="C47" s="46" t="s">
        <v>32</v>
      </c>
      <c r="D47" s="46" t="s">
        <v>32</v>
      </c>
      <c r="E47" s="46" t="s">
        <v>32</v>
      </c>
      <c r="F47" s="47">
        <f>[1]!BexGetData("DP_1","DJS6ARX3MS2YI3A6B50F1GCUY","17","I","17015017I334","2067131021")</f>
        <v>6102830.0800000001</v>
      </c>
      <c r="G47" s="48">
        <f>[1]!BexGetData("DP_1","DJU2XQM4HBO2BQNZJAJPT32U2","17","I","17015017I334","2067131021")</f>
        <v>6102830.0800000001</v>
      </c>
      <c r="H47" s="48">
        <f>[1]!BexGetData("DP_1","DJU2XQM4HBQDDLN9HWUK0D9NE","17","I","17015017I334","2067131021")</f>
        <v>6103370.4199999999</v>
      </c>
      <c r="I47" s="48">
        <f>[1]!BexGetData("DP_1","DJU2XQM4HBSOFGMJGJ5E7NGGQ","17","I","17015017I334","2067131021")</f>
        <v>-2.0000000000000001E-9</v>
      </c>
    </row>
    <row r="48" spans="1:9" x14ac:dyDescent="0.2">
      <c r="A48" s="46" t="s">
        <v>32</v>
      </c>
      <c r="B48" s="46" t="s">
        <v>32</v>
      </c>
      <c r="C48" s="46" t="s">
        <v>32</v>
      </c>
      <c r="D48" s="46" t="s">
        <v>32</v>
      </c>
      <c r="E48" s="46" t="s">
        <v>32</v>
      </c>
      <c r="F48" s="47">
        <f>[1]!BexGetData("DP_1","DJS6ARX3MS2YI3A6B50F1GCUY","17","I","17015017I334","2067132011")</f>
        <v>1618525.4</v>
      </c>
      <c r="G48" s="48">
        <f>[1]!BexGetData("DP_1","DJU2XQM4HBO2BQNZJAJPT32U2","17","I","17015017I334","2067132011")</f>
        <v>1618525.4</v>
      </c>
      <c r="H48" s="48">
        <f>[1]!BexGetData("DP_1","DJU2XQM4HBQDDLN9HWUK0D9NE","17","I","17015017I334","2067132011")</f>
        <v>1618525.4</v>
      </c>
      <c r="I48" s="48">
        <f>[1]!BexGetData("DP_1","DJU2XQM4HBSOFGMJGJ5E7NGGQ","17","I","17015017I334","2067132011")</f>
        <v>0</v>
      </c>
    </row>
    <row r="49" spans="1:9" x14ac:dyDescent="0.2">
      <c r="A49" s="46" t="s">
        <v>32</v>
      </c>
      <c r="B49" s="46" t="s">
        <v>32</v>
      </c>
      <c r="C49" s="46" t="s">
        <v>32</v>
      </c>
      <c r="D49" s="46" t="s">
        <v>32</v>
      </c>
      <c r="E49" s="46" t="s">
        <v>32</v>
      </c>
      <c r="F49" s="47">
        <f>[1]!BexGetData("DP_1","DJS6ARX3MS2YI3A6B50F1GCUY","17","I","17015017I334","2067132021")</f>
        <v>14241165.73</v>
      </c>
      <c r="G49" s="48">
        <f>[1]!BexGetData("DP_1","DJU2XQM4HBO2BQNZJAJPT32U2","17","I","17015017I334","2067132021")</f>
        <v>14241165.73</v>
      </c>
      <c r="H49" s="48">
        <f>[1]!BexGetData("DP_1","DJU2XQM4HBQDDLN9HWUK0D9NE","17","I","17015017I334","2067132021")</f>
        <v>14241165.73</v>
      </c>
      <c r="I49" s="48">
        <f>[1]!BexGetData("DP_1","DJU2XQM4HBSOFGMJGJ5E7NGGQ","17","I","17015017I334","2067132021")</f>
        <v>-2.0000000000000001E-9</v>
      </c>
    </row>
    <row r="50" spans="1:9" x14ac:dyDescent="0.2">
      <c r="A50" s="46" t="s">
        <v>32</v>
      </c>
      <c r="B50" s="46" t="s">
        <v>32</v>
      </c>
      <c r="C50" s="46" t="s">
        <v>32</v>
      </c>
      <c r="D50" s="46" t="s">
        <v>32</v>
      </c>
      <c r="E50" s="46" t="s">
        <v>32</v>
      </c>
      <c r="F50" s="47">
        <f>[1]!BexGetData("DP_1","DJS6ARX3MS2YI3A6B50F1GCUY","17","I","17015017I334","2067134011")</f>
        <v>2575890.4</v>
      </c>
      <c r="G50" s="48">
        <f>[1]!BexGetData("DP_1","DJU2XQM4HBO2BQNZJAJPT32U2","17","I","17015017I334","2067134011")</f>
        <v>2575890.4</v>
      </c>
      <c r="H50" s="48">
        <f>[1]!BexGetData("DP_1","DJU2XQM4HBQDDLN9HWUK0D9NE","17","I","17015017I334","2067134011")</f>
        <v>1928786.5</v>
      </c>
      <c r="I50" s="48">
        <f>[1]!BexGetData("DP_1","DJU2XQM4HBSOFGMJGJ5E7NGGQ","17","I","17015017I334","2067134011")</f>
        <v>0</v>
      </c>
    </row>
    <row r="51" spans="1:9" x14ac:dyDescent="0.2">
      <c r="A51" s="46" t="s">
        <v>32</v>
      </c>
      <c r="B51" s="46" t="s">
        <v>32</v>
      </c>
      <c r="C51" s="46" t="s">
        <v>32</v>
      </c>
      <c r="D51" s="46" t="s">
        <v>32</v>
      </c>
      <c r="E51" s="46" t="s">
        <v>32</v>
      </c>
      <c r="F51" s="47">
        <f>[1]!BexGetData("DP_1","DJS6ARX3MS2YI3A6B50F1GCUY","17","I","17015017I334","2067134021")</f>
        <v>14886915.51</v>
      </c>
      <c r="G51" s="48">
        <f>[1]!BexGetData("DP_1","DJU2XQM4HBO2BQNZJAJPT32U2","17","I","17015017I334","2067134021")</f>
        <v>14886915.51</v>
      </c>
      <c r="H51" s="48">
        <f>[1]!BexGetData("DP_1","DJU2XQM4HBQDDLN9HWUK0D9NE","17","I","17015017I334","2067134021")</f>
        <v>14887592.859999999</v>
      </c>
      <c r="I51" s="48">
        <f>[1]!BexGetData("DP_1","DJU2XQM4HBSOFGMJGJ5E7NGGQ","17","I","17015017I334","2067134021")</f>
        <v>0</v>
      </c>
    </row>
    <row r="52" spans="1:9" x14ac:dyDescent="0.2">
      <c r="A52" s="46" t="s">
        <v>32</v>
      </c>
      <c r="B52" s="46" t="s">
        <v>32</v>
      </c>
      <c r="C52" s="46" t="s">
        <v>32</v>
      </c>
      <c r="D52" s="46" t="s">
        <v>32</v>
      </c>
      <c r="E52" s="46" t="s">
        <v>32</v>
      </c>
      <c r="F52" s="47">
        <f>[1]!BexGetData("DP_1","DJS6ARX3MS2YI3A6B50F1GCUY","17","I","17015017I334","2067144011")</f>
        <v>594363.48</v>
      </c>
      <c r="G52" s="48">
        <f>[1]!BexGetData("DP_1","DJU2XQM4HBO2BQNZJAJPT32U2","17","I","17015017I334","2067144011")</f>
        <v>594363.48</v>
      </c>
      <c r="H52" s="48">
        <f>[1]!BexGetData("DP_1","DJU2XQM4HBQDDLN9HWUK0D9NE","17","I","17015017I334","2067144011")</f>
        <v>594363.48</v>
      </c>
      <c r="I52" s="48">
        <f>[1]!BexGetData("DP_1","DJU2XQM4HBSOFGMJGJ5E7NGGQ","17","I","17015017I334","2067144011")</f>
        <v>0</v>
      </c>
    </row>
    <row r="53" spans="1:9" x14ac:dyDescent="0.2">
      <c r="A53" s="46" t="s">
        <v>32</v>
      </c>
      <c r="B53" s="46" t="s">
        <v>32</v>
      </c>
      <c r="C53" s="46" t="s">
        <v>32</v>
      </c>
      <c r="D53" s="46" t="s">
        <v>32</v>
      </c>
      <c r="E53" s="46" t="s">
        <v>32</v>
      </c>
      <c r="F53" s="47">
        <f>[1]!BexGetData("DP_1","DJS6ARX3MS2YI3A6B50F1GCUY","17","I","17015017I334","2067151011")</f>
        <v>0</v>
      </c>
      <c r="G53" s="48">
        <f>[1]!BexGetData("DP_1","DJU2XQM4HBO2BQNZJAJPT32U2","17","I","17015017I334","2067151011")</f>
        <v>0</v>
      </c>
      <c r="H53" s="48">
        <f>[1]!BexGetData("DP_1","DJU2XQM4HBQDDLN9HWUK0D9NE","17","I","17015017I334","2067151011")</f>
        <v>0</v>
      </c>
      <c r="I53" s="48">
        <f>[1]!BexGetData("DP_1","DJU2XQM4HBSOFGMJGJ5E7NGGQ","17","I","17015017I334","2067151011")</f>
        <v>0</v>
      </c>
    </row>
    <row r="54" spans="1:9" x14ac:dyDescent="0.2">
      <c r="A54" s="46" t="s">
        <v>32</v>
      </c>
      <c r="B54" s="46" t="s">
        <v>32</v>
      </c>
      <c r="C54" s="46" t="s">
        <v>32</v>
      </c>
      <c r="D54" s="46" t="s">
        <v>32</v>
      </c>
      <c r="E54" s="46" t="s">
        <v>32</v>
      </c>
      <c r="F54" s="47">
        <f>[1]!BexGetData("DP_1","DJS6ARX3MS2YI3A6B50F1GCUY","17","I","17015017I334","2067154011")</f>
        <v>11000249.75</v>
      </c>
      <c r="G54" s="48">
        <f>[1]!BexGetData("DP_1","DJU2XQM4HBO2BQNZJAJPT32U2","17","I","17015017I334","2067154011")</f>
        <v>11000249.75</v>
      </c>
      <c r="H54" s="48">
        <f>[1]!BexGetData("DP_1","DJU2XQM4HBQDDLN9HWUK0D9NE","17","I","17015017I334","2067154011")</f>
        <v>11000714.640000001</v>
      </c>
      <c r="I54" s="48">
        <f>[1]!BexGetData("DP_1","DJU2XQM4HBSOFGMJGJ5E7NGGQ","17","I","17015017I334","2067154011")</f>
        <v>2.0000000000000001E-9</v>
      </c>
    </row>
    <row r="55" spans="1:9" x14ac:dyDescent="0.2">
      <c r="A55" s="46" t="s">
        <v>32</v>
      </c>
      <c r="B55" s="46" t="s">
        <v>32</v>
      </c>
      <c r="C55" s="46" t="s">
        <v>32</v>
      </c>
      <c r="D55" s="46" t="s">
        <v>32</v>
      </c>
      <c r="E55" s="46" t="s">
        <v>32</v>
      </c>
      <c r="F55" s="47">
        <f>[1]!BexGetData("DP_1","DJS6ARX3MS2YI3A6B50F1GCUY","17","I","17015017I334","2067216021")</f>
        <v>112219.7</v>
      </c>
      <c r="G55" s="48">
        <f>[1]!BexGetData("DP_1","DJU2XQM4HBO2BQNZJAJPT32U2","17","I","17015017I334","2067216021")</f>
        <v>112219.7</v>
      </c>
      <c r="H55" s="48">
        <f>[1]!BexGetData("DP_1","DJU2XQM4HBQDDLN9HWUK0D9NE","17","I","17015017I334","2067216021")</f>
        <v>112219.7</v>
      </c>
      <c r="I55" s="48">
        <f>[1]!BexGetData("DP_1","DJU2XQM4HBSOFGMJGJ5E7NGGQ","17","I","17015017I334","2067216021")</f>
        <v>0</v>
      </c>
    </row>
    <row r="56" spans="1:9" x14ac:dyDescent="0.2">
      <c r="A56" s="46" t="s">
        <v>32</v>
      </c>
      <c r="B56" s="46" t="s">
        <v>32</v>
      </c>
      <c r="C56" s="46" t="s">
        <v>32</v>
      </c>
      <c r="D56" s="46" t="s">
        <v>32</v>
      </c>
      <c r="E56" s="46" t="s">
        <v>32</v>
      </c>
      <c r="F56" s="47">
        <f>[1]!BexGetData("DP_1","DJS6ARX3MS2YI3A6B50F1GCUY","17","I","17015017I334","2067222011")</f>
        <v>71641.600000000006</v>
      </c>
      <c r="G56" s="48">
        <f>[1]!BexGetData("DP_1","DJU2XQM4HBO2BQNZJAJPT32U2","17","I","17015017I334","2067222011")</f>
        <v>71641.600000000006</v>
      </c>
      <c r="H56" s="48">
        <f>[1]!BexGetData("DP_1","DJU2XQM4HBQDDLN9HWUK0D9NE","17","I","17015017I334","2067222011")</f>
        <v>71641.600000000006</v>
      </c>
      <c r="I56" s="48">
        <f>[1]!BexGetData("DP_1","DJU2XQM4HBSOFGMJGJ5E7NGGQ","17","I","17015017I334","2067222011")</f>
        <v>0</v>
      </c>
    </row>
    <row r="57" spans="1:9" x14ac:dyDescent="0.2">
      <c r="A57" s="46" t="s">
        <v>32</v>
      </c>
      <c r="B57" s="46" t="s">
        <v>32</v>
      </c>
      <c r="C57" s="46" t="s">
        <v>32</v>
      </c>
      <c r="D57" s="46" t="s">
        <v>32</v>
      </c>
      <c r="E57" s="46" t="s">
        <v>32</v>
      </c>
      <c r="F57" s="47">
        <f>[1]!BexGetData("DP_1","DJS6ARX3MS2YI3A6B50F1GCUY","17","I","17015017I334","2067246011")</f>
        <v>1264505.3700000001</v>
      </c>
      <c r="G57" s="48">
        <f>[1]!BexGetData("DP_1","DJU2XQM4HBO2BQNZJAJPT32U2","17","I","17015017I334","2067246011")</f>
        <v>1264505.3700000001</v>
      </c>
      <c r="H57" s="48">
        <f>[1]!BexGetData("DP_1","DJU2XQM4HBQDDLN9HWUK0D9NE","17","I","17015017I334","2067246011")</f>
        <v>1037621.06</v>
      </c>
      <c r="I57" s="48">
        <f>[1]!BexGetData("DP_1","DJU2XQM4HBSOFGMJGJ5E7NGGQ","17","I","17015017I334","2067246011")</f>
        <v>0</v>
      </c>
    </row>
    <row r="58" spans="1:9" x14ac:dyDescent="0.2">
      <c r="A58" s="46" t="s">
        <v>32</v>
      </c>
      <c r="B58" s="46" t="s">
        <v>32</v>
      </c>
      <c r="C58" s="46" t="s">
        <v>32</v>
      </c>
      <c r="D58" s="46" t="s">
        <v>32</v>
      </c>
      <c r="E58" s="46" t="s">
        <v>32</v>
      </c>
      <c r="F58" s="47">
        <f>[1]!BexGetData("DP_1","DJS6ARX3MS2YI3A6B50F1GCUY","17","I","17015017I334","2067247011")</f>
        <v>82065.98</v>
      </c>
      <c r="G58" s="48">
        <f>[1]!BexGetData("DP_1","DJU2XQM4HBO2BQNZJAJPT32U2","17","I","17015017I334","2067247011")</f>
        <v>82065.98</v>
      </c>
      <c r="H58" s="48">
        <f>[1]!BexGetData("DP_1","DJU2XQM4HBQDDLN9HWUK0D9NE","17","I","17015017I334","2067247011")</f>
        <v>81855.56</v>
      </c>
      <c r="I58" s="48">
        <f>[1]!BexGetData("DP_1","DJU2XQM4HBSOFGMJGJ5E7NGGQ","17","I","17015017I334","2067247011")</f>
        <v>0</v>
      </c>
    </row>
    <row r="59" spans="1:9" x14ac:dyDescent="0.2">
      <c r="A59" s="46" t="s">
        <v>32</v>
      </c>
      <c r="B59" s="46" t="s">
        <v>32</v>
      </c>
      <c r="C59" s="46" t="s">
        <v>32</v>
      </c>
      <c r="D59" s="46" t="s">
        <v>32</v>
      </c>
      <c r="E59" s="46" t="s">
        <v>32</v>
      </c>
      <c r="F59" s="47">
        <f>[1]!BexGetData("DP_1","DJS6ARX3MS2YI3A6B50F1GCUY","17","I","17015017I334","2067249011")</f>
        <v>245190.18</v>
      </c>
      <c r="G59" s="48">
        <f>[1]!BexGetData("DP_1","DJU2XQM4HBO2BQNZJAJPT32U2","17","I","17015017I334","2067249011")</f>
        <v>245190.18</v>
      </c>
      <c r="H59" s="48">
        <f>[1]!BexGetData("DP_1","DJU2XQM4HBQDDLN9HWUK0D9NE","17","I","17015017I334","2067249011")</f>
        <v>245190.18</v>
      </c>
      <c r="I59" s="48">
        <f>[1]!BexGetData("DP_1","DJU2XQM4HBSOFGMJGJ5E7NGGQ","17","I","17015017I334","2067249011")</f>
        <v>0</v>
      </c>
    </row>
    <row r="60" spans="1:9" x14ac:dyDescent="0.2">
      <c r="A60" s="46" t="s">
        <v>32</v>
      </c>
      <c r="B60" s="46" t="s">
        <v>32</v>
      </c>
      <c r="C60" s="46" t="s">
        <v>32</v>
      </c>
      <c r="D60" s="46" t="s">
        <v>32</v>
      </c>
      <c r="E60" s="46" t="s">
        <v>32</v>
      </c>
      <c r="F60" s="47">
        <f>[1]!BexGetData("DP_1","DJS6ARX3MS2YI3A6B50F1GCUY","17","I","17015017I334","2067253011")</f>
        <v>37568.67</v>
      </c>
      <c r="G60" s="48">
        <f>[1]!BexGetData("DP_1","DJU2XQM4HBO2BQNZJAJPT32U2","17","I","17015017I334","2067253011")</f>
        <v>37568.67</v>
      </c>
      <c r="H60" s="48">
        <f>[1]!BexGetData("DP_1","DJU2XQM4HBQDDLN9HWUK0D9NE","17","I","17015017I334","2067253011")</f>
        <v>37568.67</v>
      </c>
      <c r="I60" s="48">
        <f>[1]!BexGetData("DP_1","DJU2XQM4HBSOFGMJGJ5E7NGGQ","17","I","17015017I334","2067253011")</f>
        <v>0</v>
      </c>
    </row>
    <row r="61" spans="1:9" x14ac:dyDescent="0.2">
      <c r="A61" s="46" t="s">
        <v>32</v>
      </c>
      <c r="B61" s="46" t="s">
        <v>32</v>
      </c>
      <c r="C61" s="46" t="s">
        <v>32</v>
      </c>
      <c r="D61" s="46" t="s">
        <v>32</v>
      </c>
      <c r="E61" s="46" t="s">
        <v>32</v>
      </c>
      <c r="F61" s="47">
        <f>[1]!BexGetData("DP_1","DJS6ARX3MS2YI3A6B50F1GCUY","17","I","17015017I334","2067256011")</f>
        <v>16476.47</v>
      </c>
      <c r="G61" s="48">
        <f>[1]!BexGetData("DP_1","DJU2XQM4HBO2BQNZJAJPT32U2","17","I","17015017I334","2067256011")</f>
        <v>16476.47</v>
      </c>
      <c r="H61" s="48">
        <f>[1]!BexGetData("DP_1","DJU2XQM4HBQDDLN9HWUK0D9NE","17","I","17015017I334","2067256011")</f>
        <v>16476.47</v>
      </c>
      <c r="I61" s="48">
        <f>[1]!BexGetData("DP_1","DJU2XQM4HBSOFGMJGJ5E7NGGQ","17","I","17015017I334","2067256011")</f>
        <v>0</v>
      </c>
    </row>
    <row r="62" spans="1:9" x14ac:dyDescent="0.2">
      <c r="A62" s="46" t="s">
        <v>32</v>
      </c>
      <c r="B62" s="46" t="s">
        <v>32</v>
      </c>
      <c r="C62" s="46" t="s">
        <v>32</v>
      </c>
      <c r="D62" s="46" t="s">
        <v>32</v>
      </c>
      <c r="E62" s="46" t="s">
        <v>32</v>
      </c>
      <c r="F62" s="47">
        <f>[1]!BexGetData("DP_1","DJS6ARX3MS2YI3A6B50F1GCUY","17","I","17015017I334","2067261011")</f>
        <v>1980081.21</v>
      </c>
      <c r="G62" s="48">
        <f>[1]!BexGetData("DP_1","DJU2XQM4HBO2BQNZJAJPT32U2","17","I","17015017I334","2067261011")</f>
        <v>1980081.21</v>
      </c>
      <c r="H62" s="48">
        <f>[1]!BexGetData("DP_1","DJU2XQM4HBQDDLN9HWUK0D9NE","17","I","17015017I334","2067261011")</f>
        <v>0</v>
      </c>
      <c r="I62" s="48">
        <f>[1]!BexGetData("DP_1","DJU2XQM4HBSOFGMJGJ5E7NGGQ","17","I","17015017I334","2067261011")</f>
        <v>0</v>
      </c>
    </row>
    <row r="63" spans="1:9" x14ac:dyDescent="0.2">
      <c r="A63" s="46" t="s">
        <v>32</v>
      </c>
      <c r="B63" s="46" t="s">
        <v>32</v>
      </c>
      <c r="C63" s="46" t="s">
        <v>32</v>
      </c>
      <c r="D63" s="46" t="s">
        <v>32</v>
      </c>
      <c r="E63" s="46" t="s">
        <v>32</v>
      </c>
      <c r="F63" s="47">
        <f>[1]!BexGetData("DP_1","DJS6ARX3MS2YI3A6B50F1GCUY","17","I","17015017I334","2067261021")</f>
        <v>326872.12</v>
      </c>
      <c r="G63" s="48">
        <f>[1]!BexGetData("DP_1","DJU2XQM4HBO2BQNZJAJPT32U2","17","I","17015017I334","2067261021")</f>
        <v>326872.12</v>
      </c>
      <c r="H63" s="48">
        <f>[1]!BexGetData("DP_1","DJU2XQM4HBQDDLN9HWUK0D9NE","17","I","17015017I334","2067261021")</f>
        <v>326872.12</v>
      </c>
      <c r="I63" s="48">
        <f>[1]!BexGetData("DP_1","DJU2XQM4HBSOFGMJGJ5E7NGGQ","17","I","17015017I334","2067261021")</f>
        <v>0</v>
      </c>
    </row>
    <row r="64" spans="1:9" x14ac:dyDescent="0.2">
      <c r="A64" s="46" t="s">
        <v>32</v>
      </c>
      <c r="B64" s="46" t="s">
        <v>32</v>
      </c>
      <c r="C64" s="46" t="s">
        <v>32</v>
      </c>
      <c r="D64" s="46" t="s">
        <v>32</v>
      </c>
      <c r="E64" s="46" t="s">
        <v>32</v>
      </c>
      <c r="F64" s="47">
        <f>[1]!BexGetData("DP_1","DJS6ARX3MS2YI3A6B50F1GCUY","17","I","17015017I334","2067275011")</f>
        <v>20594.400000000001</v>
      </c>
      <c r="G64" s="48">
        <f>[1]!BexGetData("DP_1","DJU2XQM4HBO2BQNZJAJPT32U2","17","I","17015017I334","2067275011")</f>
        <v>20594.400000000001</v>
      </c>
      <c r="H64" s="48">
        <f>[1]!BexGetData("DP_1","DJU2XQM4HBQDDLN9HWUK0D9NE","17","I","17015017I334","2067275011")</f>
        <v>6194.4</v>
      </c>
      <c r="I64" s="48">
        <f>[1]!BexGetData("DP_1","DJU2XQM4HBSOFGMJGJ5E7NGGQ","17","I","17015017I334","2067275011")</f>
        <v>0</v>
      </c>
    </row>
    <row r="65" spans="1:9" x14ac:dyDescent="0.2">
      <c r="A65" s="46" t="s">
        <v>32</v>
      </c>
      <c r="B65" s="46" t="s">
        <v>32</v>
      </c>
      <c r="C65" s="46" t="s">
        <v>32</v>
      </c>
      <c r="D65" s="46" t="s">
        <v>32</v>
      </c>
      <c r="E65" s="46" t="s">
        <v>32</v>
      </c>
      <c r="F65" s="47">
        <f>[1]!BexGetData("DP_1","DJS6ARX3MS2YI3A6B50F1GCUY","17","I","17015017I334","2067282011")</f>
        <v>18792</v>
      </c>
      <c r="G65" s="48">
        <f>[1]!BexGetData("DP_1","DJU2XQM4HBO2BQNZJAJPT32U2","17","I","17015017I334","2067282011")</f>
        <v>18792</v>
      </c>
      <c r="H65" s="48">
        <f>[1]!BexGetData("DP_1","DJU2XQM4HBQDDLN9HWUK0D9NE","17","I","17015017I334","2067282011")</f>
        <v>18792</v>
      </c>
      <c r="I65" s="48">
        <f>[1]!BexGetData("DP_1","DJU2XQM4HBSOFGMJGJ5E7NGGQ","17","I","17015017I334","2067282011")</f>
        <v>0</v>
      </c>
    </row>
    <row r="66" spans="1:9" x14ac:dyDescent="0.2">
      <c r="A66" s="46" t="s">
        <v>32</v>
      </c>
      <c r="B66" s="46" t="s">
        <v>32</v>
      </c>
      <c r="C66" s="46" t="s">
        <v>32</v>
      </c>
      <c r="D66" s="46" t="s">
        <v>32</v>
      </c>
      <c r="E66" s="46" t="s">
        <v>32</v>
      </c>
      <c r="F66" s="47">
        <f>[1]!BexGetData("DP_1","DJS6ARX3MS2YI3A6B50F1GCUY","17","I","17015017I334","2067283011")</f>
        <v>390804</v>
      </c>
      <c r="G66" s="48">
        <f>[1]!BexGetData("DP_1","DJU2XQM4HBO2BQNZJAJPT32U2","17","I","17015017I334","2067283011")</f>
        <v>390804</v>
      </c>
      <c r="H66" s="48">
        <f>[1]!BexGetData("DP_1","DJU2XQM4HBQDDLN9HWUK0D9NE","17","I","17015017I334","2067283011")</f>
        <v>249168</v>
      </c>
      <c r="I66" s="48">
        <f>[1]!BexGetData("DP_1","DJU2XQM4HBSOFGMJGJ5E7NGGQ","17","I","17015017I334","2067283011")</f>
        <v>0</v>
      </c>
    </row>
    <row r="67" spans="1:9" x14ac:dyDescent="0.2">
      <c r="A67" s="46" t="s">
        <v>32</v>
      </c>
      <c r="B67" s="46" t="s">
        <v>32</v>
      </c>
      <c r="C67" s="46" t="s">
        <v>32</v>
      </c>
      <c r="D67" s="46" t="s">
        <v>32</v>
      </c>
      <c r="E67" s="46" t="s">
        <v>32</v>
      </c>
      <c r="F67" s="47">
        <f>[1]!BexGetData("DP_1","DJS6ARX3MS2YI3A6B50F1GCUY","17","I","17015017I334","2067291011")</f>
        <v>113294.41</v>
      </c>
      <c r="G67" s="48">
        <f>[1]!BexGetData("DP_1","DJU2XQM4HBO2BQNZJAJPT32U2","17","I","17015017I334","2067291011")</f>
        <v>113294.41</v>
      </c>
      <c r="H67" s="48">
        <f>[1]!BexGetData("DP_1","DJU2XQM4HBQDDLN9HWUK0D9NE","17","I","17015017I334","2067291011")</f>
        <v>113294.41</v>
      </c>
      <c r="I67" s="48">
        <f>[1]!BexGetData("DP_1","DJU2XQM4HBSOFGMJGJ5E7NGGQ","17","I","17015017I334","2067291011")</f>
        <v>0</v>
      </c>
    </row>
    <row r="68" spans="1:9" x14ac:dyDescent="0.2">
      <c r="A68" s="46" t="s">
        <v>32</v>
      </c>
      <c r="B68" s="46" t="s">
        <v>32</v>
      </c>
      <c r="C68" s="46" t="s">
        <v>32</v>
      </c>
      <c r="D68" s="46" t="s">
        <v>32</v>
      </c>
      <c r="E68" s="46" t="s">
        <v>32</v>
      </c>
      <c r="F68" s="47">
        <f>[1]!BexGetData("DP_1","DJS6ARX3MS2YI3A6B50F1GCUY","17","I","17015017I334","2067296011")</f>
        <v>3391204.45</v>
      </c>
      <c r="G68" s="48">
        <f>[1]!BexGetData("DP_1","DJU2XQM4HBO2BQNZJAJPT32U2","17","I","17015017I334","2067296011")</f>
        <v>3391204.45</v>
      </c>
      <c r="H68" s="48">
        <f>[1]!BexGetData("DP_1","DJU2XQM4HBQDDLN9HWUK0D9NE","17","I","17015017I334","2067296011")</f>
        <v>3359452.32</v>
      </c>
      <c r="I68" s="48">
        <f>[1]!BexGetData("DP_1","DJU2XQM4HBSOFGMJGJ5E7NGGQ","17","I","17015017I334","2067296011")</f>
        <v>0</v>
      </c>
    </row>
    <row r="69" spans="1:9" x14ac:dyDescent="0.2">
      <c r="A69" s="46" t="s">
        <v>32</v>
      </c>
      <c r="B69" s="46" t="s">
        <v>32</v>
      </c>
      <c r="C69" s="46" t="s">
        <v>32</v>
      </c>
      <c r="D69" s="46" t="s">
        <v>32</v>
      </c>
      <c r="E69" s="46" t="s">
        <v>32</v>
      </c>
      <c r="F69" s="47">
        <f>[1]!BexGetData("DP_1","DJS6ARX3MS2YI3A6B50F1GCUY","17","I","17015017I334","2067311021")</f>
        <v>0</v>
      </c>
      <c r="G69" s="48">
        <f>[1]!BexGetData("DP_1","DJU2XQM4HBO2BQNZJAJPT32U2","17","I","17015017I334","2067311021")</f>
        <v>0</v>
      </c>
      <c r="H69" s="48">
        <f>[1]!BexGetData("DP_1","DJU2XQM4HBQDDLN9HWUK0D9NE","17","I","17015017I334","2067311021")</f>
        <v>0</v>
      </c>
      <c r="I69" s="48">
        <f>[1]!BexGetData("DP_1","DJU2XQM4HBSOFGMJGJ5E7NGGQ","17","I","17015017I334","2067311021")</f>
        <v>0</v>
      </c>
    </row>
    <row r="70" spans="1:9" x14ac:dyDescent="0.2">
      <c r="A70" s="46" t="s">
        <v>32</v>
      </c>
      <c r="B70" s="46" t="s">
        <v>32</v>
      </c>
      <c r="C70" s="46" t="s">
        <v>32</v>
      </c>
      <c r="D70" s="46" t="s">
        <v>32</v>
      </c>
      <c r="E70" s="46" t="s">
        <v>32</v>
      </c>
      <c r="F70" s="47">
        <f>[1]!BexGetData("DP_1","DJS6ARX3MS2YI3A6B50F1GCUY","17","I","17015017I334","2067336011")</f>
        <v>22050.97</v>
      </c>
      <c r="G70" s="48">
        <f>[1]!BexGetData("DP_1","DJU2XQM4HBO2BQNZJAJPT32U2","17","I","17015017I334","2067336011")</f>
        <v>22050.97</v>
      </c>
      <c r="H70" s="48">
        <f>[1]!BexGetData("DP_1","DJU2XQM4HBQDDLN9HWUK0D9NE","17","I","17015017I334","2067336011")</f>
        <v>22050.97</v>
      </c>
      <c r="I70" s="48">
        <f>[1]!BexGetData("DP_1","DJU2XQM4HBSOFGMJGJ5E7NGGQ","17","I","17015017I334","2067336011")</f>
        <v>0</v>
      </c>
    </row>
    <row r="71" spans="1:9" x14ac:dyDescent="0.2">
      <c r="A71" s="46" t="s">
        <v>32</v>
      </c>
      <c r="B71" s="46" t="s">
        <v>32</v>
      </c>
      <c r="C71" s="46" t="s">
        <v>32</v>
      </c>
      <c r="D71" s="46" t="s">
        <v>32</v>
      </c>
      <c r="E71" s="46" t="s">
        <v>32</v>
      </c>
      <c r="F71" s="47">
        <f>[1]!BexGetData("DP_1","DJS6ARX3MS2YI3A6B50F1GCUY","17","I","17015017I334","2067351011")</f>
        <v>86194.96</v>
      </c>
      <c r="G71" s="48">
        <f>[1]!BexGetData("DP_1","DJU2XQM4HBO2BQNZJAJPT32U2","17","I","17015017I334","2067351011")</f>
        <v>86194.96</v>
      </c>
      <c r="H71" s="48">
        <f>[1]!BexGetData("DP_1","DJU2XQM4HBQDDLN9HWUK0D9NE","17","I","17015017I334","2067351011")</f>
        <v>86194.96</v>
      </c>
      <c r="I71" s="48">
        <f>[1]!BexGetData("DP_1","DJU2XQM4HBSOFGMJGJ5E7NGGQ","17","I","17015017I334","2067351011")</f>
        <v>0</v>
      </c>
    </row>
    <row r="72" spans="1:9" x14ac:dyDescent="0.2">
      <c r="A72" s="46" t="s">
        <v>32</v>
      </c>
      <c r="B72" s="46" t="s">
        <v>32</v>
      </c>
      <c r="C72" s="46" t="s">
        <v>32</v>
      </c>
      <c r="D72" s="46" t="s">
        <v>32</v>
      </c>
      <c r="E72" s="46" t="s">
        <v>32</v>
      </c>
      <c r="F72" s="47">
        <f>[1]!BexGetData("DP_1","DJS6ARX3MS2YI3A6B50F1GCUY","17","I","17015017I334","2067355011")</f>
        <v>829264.61</v>
      </c>
      <c r="G72" s="48">
        <f>[1]!BexGetData("DP_1","DJU2XQM4HBO2BQNZJAJPT32U2","17","I","17015017I334","2067355011")</f>
        <v>829264.61</v>
      </c>
      <c r="H72" s="48">
        <f>[1]!BexGetData("DP_1","DJU2XQM4HBQDDLN9HWUK0D9NE","17","I","17015017I334","2067355011")</f>
        <v>808476.61</v>
      </c>
      <c r="I72" s="48">
        <f>[1]!BexGetData("DP_1","DJU2XQM4HBSOFGMJGJ5E7NGGQ","17","I","17015017I334","2067355011")</f>
        <v>0</v>
      </c>
    </row>
    <row r="73" spans="1:9" x14ac:dyDescent="0.2">
      <c r="A73" s="46" t="s">
        <v>32</v>
      </c>
      <c r="B73" s="46" t="s">
        <v>32</v>
      </c>
      <c r="C73" s="46" t="s">
        <v>32</v>
      </c>
      <c r="D73" s="46" t="s">
        <v>32</v>
      </c>
      <c r="E73" s="46" t="s">
        <v>32</v>
      </c>
      <c r="F73" s="47">
        <f>[1]!BexGetData("DP_1","DJS6ARX3MS2YI3A6B50F1GCUY","17","I","17015017I334","2067359011")</f>
        <v>110200</v>
      </c>
      <c r="G73" s="48">
        <f>[1]!BexGetData("DP_1","DJU2XQM4HBO2BQNZJAJPT32U2","17","I","17015017I334","2067359011")</f>
        <v>110200</v>
      </c>
      <c r="H73" s="48">
        <f>[1]!BexGetData("DP_1","DJU2XQM4HBQDDLN9HWUK0D9NE","17","I","17015017I334","2067359011")</f>
        <v>110200</v>
      </c>
      <c r="I73" s="48">
        <f>[1]!BexGetData("DP_1","DJU2XQM4HBSOFGMJGJ5E7NGGQ","17","I","17015017I334","2067359011")</f>
        <v>0</v>
      </c>
    </row>
    <row r="74" spans="1:9" x14ac:dyDescent="0.2">
      <c r="A74" s="46" t="s">
        <v>32</v>
      </c>
      <c r="B74" s="46" t="s">
        <v>32</v>
      </c>
      <c r="C74" s="46" t="s">
        <v>32</v>
      </c>
      <c r="D74" s="46" t="s">
        <v>32</v>
      </c>
      <c r="E74" s="46" t="s">
        <v>32</v>
      </c>
      <c r="F74" s="47">
        <f>[1]!BexGetData("DP_1","DJS6ARX3MS2YI3A6B50F1GCUY","17","I","17015017I334","2067371011")</f>
        <v>4181.32</v>
      </c>
      <c r="G74" s="48">
        <f>[1]!BexGetData("DP_1","DJU2XQM4HBO2BQNZJAJPT32U2","17","I","17015017I334","2067371011")</f>
        <v>4181.32</v>
      </c>
      <c r="H74" s="48">
        <f>[1]!BexGetData("DP_1","DJU2XQM4HBQDDLN9HWUK0D9NE","17","I","17015017I334","2067371011")</f>
        <v>4181.32</v>
      </c>
      <c r="I74" s="48">
        <f>[1]!BexGetData("DP_1","DJU2XQM4HBSOFGMJGJ5E7NGGQ","17","I","17015017I334","2067371011")</f>
        <v>0</v>
      </c>
    </row>
    <row r="75" spans="1:9" x14ac:dyDescent="0.2">
      <c r="A75" s="46" t="s">
        <v>32</v>
      </c>
      <c r="B75" s="46" t="s">
        <v>32</v>
      </c>
      <c r="C75" s="46" t="s">
        <v>32</v>
      </c>
      <c r="D75" s="46" t="s">
        <v>32</v>
      </c>
      <c r="E75" s="46" t="s">
        <v>32</v>
      </c>
      <c r="F75" s="47">
        <f>[1]!BexGetData("DP_1","DJS6ARX3MS2YI3A6B50F1GCUY","17","I","17015017I334","2067372011")</f>
        <v>0</v>
      </c>
      <c r="G75" s="48">
        <f>[1]!BexGetData("DP_1","DJU2XQM4HBO2BQNZJAJPT32U2","17","I","17015017I334","2067372011")</f>
        <v>0</v>
      </c>
      <c r="H75" s="48">
        <f>[1]!BexGetData("DP_1","DJU2XQM4HBQDDLN9HWUK0D9NE","17","I","17015017I334","2067372011")</f>
        <v>0</v>
      </c>
      <c r="I75" s="48">
        <f>[1]!BexGetData("DP_1","DJU2XQM4HBSOFGMJGJ5E7NGGQ","17","I","17015017I334","2067372011")</f>
        <v>0</v>
      </c>
    </row>
    <row r="76" spans="1:9" x14ac:dyDescent="0.2">
      <c r="A76" s="46" t="s">
        <v>32</v>
      </c>
      <c r="B76" s="46" t="s">
        <v>32</v>
      </c>
      <c r="C76" s="46" t="s">
        <v>32</v>
      </c>
      <c r="D76" s="46" t="s">
        <v>32</v>
      </c>
      <c r="E76" s="46" t="s">
        <v>32</v>
      </c>
      <c r="F76" s="47">
        <f>[1]!BexGetData("DP_1","DJS6ARX3MS2YI3A6B50F1GCUY","17","I","17015017I334","2067375011")</f>
        <v>6000</v>
      </c>
      <c r="G76" s="48">
        <f>[1]!BexGetData("DP_1","DJU2XQM4HBO2BQNZJAJPT32U2","17","I","17015017I334","2067375011")</f>
        <v>6000</v>
      </c>
      <c r="H76" s="48">
        <f>[1]!BexGetData("DP_1","DJU2XQM4HBQDDLN9HWUK0D9NE","17","I","17015017I334","2067375011")</f>
        <v>6000</v>
      </c>
      <c r="I76" s="48">
        <f>[1]!BexGetData("DP_1","DJU2XQM4HBSOFGMJGJ5E7NGGQ","17","I","17015017I334","2067375011")</f>
        <v>0</v>
      </c>
    </row>
    <row r="77" spans="1:9" x14ac:dyDescent="0.2">
      <c r="A77" s="46" t="s">
        <v>32</v>
      </c>
      <c r="B77" s="46" t="s">
        <v>32</v>
      </c>
      <c r="C77" s="46" t="s">
        <v>32</v>
      </c>
      <c r="D77" s="46" t="s">
        <v>32</v>
      </c>
      <c r="E77" s="46" t="s">
        <v>32</v>
      </c>
      <c r="F77" s="47">
        <f>[1]!BexGetData("DP_1","DJS6ARX3MS2YI3A6B50F1GCUY","17","I","17015017I334","2067398011")</f>
        <v>0</v>
      </c>
      <c r="G77" s="48">
        <f>[1]!BexGetData("DP_1","DJU2XQM4HBO2BQNZJAJPT32U2","17","I","17015017I334","2067398011")</f>
        <v>0</v>
      </c>
      <c r="H77" s="48">
        <f>[1]!BexGetData("DP_1","DJU2XQM4HBQDDLN9HWUK0D9NE","17","I","17015017I334","2067398011")</f>
        <v>0</v>
      </c>
      <c r="I77" s="48">
        <f>[1]!BexGetData("DP_1","DJU2XQM4HBSOFGMJGJ5E7NGGQ","17","I","17015017I334","2067398011")</f>
        <v>0</v>
      </c>
    </row>
    <row r="78" spans="1:9" x14ac:dyDescent="0.2">
      <c r="A78" s="46" t="s">
        <v>32</v>
      </c>
      <c r="B78" s="46" t="s">
        <v>32</v>
      </c>
      <c r="C78" s="46" t="s">
        <v>32</v>
      </c>
      <c r="D78" s="46" t="s">
        <v>32</v>
      </c>
      <c r="E78" s="46" t="s">
        <v>32</v>
      </c>
      <c r="F78" s="47">
        <f>[1]!BexGetData("DP_1","DJS6ARX3MS2YI3A6B50F1GCUY","17","I","17015017I334","2067511012")</f>
        <v>4060</v>
      </c>
      <c r="G78" s="48">
        <f>[1]!BexGetData("DP_1","DJU2XQM4HBO2BQNZJAJPT32U2","17","I","17015017I334","2067511012")</f>
        <v>4060</v>
      </c>
      <c r="H78" s="48">
        <f>[1]!BexGetData("DP_1","DJU2XQM4HBQDDLN9HWUK0D9NE","17","I","17015017I334","2067511012")</f>
        <v>0</v>
      </c>
      <c r="I78" s="48">
        <f>[1]!BexGetData("DP_1","DJU2XQM4HBSOFGMJGJ5E7NGGQ","17","I","17015017I334","2067511012")</f>
        <v>0</v>
      </c>
    </row>
    <row r="79" spans="1:9" x14ac:dyDescent="0.2">
      <c r="A79" s="46" t="s">
        <v>32</v>
      </c>
      <c r="B79" s="46" t="s">
        <v>32</v>
      </c>
      <c r="C79" s="46" t="s">
        <v>32</v>
      </c>
      <c r="D79" s="46" t="s">
        <v>32</v>
      </c>
      <c r="E79" s="46" t="s">
        <v>32</v>
      </c>
      <c r="F79" s="47">
        <f>[1]!BexGetData("DP_1","DJS6ARX3MS2YI3A6B50F1GCUY","17","I","17015017I334","2067567012")</f>
        <v>45249.99</v>
      </c>
      <c r="G79" s="48">
        <f>[1]!BexGetData("DP_1","DJU2XQM4HBO2BQNZJAJPT32U2","17","I","17015017I334","2067567012")</f>
        <v>45249.99</v>
      </c>
      <c r="H79" s="48">
        <f>[1]!BexGetData("DP_1","DJU2XQM4HBQDDLN9HWUK0D9NE","17","I","17015017I334","2067567012")</f>
        <v>45249.99</v>
      </c>
      <c r="I79" s="48">
        <f>[1]!BexGetData("DP_1","DJU2XQM4HBSOFGMJGJ5E7NGGQ","17","I","17015017I334","2067567012")</f>
        <v>0</v>
      </c>
    </row>
    <row r="80" spans="1:9" x14ac:dyDescent="0.2">
      <c r="A80" s="46" t="s">
        <v>32</v>
      </c>
      <c r="B80" s="46" t="s">
        <v>32</v>
      </c>
      <c r="C80" s="46" t="s">
        <v>67</v>
      </c>
      <c r="D80" s="46" t="s">
        <v>67</v>
      </c>
      <c r="E80" s="46" t="s">
        <v>32</v>
      </c>
      <c r="F80" s="47">
        <f>[1]!BexGetData("DP_1","DJS6ARX3MS2YI3A6B50F1GCUY","17","I","22015017I334","2067351011")</f>
        <v>115000.08</v>
      </c>
      <c r="G80" s="48">
        <f>[1]!BexGetData("DP_1","DJU2XQM4HBO2BQNZJAJPT32U2","17","I","22015017I334","2067351011")</f>
        <v>115000.08</v>
      </c>
      <c r="H80" s="48">
        <f>[1]!BexGetData("DP_1","DJU2XQM4HBQDDLN9HWUK0D9NE","17","I","22015017I334","2067351011")</f>
        <v>0</v>
      </c>
      <c r="I80" s="48">
        <f>[1]!BexGetData("DP_1","DJU2XQM4HBSOFGMJGJ5E7NGGQ","17","I","22015017I334","2067351011")</f>
        <v>0</v>
      </c>
    </row>
    <row r="81" spans="1:9" x14ac:dyDescent="0.2">
      <c r="A81" s="46" t="s">
        <v>32</v>
      </c>
      <c r="B81" s="46" t="s">
        <v>32</v>
      </c>
      <c r="C81" s="46" t="s">
        <v>32</v>
      </c>
      <c r="D81" s="46" t="s">
        <v>32</v>
      </c>
      <c r="E81" s="46" t="s">
        <v>32</v>
      </c>
      <c r="F81" s="47">
        <f>[1]!BexGetData("DP_1","DJS6ARX3MS2YI3A6B50F1GCUY","17","I","22015017I334","2067351021")</f>
        <v>100011.5</v>
      </c>
      <c r="G81" s="48">
        <f>[1]!BexGetData("DP_1","DJU2XQM4HBO2BQNZJAJPT32U2","17","I","22015017I334","2067351021")</f>
        <v>100011.5</v>
      </c>
      <c r="H81" s="48">
        <f>[1]!BexGetData("DP_1","DJU2XQM4HBQDDLN9HWUK0D9NE","17","I","22015017I334","2067351021")</f>
        <v>100011.5</v>
      </c>
      <c r="I81" s="48">
        <f>[1]!BexGetData("DP_1","DJU2XQM4HBSOFGMJGJ5E7NGGQ","17","I","22015017I334","2067351021")</f>
        <v>0</v>
      </c>
    </row>
    <row r="82" spans="1:9" x14ac:dyDescent="0.2">
      <c r="A82" s="46" t="s">
        <v>32</v>
      </c>
      <c r="B82" s="46" t="s">
        <v>32</v>
      </c>
      <c r="C82" s="46" t="s">
        <v>68</v>
      </c>
      <c r="D82" s="46" t="s">
        <v>69</v>
      </c>
      <c r="E82" s="46" t="s">
        <v>32</v>
      </c>
      <c r="F82" s="47">
        <f>[1]!BexGetData("DP_1","DJS6ARX3MS2YI3A6B50F1GCUY","17","I","22075017I333","2067213011")</f>
        <v>132413.42000000001</v>
      </c>
      <c r="G82" s="48">
        <f>[1]!BexGetData("DP_1","DJU2XQM4HBO2BQNZJAJPT32U2","17","I","22075017I333","2067213011")</f>
        <v>132413.42000000001</v>
      </c>
      <c r="H82" s="48">
        <f>[1]!BexGetData("DP_1","DJU2XQM4HBQDDLN9HWUK0D9NE","17","I","22075017I333","2067213011")</f>
        <v>132413.42000000001</v>
      </c>
      <c r="I82" s="48">
        <f>[1]!BexGetData("DP_1","DJU2XQM4HBSOFGMJGJ5E7NGGQ","17","I","22075017I333","2067213011")</f>
        <v>0</v>
      </c>
    </row>
    <row r="83" spans="1:9" x14ac:dyDescent="0.2">
      <c r="A83" s="46" t="s">
        <v>32</v>
      </c>
      <c r="B83" s="46" t="s">
        <v>32</v>
      </c>
      <c r="C83" s="46" t="s">
        <v>32</v>
      </c>
      <c r="D83" s="46" t="s">
        <v>32</v>
      </c>
      <c r="E83" s="46" t="s">
        <v>32</v>
      </c>
      <c r="F83" s="47">
        <f>[1]!BexGetData("DP_1","DJS6ARX3MS2YI3A6B50F1GCUY","17","I","22075017I333","2067333011")</f>
        <v>0</v>
      </c>
      <c r="G83" s="48">
        <f>[1]!BexGetData("DP_1","DJU2XQM4HBO2BQNZJAJPT32U2","17","I","22075017I333","2067333011")</f>
        <v>0</v>
      </c>
      <c r="H83" s="48">
        <f>[1]!BexGetData("DP_1","DJU2XQM4HBQDDLN9HWUK0D9NE","17","I","22075017I333","2067333011")</f>
        <v>0</v>
      </c>
      <c r="I83" s="48">
        <f>[1]!BexGetData("DP_1","DJU2XQM4HBSOFGMJGJ5E7NGGQ","17","I","22075017I333","2067333011")</f>
        <v>0</v>
      </c>
    </row>
    <row r="84" spans="1:9" x14ac:dyDescent="0.2">
      <c r="A84" s="46" t="s">
        <v>32</v>
      </c>
      <c r="B84" s="46" t="s">
        <v>32</v>
      </c>
      <c r="C84" s="46" t="s">
        <v>32</v>
      </c>
      <c r="D84" s="46" t="s">
        <v>32</v>
      </c>
      <c r="E84" s="46" t="s">
        <v>32</v>
      </c>
      <c r="F84" s="47">
        <f>[1]!BexGetData("DP_1","DJS6ARX3MS2YI3A6B50F1GCUY","17","I","22075017I333","2067334011")</f>
        <v>150000</v>
      </c>
      <c r="G84" s="48">
        <f>[1]!BexGetData("DP_1","DJU2XQM4HBO2BQNZJAJPT32U2","17","I","22075017I333","2067334011")</f>
        <v>150000</v>
      </c>
      <c r="H84" s="48">
        <f>[1]!BexGetData("DP_1","DJU2XQM4HBQDDLN9HWUK0D9NE","17","I","22075017I333","2067334011")</f>
        <v>150000</v>
      </c>
      <c r="I84" s="48">
        <f>[1]!BexGetData("DP_1","DJU2XQM4HBSOFGMJGJ5E7NGGQ","17","I","22075017I333","2067334011")</f>
        <v>0</v>
      </c>
    </row>
    <row r="85" spans="1:9" x14ac:dyDescent="0.2">
      <c r="A85" s="46" t="s">
        <v>32</v>
      </c>
      <c r="B85" s="46" t="s">
        <v>32</v>
      </c>
      <c r="C85" s="46" t="s">
        <v>32</v>
      </c>
      <c r="D85" s="46" t="s">
        <v>32</v>
      </c>
      <c r="E85" s="46" t="s">
        <v>32</v>
      </c>
      <c r="F85" s="47">
        <f>[1]!BexGetData("DP_1","DJS6ARX3MS2YI3A6B50F1GCUY","17","I","22075017I333","2067355011")</f>
        <v>123457.95</v>
      </c>
      <c r="G85" s="48">
        <f>[1]!BexGetData("DP_1","DJU2XQM4HBO2BQNZJAJPT32U2","17","I","22075017I333","2067355011")</f>
        <v>123457.95</v>
      </c>
      <c r="H85" s="48">
        <f>[1]!BexGetData("DP_1","DJU2XQM4HBQDDLN9HWUK0D9NE","17","I","22075017I333","2067355011")</f>
        <v>123457.95</v>
      </c>
      <c r="I85" s="48">
        <f>[1]!BexGetData("DP_1","DJU2XQM4HBSOFGMJGJ5E7NGGQ","17","I","22075017I333","2067355011")</f>
        <v>0</v>
      </c>
    </row>
    <row r="86" spans="1:9" x14ac:dyDescent="0.2">
      <c r="A86" s="46" t="s">
        <v>32</v>
      </c>
      <c r="B86" s="46" t="s">
        <v>32</v>
      </c>
      <c r="C86" s="46" t="s">
        <v>32</v>
      </c>
      <c r="D86" s="46" t="s">
        <v>32</v>
      </c>
      <c r="E86" s="46" t="s">
        <v>32</v>
      </c>
      <c r="F86" s="47">
        <f>[1]!BexGetData("DP_1","DJS6ARX3MS2YI3A6B50F1GCUY","17","I","22075017I333","2067511012")</f>
        <v>140000.01</v>
      </c>
      <c r="G86" s="48">
        <f>[1]!BexGetData("DP_1","DJU2XQM4HBO2BQNZJAJPT32U2","17","I","22075017I333","2067511012")</f>
        <v>140000.01</v>
      </c>
      <c r="H86" s="48">
        <f>[1]!BexGetData("DP_1","DJU2XQM4HBQDDLN9HWUK0D9NE","17","I","22075017I333","2067511012")</f>
        <v>140000.01</v>
      </c>
      <c r="I86" s="48">
        <f>[1]!BexGetData("DP_1","DJU2XQM4HBSOFGMJGJ5E7NGGQ","17","I","22075017I333","2067511012")</f>
        <v>0</v>
      </c>
    </row>
    <row r="87" spans="1:9" x14ac:dyDescent="0.2">
      <c r="A87" s="46" t="s">
        <v>32</v>
      </c>
      <c r="B87" s="46" t="s">
        <v>32</v>
      </c>
      <c r="C87" s="46" t="s">
        <v>32</v>
      </c>
      <c r="D87" s="46" t="s">
        <v>32</v>
      </c>
      <c r="E87" s="46" t="s">
        <v>32</v>
      </c>
      <c r="F87" s="47">
        <f>[1]!BexGetData("DP_1","DJS6ARX3MS2YI3A6B50F1GCUY","17","I","22075017I333","2067515012")</f>
        <v>388453.79</v>
      </c>
      <c r="G87" s="48">
        <f>[1]!BexGetData("DP_1","DJU2XQM4HBO2BQNZJAJPT32U2","17","I","22075017I333","2067515012")</f>
        <v>387808.75</v>
      </c>
      <c r="H87" s="48">
        <f>[1]!BexGetData("DP_1","DJU2XQM4HBQDDLN9HWUK0D9NE","17","I","22075017I333","2067515012")</f>
        <v>387808.75</v>
      </c>
      <c r="I87" s="48">
        <f>[1]!BexGetData("DP_1","DJU2XQM4HBSOFGMJGJ5E7NGGQ","17","I","22075017I333","2067515012")</f>
        <v>645.04</v>
      </c>
    </row>
    <row r="88" spans="1:9" x14ac:dyDescent="0.2">
      <c r="A88" s="46" t="s">
        <v>32</v>
      </c>
      <c r="B88" s="46" t="s">
        <v>32</v>
      </c>
      <c r="C88" s="46" t="s">
        <v>32</v>
      </c>
      <c r="D88" s="46" t="s">
        <v>32</v>
      </c>
      <c r="E88" s="46" t="s">
        <v>32</v>
      </c>
      <c r="F88" s="47">
        <f>[1]!BexGetData("DP_1","DJS6ARX3MS2YI3A6B50F1GCUY","17","I","22075017I333","2067523012")</f>
        <v>0</v>
      </c>
      <c r="G88" s="48">
        <f>[1]!BexGetData("DP_1","DJU2XQM4HBO2BQNZJAJPT32U2","17","I","22075017I333","2067523012")</f>
        <v>0</v>
      </c>
      <c r="H88" s="48">
        <f>[1]!BexGetData("DP_1","DJU2XQM4HBQDDLN9HWUK0D9NE","17","I","22075017I333","2067523012")</f>
        <v>0</v>
      </c>
      <c r="I88" s="48">
        <f>[1]!BexGetData("DP_1","DJU2XQM4HBSOFGMJGJ5E7NGGQ","17","I","22075017I333","2067523012")</f>
        <v>0</v>
      </c>
    </row>
    <row r="89" spans="1:9" x14ac:dyDescent="0.2">
      <c r="A89" s="46" t="s">
        <v>32</v>
      </c>
      <c r="B89" s="46" t="s">
        <v>32</v>
      </c>
      <c r="C89" s="46" t="s">
        <v>32</v>
      </c>
      <c r="D89" s="46" t="s">
        <v>32</v>
      </c>
      <c r="E89" s="46" t="s">
        <v>32</v>
      </c>
      <c r="F89" s="47">
        <f>[1]!BexGetData("DP_1","DJS6ARX3MS2YI3A6B50F1GCUY","17","I","22075017I333","2067529012")</f>
        <v>74555</v>
      </c>
      <c r="G89" s="48">
        <f>[1]!BexGetData("DP_1","DJU2XQM4HBO2BQNZJAJPT32U2","17","I","22075017I333","2067529012")</f>
        <v>74555</v>
      </c>
      <c r="H89" s="48">
        <f>[1]!BexGetData("DP_1","DJU2XQM4HBQDDLN9HWUK0D9NE","17","I","22075017I333","2067529012")</f>
        <v>0</v>
      </c>
      <c r="I89" s="48">
        <f>[1]!BexGetData("DP_1","DJU2XQM4HBSOFGMJGJ5E7NGGQ","17","I","22075017I333","2067529012")</f>
        <v>0</v>
      </c>
    </row>
    <row r="90" spans="1:9" x14ac:dyDescent="0.2">
      <c r="A90" s="46" t="s">
        <v>32</v>
      </c>
      <c r="B90" s="46" t="s">
        <v>32</v>
      </c>
      <c r="C90" s="46" t="s">
        <v>32</v>
      </c>
      <c r="D90" s="46" t="s">
        <v>32</v>
      </c>
      <c r="E90" s="46" t="s">
        <v>32</v>
      </c>
      <c r="F90" s="47">
        <f>[1]!BexGetData("DP_1","DJS6ARX3MS2YI3A6B50F1GCUY","17","I","22075017I333","2067591012")</f>
        <v>1715207.01</v>
      </c>
      <c r="G90" s="48">
        <f>[1]!BexGetData("DP_1","DJU2XQM4HBO2BQNZJAJPT32U2","17","I","22075017I333","2067591012")</f>
        <v>1707216.35</v>
      </c>
      <c r="H90" s="48">
        <f>[1]!BexGetData("DP_1","DJU2XQM4HBQDDLN9HWUK0D9NE","17","I","22075017I333","2067591012")</f>
        <v>1707216.35</v>
      </c>
      <c r="I90" s="48">
        <f>[1]!BexGetData("DP_1","DJU2XQM4HBSOFGMJGJ5E7NGGQ","17","I","22075017I333","2067591012")</f>
        <v>7990.66</v>
      </c>
    </row>
    <row r="91" spans="1:9" x14ac:dyDescent="0.2">
      <c r="A91" s="46" t="s">
        <v>32</v>
      </c>
      <c r="B91" s="46" t="s">
        <v>32</v>
      </c>
      <c r="C91" s="46" t="s">
        <v>32</v>
      </c>
      <c r="D91" s="46" t="s">
        <v>32</v>
      </c>
      <c r="E91" s="46" t="s">
        <v>32</v>
      </c>
      <c r="F91" s="47">
        <f>[1]!BexGetData("DP_1","DJS6ARX3MS2YI3A6B50F1GCUY","17","I","22075017I333","2067612022")</f>
        <v>2954345.24</v>
      </c>
      <c r="G91" s="48">
        <f>[1]!BexGetData("DP_1","DJU2XQM4HBO2BQNZJAJPT32U2","17","I","22075017I333","2067612022")</f>
        <v>747299.8</v>
      </c>
      <c r="H91" s="48">
        <f>[1]!BexGetData("DP_1","DJU2XQM4HBQDDLN9HWUK0D9NE","17","I","22075017I333","2067612022")</f>
        <v>744078.68</v>
      </c>
      <c r="I91" s="48">
        <f>[1]!BexGetData("DP_1","DJU2XQM4HBSOFGMJGJ5E7NGGQ","17","I","22075017I333","2067612022")</f>
        <v>2207045.4399999902</v>
      </c>
    </row>
    <row r="92" spans="1:9" x14ac:dyDescent="0.2">
      <c r="A92" s="46" t="s">
        <v>32</v>
      </c>
      <c r="B92" s="46" t="s">
        <v>32</v>
      </c>
      <c r="C92" s="46" t="s">
        <v>32</v>
      </c>
      <c r="D92" s="46" t="s">
        <v>32</v>
      </c>
      <c r="E92" s="46" t="s">
        <v>32</v>
      </c>
      <c r="F92" s="47">
        <f>[1]!BexGetData("DP_1","DJS6ARX3MS2YI3A6B50F1GCUY","17","I","22075017I333","2067613012")</f>
        <v>23655072</v>
      </c>
      <c r="G92" s="48">
        <f>[1]!BexGetData("DP_1","DJU2XQM4HBO2BQNZJAJPT32U2","17","I","22075017I333","2067613012")</f>
        <v>4862660.09</v>
      </c>
      <c r="H92" s="48">
        <f>[1]!BexGetData("DP_1","DJU2XQM4HBQDDLN9HWUK0D9NE","17","I","22075017I333","2067613012")</f>
        <v>4776580.45</v>
      </c>
      <c r="I92" s="48">
        <f>[1]!BexGetData("DP_1","DJU2XQM4HBSOFGMJGJ5E7NGGQ","17","I","22075017I333","2067613012")</f>
        <v>18792411.91</v>
      </c>
    </row>
    <row r="93" spans="1:9" x14ac:dyDescent="0.2">
      <c r="A93" s="46" t="s">
        <v>32</v>
      </c>
      <c r="B93" s="46" t="s">
        <v>32</v>
      </c>
      <c r="C93" s="46" t="s">
        <v>32</v>
      </c>
      <c r="D93" s="46" t="s">
        <v>32</v>
      </c>
      <c r="E93" s="46" t="s">
        <v>32</v>
      </c>
      <c r="F93" s="47">
        <f>[1]!BexGetData("DP_1","DJS6ARX3MS2YI3A6B50F1GCUY","17","I","22075017I333","2067613022")</f>
        <v>10718184.6</v>
      </c>
      <c r="G93" s="48">
        <f>[1]!BexGetData("DP_1","DJU2XQM4HBO2BQNZJAJPT32U2","17","I","22075017I333","2067613022")</f>
        <v>0</v>
      </c>
      <c r="H93" s="48">
        <f>[1]!BexGetData("DP_1","DJU2XQM4HBQDDLN9HWUK0D9NE","17","I","22075017I333","2067613022")</f>
        <v>0</v>
      </c>
      <c r="I93" s="48">
        <f>[1]!BexGetData("DP_1","DJU2XQM4HBSOFGMJGJ5E7NGGQ","17","I","22075017I333","2067613022")</f>
        <v>10718184.6</v>
      </c>
    </row>
    <row r="94" spans="1:9" x14ac:dyDescent="0.2">
      <c r="A94" s="46" t="s">
        <v>32</v>
      </c>
      <c r="B94" s="46" t="s">
        <v>32</v>
      </c>
      <c r="C94" s="46" t="s">
        <v>32</v>
      </c>
      <c r="D94" s="46" t="s">
        <v>32</v>
      </c>
      <c r="E94" s="46" t="s">
        <v>32</v>
      </c>
      <c r="F94" s="47">
        <f>[1]!BexGetData("DP_1","DJS6ARX3MS2YI3A6B50F1GCUY","17","I","22075017I333","2067614022")</f>
        <v>39551661.869999997</v>
      </c>
      <c r="G94" s="48">
        <f>[1]!BexGetData("DP_1","DJU2XQM4HBO2BQNZJAJPT32U2","17","I","22075017I333","2067614022")</f>
        <v>8165577.8099999996</v>
      </c>
      <c r="H94" s="48">
        <f>[1]!BexGetData("DP_1","DJU2XQM4HBQDDLN9HWUK0D9NE","17","I","22075017I333","2067614022")</f>
        <v>6551522.7400000002</v>
      </c>
      <c r="I94" s="48">
        <f>[1]!BexGetData("DP_1","DJU2XQM4HBSOFGMJGJ5E7NGGQ","17","I","22075017I333","2067614022")</f>
        <v>31386084.059999999</v>
      </c>
    </row>
    <row r="95" spans="1:9" x14ac:dyDescent="0.2">
      <c r="A95" s="46" t="s">
        <v>32</v>
      </c>
      <c r="B95" s="46" t="s">
        <v>32</v>
      </c>
      <c r="C95" s="46" t="s">
        <v>32</v>
      </c>
      <c r="D95" s="46" t="s">
        <v>32</v>
      </c>
      <c r="E95" s="46" t="s">
        <v>32</v>
      </c>
      <c r="F95" s="47">
        <f>[1]!BexGetData("DP_1","DJS6ARX3MS2YI3A6B50F1GCUY","17","I","22075017I333","2067614032")</f>
        <v>34665764.469999999</v>
      </c>
      <c r="G95" s="48">
        <f>[1]!BexGetData("DP_1","DJU2XQM4HBO2BQNZJAJPT32U2","17","I","22075017I333","2067614032")</f>
        <v>4572092.88</v>
      </c>
      <c r="H95" s="48">
        <f>[1]!BexGetData("DP_1","DJU2XQM4HBQDDLN9HWUK0D9NE","17","I","22075017I333","2067614032")</f>
        <v>4552385.57</v>
      </c>
      <c r="I95" s="48">
        <f>[1]!BexGetData("DP_1","DJU2XQM4HBSOFGMJGJ5E7NGGQ","17","I","22075017I333","2067614032")</f>
        <v>30093671.59</v>
      </c>
    </row>
    <row r="96" spans="1:9" x14ac:dyDescent="0.2">
      <c r="A96" s="46" t="s">
        <v>32</v>
      </c>
      <c r="B96" s="46" t="s">
        <v>32</v>
      </c>
      <c r="C96" s="46" t="s">
        <v>32</v>
      </c>
      <c r="D96" s="46" t="s">
        <v>32</v>
      </c>
      <c r="E96" s="46" t="s">
        <v>32</v>
      </c>
      <c r="F96" s="47">
        <f>[1]!BexGetData("DP_1","DJS6ARX3MS2YI3A6B50F1GCUY","17","I","22075017I333","2067621012")</f>
        <v>2153850.54</v>
      </c>
      <c r="G96" s="48">
        <f>[1]!BexGetData("DP_1","DJU2XQM4HBO2BQNZJAJPT32U2","17","I","22075017I333","2067621012")</f>
        <v>0</v>
      </c>
      <c r="H96" s="48">
        <f>[1]!BexGetData("DP_1","DJU2XQM4HBQDDLN9HWUK0D9NE","17","I","22075017I333","2067621012")</f>
        <v>0</v>
      </c>
      <c r="I96" s="48">
        <f>[1]!BexGetData("DP_1","DJU2XQM4HBSOFGMJGJ5E7NGGQ","17","I","22075017I333","2067621012")</f>
        <v>2153850.54</v>
      </c>
    </row>
    <row r="97" spans="1:9" x14ac:dyDescent="0.2">
      <c r="A97" s="46" t="s">
        <v>32</v>
      </c>
      <c r="B97" s="46" t="s">
        <v>32</v>
      </c>
      <c r="C97" s="46" t="s">
        <v>32</v>
      </c>
      <c r="D97" s="46" t="s">
        <v>32</v>
      </c>
      <c r="E97" s="46" t="s">
        <v>32</v>
      </c>
      <c r="F97" s="47">
        <f>[1]!BexGetData("DP_1","DJS6ARX3MS2YI3A6B50F1GCUY","17","I","22075017I333","2067629012")</f>
        <v>3260064.85</v>
      </c>
      <c r="G97" s="48">
        <f>[1]!BexGetData("DP_1","DJU2XQM4HBO2BQNZJAJPT32U2","17","I","22075017I333","2067629012")</f>
        <v>3007342.8</v>
      </c>
      <c r="H97" s="48">
        <f>[1]!BexGetData("DP_1","DJU2XQM4HBQDDLN9HWUK0D9NE","17","I","22075017I333","2067629012")</f>
        <v>2948581.8</v>
      </c>
      <c r="I97" s="48">
        <f>[1]!BexGetData("DP_1","DJU2XQM4HBSOFGMJGJ5E7NGGQ","17","I","22075017I333","2067629012")</f>
        <v>252722.05</v>
      </c>
    </row>
    <row r="98" spans="1:9" x14ac:dyDescent="0.2">
      <c r="A98" s="46" t="s">
        <v>32</v>
      </c>
      <c r="B98" s="46" t="s">
        <v>32</v>
      </c>
      <c r="C98" s="46" t="s">
        <v>70</v>
      </c>
      <c r="D98" s="46" t="s">
        <v>70</v>
      </c>
      <c r="E98" s="46" t="s">
        <v>32</v>
      </c>
      <c r="F98" s="47">
        <f>[1]!BexGetData("DP_1","DJS6ARX3MS2YI3A6B50F1GCUY","17","I","41015017I334","2067398011")</f>
        <v>15770921</v>
      </c>
      <c r="G98" s="48">
        <f>[1]!BexGetData("DP_1","DJU2XQM4HBO2BQNZJAJPT32U2","17","I","41015017I334","2067398011")</f>
        <v>13242476</v>
      </c>
      <c r="H98" s="48">
        <f>[1]!BexGetData("DP_1","DJU2XQM4HBQDDLN9HWUK0D9NE","17","I","41015017I334","2067398011")</f>
        <v>13242476</v>
      </c>
      <c r="I98" s="48">
        <f>[1]!BexGetData("DP_1","DJU2XQM4HBSOFGMJGJ5E7NGGQ","17","I","41015017I334","2067398011")</f>
        <v>2528445</v>
      </c>
    </row>
    <row r="99" spans="1:9" x14ac:dyDescent="0.2">
      <c r="A99" s="46" t="s">
        <v>32</v>
      </c>
      <c r="B99" s="46" t="s">
        <v>32</v>
      </c>
      <c r="C99" s="46" t="s">
        <v>32</v>
      </c>
      <c r="D99" s="46" t="s">
        <v>32</v>
      </c>
      <c r="E99" s="46" t="s">
        <v>32</v>
      </c>
      <c r="F99" s="47">
        <f>[1]!BexGetData("DP_1","DJS6ARX3MS2YI3A6B50F1GCUY","17","I","41015017I334","2067441011")</f>
        <v>1902720</v>
      </c>
      <c r="G99" s="48">
        <f>[1]!BexGetData("DP_1","DJU2XQM4HBO2BQNZJAJPT32U2","17","I","41015017I334","2067441011")</f>
        <v>1902720</v>
      </c>
      <c r="H99" s="48">
        <f>[1]!BexGetData("DP_1","DJU2XQM4HBQDDLN9HWUK0D9NE","17","I","41015017I334","2067441011")</f>
        <v>0</v>
      </c>
      <c r="I99" s="48">
        <f>[1]!BexGetData("DP_1","DJU2XQM4HBSOFGMJGJ5E7NGGQ","17","I","41015017I334","2067441011")</f>
        <v>0</v>
      </c>
    </row>
    <row r="100" spans="1:9" x14ac:dyDescent="0.2">
      <c r="A100" s="46" t="s">
        <v>32</v>
      </c>
      <c r="B100" s="46" t="s">
        <v>32</v>
      </c>
      <c r="C100" s="46" t="s">
        <v>32</v>
      </c>
      <c r="D100" s="46" t="s">
        <v>32</v>
      </c>
      <c r="E100" s="46" t="s">
        <v>32</v>
      </c>
      <c r="F100" s="47">
        <f>[1]!BexGetData("DP_1","DJS6ARX3MS2YI3A6B50F1GCUY","17","I","41015017I334","2067921013")</f>
        <v>1433321.5</v>
      </c>
      <c r="G100" s="48">
        <f>[1]!BexGetData("DP_1","DJU2XQM4HBO2BQNZJAJPT32U2","17","I","41015017I334","2067921013")</f>
        <v>1433321.5</v>
      </c>
      <c r="H100" s="48">
        <f>[1]!BexGetData("DP_1","DJU2XQM4HBQDDLN9HWUK0D9NE","17","I","41015017I334","2067921013")</f>
        <v>927020.02</v>
      </c>
      <c r="I100" s="48">
        <f>[1]!BexGetData("DP_1","DJU2XQM4HBSOFGMJGJ5E7NGGQ","17","I","41015017I334","2067921013")</f>
        <v>0</v>
      </c>
    </row>
    <row r="101" spans="1:9" x14ac:dyDescent="0.2">
      <c r="A101" s="46" t="s">
        <v>32</v>
      </c>
      <c r="B101" s="46" t="s">
        <v>32</v>
      </c>
      <c r="C101" s="46" t="s">
        <v>32</v>
      </c>
      <c r="D101" s="46" t="s">
        <v>32</v>
      </c>
      <c r="E101" s="46" t="s">
        <v>32</v>
      </c>
      <c r="F101" s="47">
        <f>[1]!BexGetData("DP_1","DJS6ARX3MS2YI3A6B50F1GCUY","17","I","41015017I334","2067931013")</f>
        <v>846800</v>
      </c>
      <c r="G101" s="48">
        <f>[1]!BexGetData("DP_1","DJU2XQM4HBO2BQNZJAJPT32U2","17","I","41015017I334","2067931013")</f>
        <v>846800</v>
      </c>
      <c r="H101" s="48">
        <f>[1]!BexGetData("DP_1","DJU2XQM4HBQDDLN9HWUK0D9NE","17","I","41015017I334","2067931013")</f>
        <v>696000</v>
      </c>
      <c r="I101" s="48">
        <f>[1]!BexGetData("DP_1","DJU2XQM4HBSOFGMJGJ5E7NGGQ","17","I","41015017I334","2067931013")</f>
        <v>0</v>
      </c>
    </row>
    <row r="102" spans="1:9" x14ac:dyDescent="0.2">
      <c r="A102" s="46" t="s">
        <v>32</v>
      </c>
      <c r="B102" s="46" t="s">
        <v>45</v>
      </c>
      <c r="C102" s="46" t="s">
        <v>46</v>
      </c>
      <c r="D102" s="46" t="s">
        <v>46</v>
      </c>
      <c r="E102" s="46" t="s">
        <v>32</v>
      </c>
      <c r="F102" s="49" t="str">
        <f>[1]!BexGetData("DP_1","DJS6ARX3MS2YI3A6B50F1GCUY","17","M","15015032M101","2067341011")</f>
        <v/>
      </c>
      <c r="G102" s="48">
        <f>[1]!BexGetData("DP_1","DJU2XQM4HBO2BQNZJAJPT32U2","17","M","15015032M101","2067341011")</f>
        <v>1</v>
      </c>
      <c r="H102" s="48">
        <f>[1]!BexGetData("DP_1","DJU2XQM4HBQDDLN9HWUK0D9NE","17","M","15015032M101","2067341011")</f>
        <v>1</v>
      </c>
      <c r="I102" s="48">
        <f>[1]!BexGetData("DP_1","DJU2XQM4HBSOFGMJGJ5E7NGGQ","17","M","15015032M101","2067341011")</f>
        <v>-1</v>
      </c>
    </row>
    <row r="103" spans="1:9" x14ac:dyDescent="0.2">
      <c r="A103" s="46" t="s">
        <v>32</v>
      </c>
      <c r="B103" s="46" t="s">
        <v>55</v>
      </c>
      <c r="C103" s="46" t="s">
        <v>71</v>
      </c>
      <c r="D103" s="46" t="s">
        <v>72</v>
      </c>
      <c r="E103" s="46" t="s">
        <v>32</v>
      </c>
      <c r="F103" s="47">
        <f>[1]!BexGetData("DP_1","DJS6ARX3MS2YI3A6B50F1GCUY","17","S","22075017S238","2067612022")</f>
        <v>3560000</v>
      </c>
      <c r="G103" s="48">
        <f>[1]!BexGetData("DP_1","DJU2XQM4HBO2BQNZJAJPT32U2","17","S","22075017S238","2067612022")</f>
        <v>0</v>
      </c>
      <c r="H103" s="48">
        <f>[1]!BexGetData("DP_1","DJU2XQM4HBQDDLN9HWUK0D9NE","17","S","22075017S238","2067612022")</f>
        <v>0</v>
      </c>
      <c r="I103" s="48">
        <f>[1]!BexGetData("DP_1","DJU2XQM4HBSOFGMJGJ5E7NGGQ","17","S","22075017S238","2067612022")</f>
        <v>3560000</v>
      </c>
    </row>
    <row r="104" spans="1:9" x14ac:dyDescent="0.2">
      <c r="A104" s="46" t="s">
        <v>32</v>
      </c>
      <c r="B104" s="46" t="s">
        <v>32</v>
      </c>
      <c r="C104" s="46" t="s">
        <v>32</v>
      </c>
      <c r="D104" s="46" t="s">
        <v>32</v>
      </c>
      <c r="E104" s="46" t="s">
        <v>32</v>
      </c>
      <c r="F104" s="47">
        <f>[1]!BexGetData("DP_1","DJS6ARX3MS2YI3A6B50F1GCUY","17","S","22075017S238","2067613032")</f>
        <v>0</v>
      </c>
      <c r="G104" s="48">
        <f>[1]!BexGetData("DP_1","DJU2XQM4HBO2BQNZJAJPT32U2","17","S","22075017S238","2067613032")</f>
        <v>0</v>
      </c>
      <c r="H104" s="48">
        <f>[1]!BexGetData("DP_1","DJU2XQM4HBQDDLN9HWUK0D9NE","17","S","22075017S238","2067613032")</f>
        <v>0</v>
      </c>
      <c r="I104" s="48">
        <f>[1]!BexGetData("DP_1","DJU2XQM4HBSOFGMJGJ5E7NGGQ","17","S","22075017S238","2067613032")</f>
        <v>0</v>
      </c>
    </row>
    <row r="105" spans="1:9" x14ac:dyDescent="0.2">
      <c r="A105" s="46" t="s">
        <v>32</v>
      </c>
      <c r="B105" s="46" t="s">
        <v>32</v>
      </c>
      <c r="C105" s="46" t="s">
        <v>32</v>
      </c>
      <c r="D105" s="46" t="s">
        <v>32</v>
      </c>
      <c r="E105" s="46" t="s">
        <v>32</v>
      </c>
      <c r="F105" s="47">
        <f>[1]!BexGetData("DP_1","DJS6ARX3MS2YI3A6B50F1GCUY","17","S","22075017S238","2067614032")</f>
        <v>2500000</v>
      </c>
      <c r="G105" s="48">
        <f>[1]!BexGetData("DP_1","DJU2XQM4HBO2BQNZJAJPT32U2","17","S","22075017S238","2067614032")</f>
        <v>0</v>
      </c>
      <c r="H105" s="48">
        <f>[1]!BexGetData("DP_1","DJU2XQM4HBQDDLN9HWUK0D9NE","17","S","22075017S238","2067614032")</f>
        <v>0</v>
      </c>
      <c r="I105" s="48">
        <f>[1]!BexGetData("DP_1","DJU2XQM4HBSOFGMJGJ5E7NGGQ","17","S","22075017S238","2067614032")</f>
        <v>2500000</v>
      </c>
    </row>
    <row r="106" spans="1:9" x14ac:dyDescent="0.2">
      <c r="A106" s="46" t="s">
        <v>32</v>
      </c>
      <c r="B106" s="46" t="s">
        <v>32</v>
      </c>
      <c r="C106" s="46" t="s">
        <v>73</v>
      </c>
      <c r="D106" s="46" t="s">
        <v>74</v>
      </c>
      <c r="E106" s="46" t="s">
        <v>32</v>
      </c>
      <c r="F106" s="49" t="str">
        <f>[1]!BexGetData("DP_1","DJS6ARX3MS2YI3A6B50F1GCUY","17","S","22075017S239","2067341011")</f>
        <v/>
      </c>
      <c r="G106" s="48">
        <f>[1]!BexGetData("DP_1","DJU2XQM4HBO2BQNZJAJPT32U2","17","S","22075017S239","2067341011")</f>
        <v>18.559999999999999</v>
      </c>
      <c r="H106" s="48">
        <f>[1]!BexGetData("DP_1","DJU2XQM4HBQDDLN9HWUK0D9NE","17","S","22075017S239","2067341011")</f>
        <v>18.559999999999999</v>
      </c>
      <c r="I106" s="48">
        <f>[1]!BexGetData("DP_1","DJU2XQM4HBSOFGMJGJ5E7NGGQ","17","S","22075017S239","2067341011")</f>
        <v>-18.559999999999999</v>
      </c>
    </row>
    <row r="107" spans="1:9" x14ac:dyDescent="0.2">
      <c r="A107" s="46" t="s">
        <v>32</v>
      </c>
      <c r="B107" s="46" t="s">
        <v>32</v>
      </c>
      <c r="C107" s="46" t="s">
        <v>32</v>
      </c>
      <c r="D107" s="46" t="s">
        <v>32</v>
      </c>
      <c r="E107" s="46" t="s">
        <v>32</v>
      </c>
      <c r="F107" s="47">
        <f>[1]!BexGetData("DP_1","DJS6ARX3MS2YI3A6B50F1GCUY","17","S","22075017S239","2067612022")</f>
        <v>0</v>
      </c>
      <c r="G107" s="48">
        <f>[1]!BexGetData("DP_1","DJU2XQM4HBO2BQNZJAJPT32U2","17","S","22075017S239","2067612022")</f>
        <v>0</v>
      </c>
      <c r="H107" s="48">
        <f>[1]!BexGetData("DP_1","DJU2XQM4HBQDDLN9HWUK0D9NE","17","S","22075017S239","2067612022")</f>
        <v>0</v>
      </c>
      <c r="I107" s="48">
        <f>[1]!BexGetData("DP_1","DJU2XQM4HBSOFGMJGJ5E7NGGQ","17","S","22075017S239","2067612022")</f>
        <v>0</v>
      </c>
    </row>
    <row r="108" spans="1:9" x14ac:dyDescent="0.2">
      <c r="A108" s="46" t="s">
        <v>32</v>
      </c>
      <c r="B108" s="46" t="s">
        <v>32</v>
      </c>
      <c r="C108" s="46" t="s">
        <v>32</v>
      </c>
      <c r="D108" s="46" t="s">
        <v>32</v>
      </c>
      <c r="E108" s="46" t="s">
        <v>32</v>
      </c>
      <c r="F108" s="47">
        <f>[1]!BexGetData("DP_1","DJS6ARX3MS2YI3A6B50F1GCUY","17","S","22075017S239","2067613032")</f>
        <v>0</v>
      </c>
      <c r="G108" s="48">
        <f>[1]!BexGetData("DP_1","DJU2XQM4HBO2BQNZJAJPT32U2","17","S","22075017S239","2067613032")</f>
        <v>0</v>
      </c>
      <c r="H108" s="48">
        <f>[1]!BexGetData("DP_1","DJU2XQM4HBQDDLN9HWUK0D9NE","17","S","22075017S239","2067613032")</f>
        <v>0</v>
      </c>
      <c r="I108" s="48">
        <f>[1]!BexGetData("DP_1","DJU2XQM4HBSOFGMJGJ5E7NGGQ","17","S","22075017S239","2067613032")</f>
        <v>0</v>
      </c>
    </row>
    <row r="109" spans="1:9" x14ac:dyDescent="0.2">
      <c r="A109" s="46" t="s">
        <v>32</v>
      </c>
      <c r="B109" s="46" t="s">
        <v>32</v>
      </c>
      <c r="C109" s="46" t="s">
        <v>32</v>
      </c>
      <c r="D109" s="46" t="s">
        <v>32</v>
      </c>
      <c r="E109" s="46" t="s">
        <v>32</v>
      </c>
      <c r="F109" s="47">
        <f>[1]!BexGetData("DP_1","DJS6ARX3MS2YI3A6B50F1GCUY","17","S","22075017S239","2067614022")</f>
        <v>0</v>
      </c>
      <c r="G109" s="48">
        <f>[1]!BexGetData("DP_1","DJU2XQM4HBO2BQNZJAJPT32U2","17","S","22075017S239","2067614022")</f>
        <v>0</v>
      </c>
      <c r="H109" s="48">
        <f>[1]!BexGetData("DP_1","DJU2XQM4HBQDDLN9HWUK0D9NE","17","S","22075017S239","2067614022")</f>
        <v>0</v>
      </c>
      <c r="I109" s="48">
        <f>[1]!BexGetData("DP_1","DJU2XQM4HBSOFGMJGJ5E7NGGQ","17","S","22075017S239","2067614022")</f>
        <v>0</v>
      </c>
    </row>
    <row r="110" spans="1:9" x14ac:dyDescent="0.2">
      <c r="A110" s="46" t="s">
        <v>32</v>
      </c>
      <c r="B110" s="46" t="s">
        <v>32</v>
      </c>
      <c r="C110" s="46" t="s">
        <v>32</v>
      </c>
      <c r="D110" s="46" t="s">
        <v>32</v>
      </c>
      <c r="E110" s="46" t="s">
        <v>32</v>
      </c>
      <c r="F110" s="47">
        <f>[1]!BexGetData("DP_1","DJS6ARX3MS2YI3A6B50F1GCUY","17","S","22075017S239","2067614032")</f>
        <v>5934989</v>
      </c>
      <c r="G110" s="48">
        <f>[1]!BexGetData("DP_1","DJU2XQM4HBO2BQNZJAJPT32U2","17","S","22075017S239","2067614032")</f>
        <v>1520789.08</v>
      </c>
      <c r="H110" s="48">
        <f>[1]!BexGetData("DP_1","DJU2XQM4HBQDDLN9HWUK0D9NE","17","S","22075017S239","2067614032")</f>
        <v>1429007.33</v>
      </c>
      <c r="I110" s="48">
        <f>[1]!BexGetData("DP_1","DJU2XQM4HBSOFGMJGJ5E7NGGQ","17","S","22075017S239","2067614032")</f>
        <v>4414199.92</v>
      </c>
    </row>
    <row r="111" spans="1:9" x14ac:dyDescent="0.2">
      <c r="A111" s="46" t="s">
        <v>32</v>
      </c>
      <c r="B111" s="46" t="s">
        <v>47</v>
      </c>
      <c r="C111" s="46" t="s">
        <v>75</v>
      </c>
      <c r="D111" s="46" t="s">
        <v>76</v>
      </c>
      <c r="E111" s="46" t="s">
        <v>32</v>
      </c>
      <c r="F111" s="47">
        <f>[1]!BexGetData("DP_1","DJS6ARX3MS2YI3A6B50F1GCUY","17","U","22015017U236","2067614022")</f>
        <v>0</v>
      </c>
      <c r="G111" s="48">
        <f>[1]!BexGetData("DP_1","DJU2XQM4HBO2BQNZJAJPT32U2","17","U","22015017U236","2067614022")</f>
        <v>0</v>
      </c>
      <c r="H111" s="48">
        <f>[1]!BexGetData("DP_1","DJU2XQM4HBQDDLN9HWUK0D9NE","17","U","22015017U236","2067614022")</f>
        <v>0</v>
      </c>
      <c r="I111" s="48">
        <f>[1]!BexGetData("DP_1","DJU2XQM4HBSOFGMJGJ5E7NGGQ","17","U","22015017U236","2067614022")</f>
        <v>0</v>
      </c>
    </row>
    <row r="112" spans="1:9" x14ac:dyDescent="0.2">
      <c r="A112" s="46" t="s">
        <v>32</v>
      </c>
      <c r="B112" s="46" t="s">
        <v>32</v>
      </c>
      <c r="C112" s="46" t="s">
        <v>32</v>
      </c>
      <c r="D112" s="46" t="s">
        <v>32</v>
      </c>
      <c r="E112" s="46" t="s">
        <v>32</v>
      </c>
      <c r="F112" s="47">
        <f>[1]!BexGetData("DP_1","DJS6ARX3MS2YI3A6B50F1GCUY","17","U","22015017U236","2067614032")</f>
        <v>915830.11</v>
      </c>
      <c r="G112" s="48">
        <f>[1]!BexGetData("DP_1","DJU2XQM4HBO2BQNZJAJPT32U2","17","U","22015017U236","2067614032")</f>
        <v>0</v>
      </c>
      <c r="H112" s="48">
        <f>[1]!BexGetData("DP_1","DJU2XQM4HBQDDLN9HWUK0D9NE","17","U","22015017U236","2067614032")</f>
        <v>0</v>
      </c>
      <c r="I112" s="48">
        <f>[1]!BexGetData("DP_1","DJU2XQM4HBSOFGMJGJ5E7NGGQ","17","U","22015017U236","2067614032")</f>
        <v>915830.11</v>
      </c>
    </row>
    <row r="113" spans="1:9" x14ac:dyDescent="0.2">
      <c r="A113" s="46" t="s">
        <v>32</v>
      </c>
      <c r="B113" s="46" t="s">
        <v>32</v>
      </c>
      <c r="C113" s="46" t="s">
        <v>77</v>
      </c>
      <c r="D113" s="46" t="s">
        <v>78</v>
      </c>
      <c r="E113" s="46" t="s">
        <v>32</v>
      </c>
      <c r="F113" s="47">
        <f>[1]!BexGetData("DP_1","DJS6ARX3MS2YI3A6B50F1GCUY","17","U","22015017U238","2067614022")</f>
        <v>0</v>
      </c>
      <c r="G113" s="48">
        <f>[1]!BexGetData("DP_1","DJU2XQM4HBO2BQNZJAJPT32U2","17","U","22015017U238","2067614022")</f>
        <v>0</v>
      </c>
      <c r="H113" s="48">
        <f>[1]!BexGetData("DP_1","DJU2XQM4HBQDDLN9HWUK0D9NE","17","U","22015017U238","2067614022")</f>
        <v>0</v>
      </c>
      <c r="I113" s="48">
        <f>[1]!BexGetData("DP_1","DJU2XQM4HBSOFGMJGJ5E7NGGQ","17","U","22015017U238","2067614022")</f>
        <v>0</v>
      </c>
    </row>
    <row r="114" spans="1:9" x14ac:dyDescent="0.2">
      <c r="A114" s="46" t="s">
        <v>32</v>
      </c>
      <c r="B114" s="46" t="s">
        <v>32</v>
      </c>
      <c r="C114" s="46" t="s">
        <v>32</v>
      </c>
      <c r="D114" s="46" t="s">
        <v>32</v>
      </c>
      <c r="E114" s="46" t="s">
        <v>32</v>
      </c>
      <c r="F114" s="47">
        <f>[1]!BexGetData("DP_1","DJS6ARX3MS2YI3A6B50F1GCUY","17","U","22015017U238","2067614032")</f>
        <v>0</v>
      </c>
      <c r="G114" s="48">
        <f>[1]!BexGetData("DP_1","DJU2XQM4HBO2BQNZJAJPT32U2","17","U","22015017U238","2067614032")</f>
        <v>0</v>
      </c>
      <c r="H114" s="48">
        <f>[1]!BexGetData("DP_1","DJU2XQM4HBQDDLN9HWUK0D9NE","17","U","22015017U238","2067614032")</f>
        <v>0</v>
      </c>
      <c r="I114" s="48">
        <f>[1]!BexGetData("DP_1","DJU2XQM4HBSOFGMJGJ5E7NGGQ","17","U","22015017U238","2067614032")</f>
        <v>0</v>
      </c>
    </row>
    <row r="115" spans="1:9" x14ac:dyDescent="0.2">
      <c r="A115" s="50" t="s">
        <v>79</v>
      </c>
      <c r="B115" s="50" t="s">
        <v>32</v>
      </c>
      <c r="C115" s="50" t="s">
        <v>32</v>
      </c>
      <c r="D115" s="50" t="s">
        <v>32</v>
      </c>
      <c r="E115" s="50" t="s">
        <v>32</v>
      </c>
      <c r="F115" s="51">
        <f>[1]!BexGetData("DP_1","DJS6ARX3MS2YI3A6B50F1GCUY","SUMME","SUMME","SUMME","SUMME")</f>
        <v>375183224.30000001</v>
      </c>
      <c r="G115" s="52">
        <f>[1]!BexGetData("DP_1","DJU2XQM4HBO2BQNZJAJPT32U2","SUMME","SUMME","SUMME","SUMME")</f>
        <v>196331734.56</v>
      </c>
      <c r="H115" s="52">
        <f>[1]!BexGetData("DP_1","DJU2XQM4HBQDDLN9HWUK0D9NE","SUMME","SUMME","SUMME","SUMME")</f>
        <v>187862838.50999999</v>
      </c>
      <c r="I115" s="52">
        <f>[1]!BexGetData("DP_1","DJU2XQM4HBSOFGMJGJ5E7NGGQ","SUMME","SUMME","SUMME","SUMME")</f>
        <v>178851489.74000001</v>
      </c>
    </row>
    <row r="201" spans="1:9" x14ac:dyDescent="0.2">
      <c r="A201" s="53" t="s">
        <v>29</v>
      </c>
      <c r="B201" s="53" t="s">
        <v>30</v>
      </c>
      <c r="C201" s="53" t="s">
        <v>31</v>
      </c>
      <c r="D201" s="53" t="s">
        <v>32</v>
      </c>
      <c r="E201" s="53" t="s">
        <v>33</v>
      </c>
      <c r="F201" s="46" t="s">
        <v>34</v>
      </c>
      <c r="G201" s="46" t="s">
        <v>35</v>
      </c>
      <c r="H201" s="46" t="s">
        <v>36</v>
      </c>
      <c r="I201" s="46" t="s">
        <v>37</v>
      </c>
    </row>
    <row r="202" spans="1:9" x14ac:dyDescent="0.2">
      <c r="A202" s="46" t="s">
        <v>50</v>
      </c>
      <c r="B202" s="46" t="s">
        <v>63</v>
      </c>
      <c r="C202" s="46" t="s">
        <v>80</v>
      </c>
      <c r="D202" s="46" t="s">
        <v>80</v>
      </c>
      <c r="E202" s="46" t="s">
        <v>32</v>
      </c>
      <c r="F202" s="49" t="str">
        <f>[1]!BexGetData("DP_2","DL719O2RYNC0Y217V0FVT1R77","16","E","22013082E208","2067622012")</f>
        <v/>
      </c>
      <c r="G202" s="48">
        <f>[1]!BexGetData("DP_2","DL719O2RYNEBZX0HTMQQ0BY0J","16","E","22013082E208","2067622012")</f>
        <v>0</v>
      </c>
      <c r="H202" s="48">
        <f>[1]!BexGetData("DP_2","DL719O2RYNGN1RZRS91K7M4TV","16","E","22013082E208","2067622012")</f>
        <v>0</v>
      </c>
      <c r="I202" s="48">
        <f>[1]!BexGetData("DP_2","DL719O2RYNIY3MZ1QVCEEWBN7","16","E","22013082E208","2067622012")</f>
        <v>0</v>
      </c>
    </row>
    <row r="203" spans="1:9" x14ac:dyDescent="0.2">
      <c r="A203" s="46" t="s">
        <v>32</v>
      </c>
      <c r="B203" s="46" t="s">
        <v>45</v>
      </c>
      <c r="C203" s="46" t="s">
        <v>46</v>
      </c>
      <c r="D203" s="46" t="s">
        <v>46</v>
      </c>
      <c r="E203" s="46" t="s">
        <v>32</v>
      </c>
      <c r="F203" s="47">
        <f>[1]!BexGetData("DP_2","DL719O2RYNC0Y217V0FVT1R77","16","M","15015032M101","2067341011")</f>
        <v>147196.23000000001</v>
      </c>
      <c r="G203" s="48">
        <f>[1]!BexGetData("DP_2","DL719O2RYNEBZX0HTMQQ0BY0J","16","M","15015032M101","2067341011")</f>
        <v>147196.23000000001</v>
      </c>
      <c r="H203" s="48">
        <f>[1]!BexGetData("DP_2","DL719O2RYNGN1RZRS91K7M4TV","16","M","15015032M101","2067341011")</f>
        <v>147196.23000000001</v>
      </c>
      <c r="I203" s="48">
        <f>[1]!BexGetData("DP_2","DL719O2RYNIY3MZ1QVCEEWBN7","16","M","15015032M101","2067341011")</f>
        <v>0</v>
      </c>
    </row>
    <row r="204" spans="1:9" x14ac:dyDescent="0.2">
      <c r="A204" s="46" t="s">
        <v>32</v>
      </c>
      <c r="B204" s="46" t="s">
        <v>32</v>
      </c>
      <c r="C204" s="46" t="s">
        <v>81</v>
      </c>
      <c r="D204" s="46" t="s">
        <v>81</v>
      </c>
      <c r="E204" s="46" t="s">
        <v>32</v>
      </c>
      <c r="F204" s="47">
        <f>[1]!BexGetData("DP_2","DL719O2RYNC0Y217V0FVT1R77","16","M","15015041M101","2067122011")</f>
        <v>3820</v>
      </c>
      <c r="G204" s="48">
        <f>[1]!BexGetData("DP_2","DL719O2RYNEBZX0HTMQQ0BY0J","16","M","15015041M101","2067122011")</f>
        <v>3820</v>
      </c>
      <c r="H204" s="48">
        <f>[1]!BexGetData("DP_2","DL719O2RYNGN1RZRS91K7M4TV","16","M","15015041M101","2067122011")</f>
        <v>3820</v>
      </c>
      <c r="I204" s="48">
        <f>[1]!BexGetData("DP_2","DL719O2RYNIY3MZ1QVCEEWBN7","16","M","15015041M101","2067122011")</f>
        <v>0</v>
      </c>
    </row>
    <row r="205" spans="1:9" x14ac:dyDescent="0.2">
      <c r="A205" s="46" t="s">
        <v>32</v>
      </c>
      <c r="B205" s="46" t="s">
        <v>32</v>
      </c>
      <c r="C205" s="46" t="s">
        <v>32</v>
      </c>
      <c r="D205" s="46" t="s">
        <v>32</v>
      </c>
      <c r="E205" s="46" t="s">
        <v>32</v>
      </c>
      <c r="F205" s="47">
        <f>[1]!BexGetData("DP_2","DL719O2RYNC0Y217V0FVT1R77","16","M","15015041M101","2067311011")</f>
        <v>23212</v>
      </c>
      <c r="G205" s="48">
        <f>[1]!BexGetData("DP_2","DL719O2RYNEBZX0HTMQQ0BY0J","16","M","15015041M101","2067311011")</f>
        <v>2203</v>
      </c>
      <c r="H205" s="48">
        <f>[1]!BexGetData("DP_2","DL719O2RYNGN1RZRS91K7M4TV","16","M","15015041M101","2067311011")</f>
        <v>2203</v>
      </c>
      <c r="I205" s="48">
        <f>[1]!BexGetData("DP_2","DL719O2RYNIY3MZ1QVCEEWBN7","16","M","15015041M101","2067311011")</f>
        <v>21009</v>
      </c>
    </row>
    <row r="206" spans="1:9" x14ac:dyDescent="0.2">
      <c r="A206" s="46" t="s">
        <v>32</v>
      </c>
      <c r="B206" s="46" t="s">
        <v>32</v>
      </c>
      <c r="C206" s="46" t="s">
        <v>32</v>
      </c>
      <c r="D206" s="46" t="s">
        <v>32</v>
      </c>
      <c r="E206" s="46" t="s">
        <v>32</v>
      </c>
      <c r="F206" s="47">
        <f>[1]!BexGetData("DP_2","DL719O2RYNC0Y217V0FVT1R77","16","M","15015041M101","2067313011")</f>
        <v>7735</v>
      </c>
      <c r="G206" s="48">
        <f>[1]!BexGetData("DP_2","DL719O2RYNEBZX0HTMQQ0BY0J","16","M","15015041M101","2067313011")</f>
        <v>781</v>
      </c>
      <c r="H206" s="48">
        <f>[1]!BexGetData("DP_2","DL719O2RYNGN1RZRS91K7M4TV","16","M","15015041M101","2067313011")</f>
        <v>781</v>
      </c>
      <c r="I206" s="48">
        <f>[1]!BexGetData("DP_2","DL719O2RYNIY3MZ1QVCEEWBN7","16","M","15015041M101","2067313011")</f>
        <v>6954</v>
      </c>
    </row>
    <row r="207" spans="1:9" x14ac:dyDescent="0.2">
      <c r="A207" s="46" t="s">
        <v>32</v>
      </c>
      <c r="B207" s="46" t="s">
        <v>32</v>
      </c>
      <c r="C207" s="46" t="s">
        <v>82</v>
      </c>
      <c r="D207" s="46" t="s">
        <v>83</v>
      </c>
      <c r="E207" s="46" t="s">
        <v>32</v>
      </c>
      <c r="F207" s="47">
        <f>[1]!BexGetData("DP_2","DL719O2RYNC0Y217V0FVT1R77","16","M","18015041M103","2067122031")</f>
        <v>2093.2199999999998</v>
      </c>
      <c r="G207" s="48">
        <f>[1]!BexGetData("DP_2","DL719O2RYNEBZX0HTMQQ0BY0J","16","M","18015041M103","2067122031")</f>
        <v>2093.2199999999998</v>
      </c>
      <c r="H207" s="48">
        <f>[1]!BexGetData("DP_2","DL719O2RYNGN1RZRS91K7M4TV","16","M","18015041M103","2067122031")</f>
        <v>2093.2199999999998</v>
      </c>
      <c r="I207" s="48">
        <f>[1]!BexGetData("DP_2","DL719O2RYNIY3MZ1QVCEEWBN7","16","M","18015041M103","2067122031")</f>
        <v>0</v>
      </c>
    </row>
    <row r="208" spans="1:9" x14ac:dyDescent="0.2">
      <c r="A208" s="46" t="s">
        <v>62</v>
      </c>
      <c r="B208" s="46" t="s">
        <v>63</v>
      </c>
      <c r="C208" s="46" t="s">
        <v>84</v>
      </c>
      <c r="D208" s="46" t="s">
        <v>84</v>
      </c>
      <c r="E208" s="46" t="s">
        <v>32</v>
      </c>
      <c r="F208" s="47">
        <f>[1]!BexGetData("DP_2","DL719O2RYNC0Y217V0FVT1R77","17","E","12021071E209","2067113011")</f>
        <v>250102.16</v>
      </c>
      <c r="G208" s="48">
        <f>[1]!BexGetData("DP_2","DL719O2RYNEBZX0HTMQQ0BY0J","17","E","12021071E209","2067113011")</f>
        <v>250102.16</v>
      </c>
      <c r="H208" s="48">
        <f>[1]!BexGetData("DP_2","DL719O2RYNGN1RZRS91K7M4TV","17","E","12021071E209","2067113011")</f>
        <v>250102.16</v>
      </c>
      <c r="I208" s="48">
        <f>[1]!BexGetData("DP_2","DL719O2RYNIY3MZ1QVCEEWBN7","17","E","12021071E209","2067113011")</f>
        <v>0</v>
      </c>
    </row>
    <row r="209" spans="1:9" x14ac:dyDescent="0.2">
      <c r="A209" s="46" t="s">
        <v>32</v>
      </c>
      <c r="B209" s="46" t="s">
        <v>32</v>
      </c>
      <c r="C209" s="46" t="s">
        <v>32</v>
      </c>
      <c r="D209" s="46" t="s">
        <v>32</v>
      </c>
      <c r="E209" s="46" t="s">
        <v>32</v>
      </c>
      <c r="F209" s="47">
        <f>[1]!BexGetData("DP_2","DL719O2RYNC0Y217V0FVT1R77","17","E","12021071E209","2067113021")</f>
        <v>1550609.65</v>
      </c>
      <c r="G209" s="48">
        <f>[1]!BexGetData("DP_2","DL719O2RYNEBZX0HTMQQ0BY0J","17","E","12021071E209","2067113021")</f>
        <v>1550609.65</v>
      </c>
      <c r="H209" s="48">
        <f>[1]!BexGetData("DP_2","DL719O2RYNGN1RZRS91K7M4TV","17","E","12021071E209","2067113021")</f>
        <v>1550609.65</v>
      </c>
      <c r="I209" s="48">
        <f>[1]!BexGetData("DP_2","DL719O2RYNIY3MZ1QVCEEWBN7","17","E","12021071E209","2067113021")</f>
        <v>0</v>
      </c>
    </row>
    <row r="210" spans="1:9" x14ac:dyDescent="0.2">
      <c r="A210" s="46" t="s">
        <v>32</v>
      </c>
      <c r="B210" s="46" t="s">
        <v>32</v>
      </c>
      <c r="C210" s="46" t="s">
        <v>32</v>
      </c>
      <c r="D210" s="46" t="s">
        <v>32</v>
      </c>
      <c r="E210" s="46" t="s">
        <v>32</v>
      </c>
      <c r="F210" s="47">
        <f>[1]!BexGetData("DP_2","DL719O2RYNC0Y217V0FVT1R77","17","E","12021071E209","2067122011")</f>
        <v>76400.05</v>
      </c>
      <c r="G210" s="48">
        <f>[1]!BexGetData("DP_2","DL719O2RYNEBZX0HTMQQ0BY0J","17","E","12021071E209","2067122011")</f>
        <v>76400.05</v>
      </c>
      <c r="H210" s="48">
        <f>[1]!BexGetData("DP_2","DL719O2RYNGN1RZRS91K7M4TV","17","E","12021071E209","2067122011")</f>
        <v>76400.05</v>
      </c>
      <c r="I210" s="48">
        <f>[1]!BexGetData("DP_2","DL719O2RYNIY3MZ1QVCEEWBN7","17","E","12021071E209","2067122011")</f>
        <v>0</v>
      </c>
    </row>
    <row r="211" spans="1:9" x14ac:dyDescent="0.2">
      <c r="A211" s="46" t="s">
        <v>32</v>
      </c>
      <c r="B211" s="46" t="s">
        <v>32</v>
      </c>
      <c r="C211" s="46" t="s">
        <v>32</v>
      </c>
      <c r="D211" s="46" t="s">
        <v>32</v>
      </c>
      <c r="E211" s="46" t="s">
        <v>32</v>
      </c>
      <c r="F211" s="47">
        <f>[1]!BexGetData("DP_2","DL719O2RYNC0Y217V0FVT1R77","17","E","12021071E209","2067131011")</f>
        <v>59412.35</v>
      </c>
      <c r="G211" s="48">
        <f>[1]!BexGetData("DP_2","DL719O2RYNEBZX0HTMQQ0BY0J","17","E","12021071E209","2067131011")</f>
        <v>59412.35</v>
      </c>
      <c r="H211" s="48">
        <f>[1]!BexGetData("DP_2","DL719O2RYNGN1RZRS91K7M4TV","17","E","12021071E209","2067131011")</f>
        <v>59412.35</v>
      </c>
      <c r="I211" s="48">
        <f>[1]!BexGetData("DP_2","DL719O2RYNIY3MZ1QVCEEWBN7","17","E","12021071E209","2067131011")</f>
        <v>0</v>
      </c>
    </row>
    <row r="212" spans="1:9" x14ac:dyDescent="0.2">
      <c r="A212" s="46" t="s">
        <v>32</v>
      </c>
      <c r="B212" s="46" t="s">
        <v>32</v>
      </c>
      <c r="C212" s="46" t="s">
        <v>32</v>
      </c>
      <c r="D212" s="46" t="s">
        <v>32</v>
      </c>
      <c r="E212" s="46" t="s">
        <v>32</v>
      </c>
      <c r="F212" s="47">
        <f>[1]!BexGetData("DP_2","DL719O2RYNC0Y217V0FVT1R77","17","E","12021071E209","2067131021")</f>
        <v>17249.25</v>
      </c>
      <c r="G212" s="48">
        <f>[1]!BexGetData("DP_2","DL719O2RYNEBZX0HTMQQ0BY0J","17","E","12021071E209","2067131021")</f>
        <v>17249.25</v>
      </c>
      <c r="H212" s="48">
        <f>[1]!BexGetData("DP_2","DL719O2RYNGN1RZRS91K7M4TV","17","E","12021071E209","2067131021")</f>
        <v>17249.25</v>
      </c>
      <c r="I212" s="48">
        <f>[1]!BexGetData("DP_2","DL719O2RYNIY3MZ1QVCEEWBN7","17","E","12021071E209","2067131021")</f>
        <v>0</v>
      </c>
    </row>
    <row r="213" spans="1:9" x14ac:dyDescent="0.2">
      <c r="A213" s="46" t="s">
        <v>32</v>
      </c>
      <c r="B213" s="46" t="s">
        <v>32</v>
      </c>
      <c r="C213" s="46" t="s">
        <v>32</v>
      </c>
      <c r="D213" s="46" t="s">
        <v>32</v>
      </c>
      <c r="E213" s="46" t="s">
        <v>32</v>
      </c>
      <c r="F213" s="47">
        <f>[1]!BexGetData("DP_2","DL719O2RYNC0Y217V0FVT1R77","17","E","12021071E209","2067132011")</f>
        <v>71658.97</v>
      </c>
      <c r="G213" s="48">
        <f>[1]!BexGetData("DP_2","DL719O2RYNEBZX0HTMQQ0BY0J","17","E","12021071E209","2067132011")</f>
        <v>71658.97</v>
      </c>
      <c r="H213" s="48">
        <f>[1]!BexGetData("DP_2","DL719O2RYNGN1RZRS91K7M4TV","17","E","12021071E209","2067132011")</f>
        <v>71658.97</v>
      </c>
      <c r="I213" s="48">
        <f>[1]!BexGetData("DP_2","DL719O2RYNIY3MZ1QVCEEWBN7","17","E","12021071E209","2067132011")</f>
        <v>0</v>
      </c>
    </row>
    <row r="214" spans="1:9" x14ac:dyDescent="0.2">
      <c r="A214" s="46" t="s">
        <v>32</v>
      </c>
      <c r="B214" s="46" t="s">
        <v>32</v>
      </c>
      <c r="C214" s="46" t="s">
        <v>32</v>
      </c>
      <c r="D214" s="46" t="s">
        <v>32</v>
      </c>
      <c r="E214" s="46" t="s">
        <v>32</v>
      </c>
      <c r="F214" s="47">
        <f>[1]!BexGetData("DP_2","DL719O2RYNC0Y217V0FVT1R77","17","E","12021071E209","2067132021")</f>
        <v>383490.79</v>
      </c>
      <c r="G214" s="48">
        <f>[1]!BexGetData("DP_2","DL719O2RYNEBZX0HTMQQ0BY0J","17","E","12021071E209","2067132021")</f>
        <v>383490.79</v>
      </c>
      <c r="H214" s="48">
        <f>[1]!BexGetData("DP_2","DL719O2RYNGN1RZRS91K7M4TV","17","E","12021071E209","2067132021")</f>
        <v>383490.79</v>
      </c>
      <c r="I214" s="48">
        <f>[1]!BexGetData("DP_2","DL719O2RYNIY3MZ1QVCEEWBN7","17","E","12021071E209","2067132021")</f>
        <v>0</v>
      </c>
    </row>
    <row r="215" spans="1:9" x14ac:dyDescent="0.2">
      <c r="A215" s="46" t="s">
        <v>32</v>
      </c>
      <c r="B215" s="46" t="s">
        <v>32</v>
      </c>
      <c r="C215" s="46" t="s">
        <v>32</v>
      </c>
      <c r="D215" s="46" t="s">
        <v>32</v>
      </c>
      <c r="E215" s="46" t="s">
        <v>32</v>
      </c>
      <c r="F215" s="47">
        <f>[1]!BexGetData("DP_2","DL719O2RYNC0Y217V0FVT1R77","17","E","12021071E209","2067134011")</f>
        <v>280148.03999999998</v>
      </c>
      <c r="G215" s="48">
        <f>[1]!BexGetData("DP_2","DL719O2RYNEBZX0HTMQQ0BY0J","17","E","12021071E209","2067134011")</f>
        <v>280148.03999999998</v>
      </c>
      <c r="H215" s="48">
        <f>[1]!BexGetData("DP_2","DL719O2RYNGN1RZRS91K7M4TV","17","E","12021071E209","2067134011")</f>
        <v>283977.05</v>
      </c>
      <c r="I215" s="48">
        <f>[1]!BexGetData("DP_2","DL719O2RYNIY3MZ1QVCEEWBN7","17","E","12021071E209","2067134011")</f>
        <v>0</v>
      </c>
    </row>
    <row r="216" spans="1:9" x14ac:dyDescent="0.2">
      <c r="A216" s="46" t="s">
        <v>32</v>
      </c>
      <c r="B216" s="46" t="s">
        <v>32</v>
      </c>
      <c r="C216" s="46" t="s">
        <v>32</v>
      </c>
      <c r="D216" s="46" t="s">
        <v>32</v>
      </c>
      <c r="E216" s="46" t="s">
        <v>32</v>
      </c>
      <c r="F216" s="47">
        <f>[1]!BexGetData("DP_2","DL719O2RYNC0Y217V0FVT1R77","17","E","12021071E209","2067134021")</f>
        <v>641786.81999999995</v>
      </c>
      <c r="G216" s="48">
        <f>[1]!BexGetData("DP_2","DL719O2RYNEBZX0HTMQQ0BY0J","17","E","12021071E209","2067134021")</f>
        <v>641786.81999999995</v>
      </c>
      <c r="H216" s="48">
        <f>[1]!BexGetData("DP_2","DL719O2RYNGN1RZRS91K7M4TV","17","E","12021071E209","2067134021")</f>
        <v>641786.81999999995</v>
      </c>
      <c r="I216" s="48">
        <f>[1]!BexGetData("DP_2","DL719O2RYNIY3MZ1QVCEEWBN7","17","E","12021071E209","2067134021")</f>
        <v>0</v>
      </c>
    </row>
    <row r="217" spans="1:9" x14ac:dyDescent="0.2">
      <c r="A217" s="46" t="s">
        <v>32</v>
      </c>
      <c r="B217" s="46" t="s">
        <v>32</v>
      </c>
      <c r="C217" s="46" t="s">
        <v>32</v>
      </c>
      <c r="D217" s="46" t="s">
        <v>32</v>
      </c>
      <c r="E217" s="46" t="s">
        <v>32</v>
      </c>
      <c r="F217" s="47">
        <f>[1]!BexGetData("DP_2","DL719O2RYNC0Y217V0FVT1R77","17","E","12021071E209","2067141011")</f>
        <v>287611.42</v>
      </c>
      <c r="G217" s="48">
        <f>[1]!BexGetData("DP_2","DL719O2RYNEBZX0HTMQQ0BY0J","17","E","12021071E209","2067141011")</f>
        <v>287611.42</v>
      </c>
      <c r="H217" s="48">
        <f>[1]!BexGetData("DP_2","DL719O2RYNGN1RZRS91K7M4TV","17","E","12021071E209","2067141011")</f>
        <v>287611.42</v>
      </c>
      <c r="I217" s="48">
        <f>[1]!BexGetData("DP_2","DL719O2RYNIY3MZ1QVCEEWBN7","17","E","12021071E209","2067141011")</f>
        <v>0</v>
      </c>
    </row>
    <row r="218" spans="1:9" x14ac:dyDescent="0.2">
      <c r="A218" s="46" t="s">
        <v>32</v>
      </c>
      <c r="B218" s="46" t="s">
        <v>32</v>
      </c>
      <c r="C218" s="46" t="s">
        <v>32</v>
      </c>
      <c r="D218" s="46" t="s">
        <v>32</v>
      </c>
      <c r="E218" s="46" t="s">
        <v>32</v>
      </c>
      <c r="F218" s="47">
        <f>[1]!BexGetData("DP_2","DL719O2RYNC0Y217V0FVT1R77","17","E","12021071E209","2067141021")</f>
        <v>92487.52</v>
      </c>
      <c r="G218" s="48">
        <f>[1]!BexGetData("DP_2","DL719O2RYNEBZX0HTMQQ0BY0J","17","E","12021071E209","2067141021")</f>
        <v>92487.52</v>
      </c>
      <c r="H218" s="48">
        <f>[1]!BexGetData("DP_2","DL719O2RYNGN1RZRS91K7M4TV","17","E","12021071E209","2067141021")</f>
        <v>92487.52</v>
      </c>
      <c r="I218" s="48">
        <f>[1]!BexGetData("DP_2","DL719O2RYNIY3MZ1QVCEEWBN7","17","E","12021071E209","2067141021")</f>
        <v>0</v>
      </c>
    </row>
    <row r="219" spans="1:9" x14ac:dyDescent="0.2">
      <c r="A219" s="46" t="s">
        <v>32</v>
      </c>
      <c r="B219" s="46" t="s">
        <v>32</v>
      </c>
      <c r="C219" s="46" t="s">
        <v>32</v>
      </c>
      <c r="D219" s="46" t="s">
        <v>32</v>
      </c>
      <c r="E219" s="46" t="s">
        <v>32</v>
      </c>
      <c r="F219" s="47">
        <f>[1]!BexGetData("DP_2","DL719O2RYNC0Y217V0FVT1R77","17","E","12021071E209","2067143011")</f>
        <v>43299.98</v>
      </c>
      <c r="G219" s="48">
        <f>[1]!BexGetData("DP_2","DL719O2RYNEBZX0HTMQQ0BY0J","17","E","12021071E209","2067143011")</f>
        <v>43299.98</v>
      </c>
      <c r="H219" s="48">
        <f>[1]!BexGetData("DP_2","DL719O2RYNGN1RZRS91K7M4TV","17","E","12021071E209","2067143011")</f>
        <v>43299.98</v>
      </c>
      <c r="I219" s="48">
        <f>[1]!BexGetData("DP_2","DL719O2RYNIY3MZ1QVCEEWBN7","17","E","12021071E209","2067143011")</f>
        <v>0</v>
      </c>
    </row>
    <row r="220" spans="1:9" x14ac:dyDescent="0.2">
      <c r="A220" s="46" t="s">
        <v>32</v>
      </c>
      <c r="B220" s="46" t="s">
        <v>32</v>
      </c>
      <c r="C220" s="46" t="s">
        <v>32</v>
      </c>
      <c r="D220" s="46" t="s">
        <v>32</v>
      </c>
      <c r="E220" s="46" t="s">
        <v>32</v>
      </c>
      <c r="F220" s="47">
        <f>[1]!BexGetData("DP_2","DL719O2RYNC0Y217V0FVT1R77","17","E","12021071E209","2067151011")</f>
        <v>216221.16</v>
      </c>
      <c r="G220" s="48">
        <f>[1]!BexGetData("DP_2","DL719O2RYNEBZX0HTMQQ0BY0J","17","E","12021071E209","2067151011")</f>
        <v>216221.16</v>
      </c>
      <c r="H220" s="48">
        <f>[1]!BexGetData("DP_2","DL719O2RYNGN1RZRS91K7M4TV","17","E","12021071E209","2067151011")</f>
        <v>216221.16</v>
      </c>
      <c r="I220" s="48">
        <f>[1]!BexGetData("DP_2","DL719O2RYNIY3MZ1QVCEEWBN7","17","E","12021071E209","2067151011")</f>
        <v>0</v>
      </c>
    </row>
    <row r="221" spans="1:9" x14ac:dyDescent="0.2">
      <c r="A221" s="46" t="s">
        <v>32</v>
      </c>
      <c r="B221" s="46" t="s">
        <v>32</v>
      </c>
      <c r="C221" s="46" t="s">
        <v>32</v>
      </c>
      <c r="D221" s="46" t="s">
        <v>32</v>
      </c>
      <c r="E221" s="46" t="s">
        <v>32</v>
      </c>
      <c r="F221" s="47">
        <f>[1]!BexGetData("DP_2","DL719O2RYNC0Y217V0FVT1R77","17","E","12021071E209","2067154011")</f>
        <v>531146.5</v>
      </c>
      <c r="G221" s="48">
        <f>[1]!BexGetData("DP_2","DL719O2RYNEBZX0HTMQQ0BY0J","17","E","12021071E209","2067154011")</f>
        <v>531146.5</v>
      </c>
      <c r="H221" s="48">
        <f>[1]!BexGetData("DP_2","DL719O2RYNGN1RZRS91K7M4TV","17","E","12021071E209","2067154011")</f>
        <v>531146.5</v>
      </c>
      <c r="I221" s="48">
        <f>[1]!BexGetData("DP_2","DL719O2RYNIY3MZ1QVCEEWBN7","17","E","12021071E209","2067154011")</f>
        <v>0</v>
      </c>
    </row>
    <row r="222" spans="1:9" x14ac:dyDescent="0.2">
      <c r="A222" s="46" t="s">
        <v>32</v>
      </c>
      <c r="B222" s="46" t="s">
        <v>32</v>
      </c>
      <c r="C222" s="46" t="s">
        <v>32</v>
      </c>
      <c r="D222" s="46" t="s">
        <v>32</v>
      </c>
      <c r="E222" s="46" t="s">
        <v>32</v>
      </c>
      <c r="F222" s="47">
        <f>[1]!BexGetData("DP_2","DL719O2RYNC0Y217V0FVT1R77","17","E","12021071E209","2067211011")</f>
        <v>16581.84</v>
      </c>
      <c r="G222" s="48">
        <f>[1]!BexGetData("DP_2","DL719O2RYNEBZX0HTMQQ0BY0J","17","E","12021071E209","2067211011")</f>
        <v>16581.84</v>
      </c>
      <c r="H222" s="48">
        <f>[1]!BexGetData("DP_2","DL719O2RYNGN1RZRS91K7M4TV","17","E","12021071E209","2067211011")</f>
        <v>12511.75</v>
      </c>
      <c r="I222" s="48">
        <f>[1]!BexGetData("DP_2","DL719O2RYNIY3MZ1QVCEEWBN7","17","E","12021071E209","2067211011")</f>
        <v>0</v>
      </c>
    </row>
    <row r="223" spans="1:9" x14ac:dyDescent="0.2">
      <c r="A223" s="46" t="s">
        <v>32</v>
      </c>
      <c r="B223" s="46" t="s">
        <v>32</v>
      </c>
      <c r="C223" s="46" t="s">
        <v>32</v>
      </c>
      <c r="D223" s="46" t="s">
        <v>32</v>
      </c>
      <c r="E223" s="46" t="s">
        <v>32</v>
      </c>
      <c r="F223" s="47">
        <f>[1]!BexGetData("DP_2","DL719O2RYNC0Y217V0FVT1R77","17","E","12021071E209","2067211021")</f>
        <v>375.84</v>
      </c>
      <c r="G223" s="48">
        <f>[1]!BexGetData("DP_2","DL719O2RYNEBZX0HTMQQ0BY0J","17","E","12021071E209","2067211021")</f>
        <v>375.84</v>
      </c>
      <c r="H223" s="48">
        <f>[1]!BexGetData("DP_2","DL719O2RYNGN1RZRS91K7M4TV","17","E","12021071E209","2067211021")</f>
        <v>375.84</v>
      </c>
      <c r="I223" s="48">
        <f>[1]!BexGetData("DP_2","DL719O2RYNIY3MZ1QVCEEWBN7","17","E","12021071E209","2067211021")</f>
        <v>0</v>
      </c>
    </row>
    <row r="224" spans="1:9" x14ac:dyDescent="0.2">
      <c r="A224" s="46" t="s">
        <v>32</v>
      </c>
      <c r="B224" s="46" t="s">
        <v>32</v>
      </c>
      <c r="C224" s="46" t="s">
        <v>32</v>
      </c>
      <c r="D224" s="46" t="s">
        <v>32</v>
      </c>
      <c r="E224" s="46" t="s">
        <v>32</v>
      </c>
      <c r="F224" s="47">
        <f>[1]!BexGetData("DP_2","DL719O2RYNC0Y217V0FVT1R77","17","E","12021071E209","2067214011")</f>
        <v>6831.99</v>
      </c>
      <c r="G224" s="48">
        <f>[1]!BexGetData("DP_2","DL719O2RYNEBZX0HTMQQ0BY0J","17","E","12021071E209","2067214011")</f>
        <v>6831.99</v>
      </c>
      <c r="H224" s="48">
        <f>[1]!BexGetData("DP_2","DL719O2RYNGN1RZRS91K7M4TV","17","E","12021071E209","2067214011")</f>
        <v>4948.1499999999996</v>
      </c>
      <c r="I224" s="48">
        <f>[1]!BexGetData("DP_2","DL719O2RYNIY3MZ1QVCEEWBN7","17","E","12021071E209","2067214011")</f>
        <v>0</v>
      </c>
    </row>
    <row r="225" spans="1:9" x14ac:dyDescent="0.2">
      <c r="A225" s="46" t="s">
        <v>32</v>
      </c>
      <c r="B225" s="46" t="s">
        <v>32</v>
      </c>
      <c r="C225" s="46" t="s">
        <v>32</v>
      </c>
      <c r="D225" s="46" t="s">
        <v>32</v>
      </c>
      <c r="E225" s="46" t="s">
        <v>32</v>
      </c>
      <c r="F225" s="47">
        <f>[1]!BexGetData("DP_2","DL719O2RYNC0Y217V0FVT1R77","17","E","12021071E209","2067214021")</f>
        <v>1749.05</v>
      </c>
      <c r="G225" s="48">
        <f>[1]!BexGetData("DP_2","DL719O2RYNEBZX0HTMQQ0BY0J","17","E","12021071E209","2067214021")</f>
        <v>1749.05</v>
      </c>
      <c r="H225" s="48">
        <f>[1]!BexGetData("DP_2","DL719O2RYNGN1RZRS91K7M4TV","17","E","12021071E209","2067214021")</f>
        <v>1749.05</v>
      </c>
      <c r="I225" s="48">
        <f>[1]!BexGetData("DP_2","DL719O2RYNIY3MZ1QVCEEWBN7","17","E","12021071E209","2067214021")</f>
        <v>0</v>
      </c>
    </row>
    <row r="226" spans="1:9" x14ac:dyDescent="0.2">
      <c r="A226" s="46" t="s">
        <v>32</v>
      </c>
      <c r="B226" s="46" t="s">
        <v>32</v>
      </c>
      <c r="C226" s="46" t="s">
        <v>32</v>
      </c>
      <c r="D226" s="46" t="s">
        <v>32</v>
      </c>
      <c r="E226" s="46" t="s">
        <v>32</v>
      </c>
      <c r="F226" s="47">
        <f>[1]!BexGetData("DP_2","DL719O2RYNC0Y217V0FVT1R77","17","E","12021071E209","2067215021")</f>
        <v>0</v>
      </c>
      <c r="G226" s="48">
        <f>[1]!BexGetData("DP_2","DL719O2RYNEBZX0HTMQQ0BY0J","17","E","12021071E209","2067215021")</f>
        <v>0</v>
      </c>
      <c r="H226" s="48">
        <f>[1]!BexGetData("DP_2","DL719O2RYNGN1RZRS91K7M4TV","17","E","12021071E209","2067215021")</f>
        <v>0</v>
      </c>
      <c r="I226" s="48">
        <f>[1]!BexGetData("DP_2","DL719O2RYNIY3MZ1QVCEEWBN7","17","E","12021071E209","2067215021")</f>
        <v>0</v>
      </c>
    </row>
    <row r="227" spans="1:9" x14ac:dyDescent="0.2">
      <c r="A227" s="46" t="s">
        <v>32</v>
      </c>
      <c r="B227" s="46" t="s">
        <v>32</v>
      </c>
      <c r="C227" s="46" t="s">
        <v>32</v>
      </c>
      <c r="D227" s="46" t="s">
        <v>32</v>
      </c>
      <c r="E227" s="46" t="s">
        <v>32</v>
      </c>
      <c r="F227" s="47">
        <f>[1]!BexGetData("DP_2","DL719O2RYNC0Y217V0FVT1R77","17","E","12021071E209","2067216011")</f>
        <v>259.01</v>
      </c>
      <c r="G227" s="48">
        <f>[1]!BexGetData("DP_2","DL719O2RYNEBZX0HTMQQ0BY0J","17","E","12021071E209","2067216011")</f>
        <v>259.01</v>
      </c>
      <c r="H227" s="48">
        <f>[1]!BexGetData("DP_2","DL719O2RYNGN1RZRS91K7M4TV","17","E","12021071E209","2067216011")</f>
        <v>259.01</v>
      </c>
      <c r="I227" s="48">
        <f>[1]!BexGetData("DP_2","DL719O2RYNIY3MZ1QVCEEWBN7","17","E","12021071E209","2067216011")</f>
        <v>0</v>
      </c>
    </row>
    <row r="228" spans="1:9" x14ac:dyDescent="0.2">
      <c r="A228" s="46" t="s">
        <v>32</v>
      </c>
      <c r="B228" s="46" t="s">
        <v>32</v>
      </c>
      <c r="C228" s="46" t="s">
        <v>32</v>
      </c>
      <c r="D228" s="46" t="s">
        <v>32</v>
      </c>
      <c r="E228" s="46" t="s">
        <v>32</v>
      </c>
      <c r="F228" s="47">
        <f>[1]!BexGetData("DP_2","DL719O2RYNC0Y217V0FVT1R77","17","E","12021071E209","2067217011")</f>
        <v>231.98</v>
      </c>
      <c r="G228" s="48">
        <f>[1]!BexGetData("DP_2","DL719O2RYNEBZX0HTMQQ0BY0J","17","E","12021071E209","2067217011")</f>
        <v>231.98</v>
      </c>
      <c r="H228" s="48">
        <f>[1]!BexGetData("DP_2","DL719O2RYNGN1RZRS91K7M4TV","17","E","12021071E209","2067217011")</f>
        <v>231.98</v>
      </c>
      <c r="I228" s="48">
        <f>[1]!BexGetData("DP_2","DL719O2RYNIY3MZ1QVCEEWBN7","17","E","12021071E209","2067217011")</f>
        <v>0</v>
      </c>
    </row>
    <row r="229" spans="1:9" x14ac:dyDescent="0.2">
      <c r="A229" s="46" t="s">
        <v>32</v>
      </c>
      <c r="B229" s="46" t="s">
        <v>32</v>
      </c>
      <c r="C229" s="46" t="s">
        <v>32</v>
      </c>
      <c r="D229" s="46" t="s">
        <v>32</v>
      </c>
      <c r="E229" s="46" t="s">
        <v>32</v>
      </c>
      <c r="F229" s="47">
        <f>[1]!BexGetData("DP_2","DL719O2RYNC0Y217V0FVT1R77","17","E","12021071E209","2067221011")</f>
        <v>552.79</v>
      </c>
      <c r="G229" s="48">
        <f>[1]!BexGetData("DP_2","DL719O2RYNEBZX0HTMQQ0BY0J","17","E","12021071E209","2067221011")</f>
        <v>552.79</v>
      </c>
      <c r="H229" s="48">
        <f>[1]!BexGetData("DP_2","DL719O2RYNGN1RZRS91K7M4TV","17","E","12021071E209","2067221011")</f>
        <v>552.79</v>
      </c>
      <c r="I229" s="48">
        <f>[1]!BexGetData("DP_2","DL719O2RYNIY3MZ1QVCEEWBN7","17","E","12021071E209","2067221011")</f>
        <v>0</v>
      </c>
    </row>
    <row r="230" spans="1:9" x14ac:dyDescent="0.2">
      <c r="A230" s="46" t="s">
        <v>32</v>
      </c>
      <c r="B230" s="46" t="s">
        <v>32</v>
      </c>
      <c r="C230" s="46" t="s">
        <v>32</v>
      </c>
      <c r="D230" s="46" t="s">
        <v>32</v>
      </c>
      <c r="E230" s="46" t="s">
        <v>32</v>
      </c>
      <c r="F230" s="47">
        <f>[1]!BexGetData("DP_2","DL719O2RYNC0Y217V0FVT1R77","17","E","12021071E209","2067221021")</f>
        <v>786.01</v>
      </c>
      <c r="G230" s="48">
        <f>[1]!BexGetData("DP_2","DL719O2RYNEBZX0HTMQQ0BY0J","17","E","12021071E209","2067221021")</f>
        <v>786.01</v>
      </c>
      <c r="H230" s="48">
        <f>[1]!BexGetData("DP_2","DL719O2RYNGN1RZRS91K7M4TV","17","E","12021071E209","2067221021")</f>
        <v>786</v>
      </c>
      <c r="I230" s="48">
        <f>[1]!BexGetData("DP_2","DL719O2RYNIY3MZ1QVCEEWBN7","17","E","12021071E209","2067221021")</f>
        <v>0</v>
      </c>
    </row>
    <row r="231" spans="1:9" x14ac:dyDescent="0.2">
      <c r="A231" s="46" t="s">
        <v>32</v>
      </c>
      <c r="B231" s="46" t="s">
        <v>32</v>
      </c>
      <c r="C231" s="46" t="s">
        <v>32</v>
      </c>
      <c r="D231" s="46" t="s">
        <v>32</v>
      </c>
      <c r="E231" s="46" t="s">
        <v>32</v>
      </c>
      <c r="F231" s="47">
        <f>[1]!BexGetData("DP_2","DL719O2RYNC0Y217V0FVT1R77","17","E","12021071E209","2067246011")</f>
        <v>1837.36</v>
      </c>
      <c r="G231" s="48">
        <f>[1]!BexGetData("DP_2","DL719O2RYNEBZX0HTMQQ0BY0J","17","E","12021071E209","2067246011")</f>
        <v>1837.36</v>
      </c>
      <c r="H231" s="48">
        <f>[1]!BexGetData("DP_2","DL719O2RYNGN1RZRS91K7M4TV","17","E","12021071E209","2067246011")</f>
        <v>1837.36</v>
      </c>
      <c r="I231" s="48">
        <f>[1]!BexGetData("DP_2","DL719O2RYNIY3MZ1QVCEEWBN7","17","E","12021071E209","2067246011")</f>
        <v>0</v>
      </c>
    </row>
    <row r="232" spans="1:9" x14ac:dyDescent="0.2">
      <c r="A232" s="46" t="s">
        <v>32</v>
      </c>
      <c r="B232" s="46" t="s">
        <v>32</v>
      </c>
      <c r="C232" s="46" t="s">
        <v>32</v>
      </c>
      <c r="D232" s="46" t="s">
        <v>32</v>
      </c>
      <c r="E232" s="46" t="s">
        <v>32</v>
      </c>
      <c r="F232" s="47">
        <f>[1]!BexGetData("DP_2","DL719O2RYNC0Y217V0FVT1R77","17","E","12021071E209","2067254021")</f>
        <v>339</v>
      </c>
      <c r="G232" s="48">
        <f>[1]!BexGetData("DP_2","DL719O2RYNEBZX0HTMQQ0BY0J","17","E","12021071E209","2067254021")</f>
        <v>339</v>
      </c>
      <c r="H232" s="48">
        <f>[1]!BexGetData("DP_2","DL719O2RYNGN1RZRS91K7M4TV","17","E","12021071E209","2067254021")</f>
        <v>339</v>
      </c>
      <c r="I232" s="48">
        <f>[1]!BexGetData("DP_2","DL719O2RYNIY3MZ1QVCEEWBN7","17","E","12021071E209","2067254021")</f>
        <v>0</v>
      </c>
    </row>
    <row r="233" spans="1:9" x14ac:dyDescent="0.2">
      <c r="A233" s="46" t="s">
        <v>32</v>
      </c>
      <c r="B233" s="46" t="s">
        <v>32</v>
      </c>
      <c r="C233" s="46" t="s">
        <v>32</v>
      </c>
      <c r="D233" s="46" t="s">
        <v>32</v>
      </c>
      <c r="E233" s="46" t="s">
        <v>32</v>
      </c>
      <c r="F233" s="47">
        <f>[1]!BexGetData("DP_2","DL719O2RYNC0Y217V0FVT1R77","17","E","12021071E209","2067256011")</f>
        <v>620.11</v>
      </c>
      <c r="G233" s="48">
        <f>[1]!BexGetData("DP_2","DL719O2RYNEBZX0HTMQQ0BY0J","17","E","12021071E209","2067256011")</f>
        <v>620.11</v>
      </c>
      <c r="H233" s="48">
        <f>[1]!BexGetData("DP_2","DL719O2RYNGN1RZRS91K7M4TV","17","E","12021071E209","2067256011")</f>
        <v>620.11</v>
      </c>
      <c r="I233" s="48">
        <f>[1]!BexGetData("DP_2","DL719O2RYNIY3MZ1QVCEEWBN7","17","E","12021071E209","2067256011")</f>
        <v>0</v>
      </c>
    </row>
    <row r="234" spans="1:9" x14ac:dyDescent="0.2">
      <c r="A234" s="46" t="s">
        <v>32</v>
      </c>
      <c r="B234" s="46" t="s">
        <v>32</v>
      </c>
      <c r="C234" s="46" t="s">
        <v>32</v>
      </c>
      <c r="D234" s="46" t="s">
        <v>32</v>
      </c>
      <c r="E234" s="46" t="s">
        <v>32</v>
      </c>
      <c r="F234" s="47">
        <f>[1]!BexGetData("DP_2","DL719O2RYNC0Y217V0FVT1R77","17","E","12021071E209","2067261011")</f>
        <v>0</v>
      </c>
      <c r="G234" s="48">
        <f>[1]!BexGetData("DP_2","DL719O2RYNEBZX0HTMQQ0BY0J","17","E","12021071E209","2067261011")</f>
        <v>0</v>
      </c>
      <c r="H234" s="48">
        <f>[1]!BexGetData("DP_2","DL719O2RYNGN1RZRS91K7M4TV","17","E","12021071E209","2067261011")</f>
        <v>0</v>
      </c>
      <c r="I234" s="48">
        <f>[1]!BexGetData("DP_2","DL719O2RYNIY3MZ1QVCEEWBN7","17","E","12021071E209","2067261011")</f>
        <v>0</v>
      </c>
    </row>
    <row r="235" spans="1:9" x14ac:dyDescent="0.2">
      <c r="A235" s="46" t="s">
        <v>32</v>
      </c>
      <c r="B235" s="46" t="s">
        <v>32</v>
      </c>
      <c r="C235" s="46" t="s">
        <v>32</v>
      </c>
      <c r="D235" s="46" t="s">
        <v>32</v>
      </c>
      <c r="E235" s="46" t="s">
        <v>32</v>
      </c>
      <c r="F235" s="47">
        <f>[1]!BexGetData("DP_2","DL719O2RYNC0Y217V0FVT1R77","17","E","12021071E209","2067272011")</f>
        <v>105</v>
      </c>
      <c r="G235" s="48">
        <f>[1]!BexGetData("DP_2","DL719O2RYNEBZX0HTMQQ0BY0J","17","E","12021071E209","2067272011")</f>
        <v>105</v>
      </c>
      <c r="H235" s="48">
        <f>[1]!BexGetData("DP_2","DL719O2RYNGN1RZRS91K7M4TV","17","E","12021071E209","2067272011")</f>
        <v>105</v>
      </c>
      <c r="I235" s="48">
        <f>[1]!BexGetData("DP_2","DL719O2RYNIY3MZ1QVCEEWBN7","17","E","12021071E209","2067272011")</f>
        <v>0</v>
      </c>
    </row>
    <row r="236" spans="1:9" x14ac:dyDescent="0.2">
      <c r="A236" s="46" t="s">
        <v>32</v>
      </c>
      <c r="B236" s="46" t="s">
        <v>32</v>
      </c>
      <c r="C236" s="46" t="s">
        <v>32</v>
      </c>
      <c r="D236" s="46" t="s">
        <v>32</v>
      </c>
      <c r="E236" s="46" t="s">
        <v>32</v>
      </c>
      <c r="F236" s="47">
        <f>[1]!BexGetData("DP_2","DL719O2RYNC0Y217V0FVT1R77","17","E","12021071E209","2067274011")</f>
        <v>339.99</v>
      </c>
      <c r="G236" s="48">
        <f>[1]!BexGetData("DP_2","DL719O2RYNEBZX0HTMQQ0BY0J","17","E","12021071E209","2067274011")</f>
        <v>339.99</v>
      </c>
      <c r="H236" s="48">
        <f>[1]!BexGetData("DP_2","DL719O2RYNGN1RZRS91K7M4TV","17","E","12021071E209","2067274011")</f>
        <v>339.99</v>
      </c>
      <c r="I236" s="48">
        <f>[1]!BexGetData("DP_2","DL719O2RYNIY3MZ1QVCEEWBN7","17","E","12021071E209","2067274011")</f>
        <v>0</v>
      </c>
    </row>
    <row r="237" spans="1:9" x14ac:dyDescent="0.2">
      <c r="A237" s="46" t="s">
        <v>32</v>
      </c>
      <c r="B237" s="46" t="s">
        <v>32</v>
      </c>
      <c r="C237" s="46" t="s">
        <v>32</v>
      </c>
      <c r="D237" s="46" t="s">
        <v>32</v>
      </c>
      <c r="E237" s="46" t="s">
        <v>32</v>
      </c>
      <c r="F237" s="47">
        <f>[1]!BexGetData("DP_2","DL719O2RYNC0Y217V0FVT1R77","17","E","12021071E209","2067294011")</f>
        <v>2033.89</v>
      </c>
      <c r="G237" s="48">
        <f>[1]!BexGetData("DP_2","DL719O2RYNEBZX0HTMQQ0BY0J","17","E","12021071E209","2067294011")</f>
        <v>2033.89</v>
      </c>
      <c r="H237" s="48">
        <f>[1]!BexGetData("DP_2","DL719O2RYNGN1RZRS91K7M4TV","17","E","12021071E209","2067294011")</f>
        <v>2033.89</v>
      </c>
      <c r="I237" s="48">
        <f>[1]!BexGetData("DP_2","DL719O2RYNIY3MZ1QVCEEWBN7","17","E","12021071E209","2067294011")</f>
        <v>0</v>
      </c>
    </row>
    <row r="238" spans="1:9" x14ac:dyDescent="0.2">
      <c r="A238" s="46" t="s">
        <v>32</v>
      </c>
      <c r="B238" s="46" t="s">
        <v>32</v>
      </c>
      <c r="C238" s="46" t="s">
        <v>32</v>
      </c>
      <c r="D238" s="46" t="s">
        <v>32</v>
      </c>
      <c r="E238" s="46" t="s">
        <v>32</v>
      </c>
      <c r="F238" s="47">
        <f>[1]!BexGetData("DP_2","DL719O2RYNC0Y217V0FVT1R77","17","E","12021071E209","2067314011")</f>
        <v>2075.7199999999998</v>
      </c>
      <c r="G238" s="48">
        <f>[1]!BexGetData("DP_2","DL719O2RYNEBZX0HTMQQ0BY0J","17","E","12021071E209","2067314011")</f>
        <v>2075.7199999999998</v>
      </c>
      <c r="H238" s="48">
        <f>[1]!BexGetData("DP_2","DL719O2RYNGN1RZRS91K7M4TV","17","E","12021071E209","2067314011")</f>
        <v>2075.7199999999998</v>
      </c>
      <c r="I238" s="48">
        <f>[1]!BexGetData("DP_2","DL719O2RYNIY3MZ1QVCEEWBN7","17","E","12021071E209","2067314011")</f>
        <v>0</v>
      </c>
    </row>
    <row r="239" spans="1:9" x14ac:dyDescent="0.2">
      <c r="A239" s="46" t="s">
        <v>32</v>
      </c>
      <c r="B239" s="46" t="s">
        <v>32</v>
      </c>
      <c r="C239" s="46" t="s">
        <v>32</v>
      </c>
      <c r="D239" s="46" t="s">
        <v>32</v>
      </c>
      <c r="E239" s="46" t="s">
        <v>32</v>
      </c>
      <c r="F239" s="47">
        <f>[1]!BexGetData("DP_2","DL719O2RYNC0Y217V0FVT1R77","17","E","12021071E209","2067315011")</f>
        <v>0</v>
      </c>
      <c r="G239" s="48">
        <f>[1]!BexGetData("DP_2","DL719O2RYNEBZX0HTMQQ0BY0J","17","E","12021071E209","2067315011")</f>
        <v>0</v>
      </c>
      <c r="H239" s="48">
        <f>[1]!BexGetData("DP_2","DL719O2RYNGN1RZRS91K7M4TV","17","E","12021071E209","2067315011")</f>
        <v>0</v>
      </c>
      <c r="I239" s="48">
        <f>[1]!BexGetData("DP_2","DL719O2RYNIY3MZ1QVCEEWBN7","17","E","12021071E209","2067315011")</f>
        <v>0</v>
      </c>
    </row>
    <row r="240" spans="1:9" x14ac:dyDescent="0.2">
      <c r="A240" s="46" t="s">
        <v>32</v>
      </c>
      <c r="B240" s="46" t="s">
        <v>32</v>
      </c>
      <c r="C240" s="46" t="s">
        <v>32</v>
      </c>
      <c r="D240" s="46" t="s">
        <v>32</v>
      </c>
      <c r="E240" s="46" t="s">
        <v>32</v>
      </c>
      <c r="F240" s="47">
        <f>[1]!BexGetData("DP_2","DL719O2RYNC0Y217V0FVT1R77","17","E","12021071E209","2067329011")</f>
        <v>324.8</v>
      </c>
      <c r="G240" s="48">
        <f>[1]!BexGetData("DP_2","DL719O2RYNEBZX0HTMQQ0BY0J","17","E","12021071E209","2067329011")</f>
        <v>324.8</v>
      </c>
      <c r="H240" s="48">
        <f>[1]!BexGetData("DP_2","DL719O2RYNGN1RZRS91K7M4TV","17","E","12021071E209","2067329011")</f>
        <v>324.8</v>
      </c>
      <c r="I240" s="48">
        <f>[1]!BexGetData("DP_2","DL719O2RYNIY3MZ1QVCEEWBN7","17","E","12021071E209","2067329011")</f>
        <v>0</v>
      </c>
    </row>
    <row r="241" spans="1:9" x14ac:dyDescent="0.2">
      <c r="A241" s="46" t="s">
        <v>32</v>
      </c>
      <c r="B241" s="46" t="s">
        <v>32</v>
      </c>
      <c r="C241" s="46" t="s">
        <v>32</v>
      </c>
      <c r="D241" s="46" t="s">
        <v>32</v>
      </c>
      <c r="E241" s="46" t="s">
        <v>32</v>
      </c>
      <c r="F241" s="47">
        <f>[1]!BexGetData("DP_2","DL719O2RYNC0Y217V0FVT1R77","17","E","12021071E209","2067334011")</f>
        <v>0</v>
      </c>
      <c r="G241" s="48">
        <f>[1]!BexGetData("DP_2","DL719O2RYNEBZX0HTMQQ0BY0J","17","E","12021071E209","2067334011")</f>
        <v>0</v>
      </c>
      <c r="H241" s="48">
        <f>[1]!BexGetData("DP_2","DL719O2RYNGN1RZRS91K7M4TV","17","E","12021071E209","2067334011")</f>
        <v>0</v>
      </c>
      <c r="I241" s="48">
        <f>[1]!BexGetData("DP_2","DL719O2RYNIY3MZ1QVCEEWBN7","17","E","12021071E209","2067334011")</f>
        <v>0</v>
      </c>
    </row>
    <row r="242" spans="1:9" x14ac:dyDescent="0.2">
      <c r="A242" s="46" t="s">
        <v>32</v>
      </c>
      <c r="B242" s="46" t="s">
        <v>32</v>
      </c>
      <c r="C242" s="46" t="s">
        <v>32</v>
      </c>
      <c r="D242" s="46" t="s">
        <v>32</v>
      </c>
      <c r="E242" s="46" t="s">
        <v>32</v>
      </c>
      <c r="F242" s="47">
        <f>[1]!BexGetData("DP_2","DL719O2RYNC0Y217V0FVT1R77","17","E","12021071E209","2067336011")</f>
        <v>46578.64</v>
      </c>
      <c r="G242" s="48">
        <f>[1]!BexGetData("DP_2","DL719O2RYNEBZX0HTMQQ0BY0J","17","E","12021071E209","2067336011")</f>
        <v>46578.64</v>
      </c>
      <c r="H242" s="48">
        <f>[1]!BexGetData("DP_2","DL719O2RYNGN1RZRS91K7M4TV","17","E","12021071E209","2067336011")</f>
        <v>40439.919999999998</v>
      </c>
      <c r="I242" s="48">
        <f>[1]!BexGetData("DP_2","DL719O2RYNIY3MZ1QVCEEWBN7","17","E","12021071E209","2067336011")</f>
        <v>0</v>
      </c>
    </row>
    <row r="243" spans="1:9" x14ac:dyDescent="0.2">
      <c r="A243" s="46" t="s">
        <v>32</v>
      </c>
      <c r="B243" s="46" t="s">
        <v>32</v>
      </c>
      <c r="C243" s="46" t="s">
        <v>32</v>
      </c>
      <c r="D243" s="46" t="s">
        <v>32</v>
      </c>
      <c r="E243" s="46" t="s">
        <v>32</v>
      </c>
      <c r="F243" s="47">
        <f>[1]!BexGetData("DP_2","DL719O2RYNC0Y217V0FVT1R77","17","E","12021071E209","2067351011")</f>
        <v>8091</v>
      </c>
      <c r="G243" s="48">
        <f>[1]!BexGetData("DP_2","DL719O2RYNEBZX0HTMQQ0BY0J","17","E","12021071E209","2067351011")</f>
        <v>8091</v>
      </c>
      <c r="H243" s="48">
        <f>[1]!BexGetData("DP_2","DL719O2RYNGN1RZRS91K7M4TV","17","E","12021071E209","2067351011")</f>
        <v>8091</v>
      </c>
      <c r="I243" s="48">
        <f>[1]!BexGetData("DP_2","DL719O2RYNIY3MZ1QVCEEWBN7","17","E","12021071E209","2067351011")</f>
        <v>0</v>
      </c>
    </row>
    <row r="244" spans="1:9" x14ac:dyDescent="0.2">
      <c r="A244" s="46" t="s">
        <v>32</v>
      </c>
      <c r="B244" s="46" t="s">
        <v>32</v>
      </c>
      <c r="C244" s="46" t="s">
        <v>32</v>
      </c>
      <c r="D244" s="46" t="s">
        <v>32</v>
      </c>
      <c r="E244" s="46" t="s">
        <v>32</v>
      </c>
      <c r="F244" s="47">
        <f>[1]!BexGetData("DP_2","DL719O2RYNC0Y217V0FVT1R77","17","E","12021071E209","2067372011")</f>
        <v>2864</v>
      </c>
      <c r="G244" s="48">
        <f>[1]!BexGetData("DP_2","DL719O2RYNEBZX0HTMQQ0BY0J","17","E","12021071E209","2067372011")</f>
        <v>2864</v>
      </c>
      <c r="H244" s="48">
        <f>[1]!BexGetData("DP_2","DL719O2RYNGN1RZRS91K7M4TV","17","E","12021071E209","2067372011")</f>
        <v>2863.97</v>
      </c>
      <c r="I244" s="48">
        <f>[1]!BexGetData("DP_2","DL719O2RYNIY3MZ1QVCEEWBN7","17","E","12021071E209","2067372011")</f>
        <v>0</v>
      </c>
    </row>
    <row r="245" spans="1:9" x14ac:dyDescent="0.2">
      <c r="A245" s="46" t="s">
        <v>32</v>
      </c>
      <c r="B245" s="46" t="s">
        <v>32</v>
      </c>
      <c r="C245" s="46" t="s">
        <v>32</v>
      </c>
      <c r="D245" s="46" t="s">
        <v>32</v>
      </c>
      <c r="E245" s="46" t="s">
        <v>32</v>
      </c>
      <c r="F245" s="47">
        <f>[1]!BexGetData("DP_2","DL719O2RYNC0Y217V0FVT1R77","17","E","12021071E209","2067515012")</f>
        <v>4947.8100000000004</v>
      </c>
      <c r="G245" s="48">
        <f>[1]!BexGetData("DP_2","DL719O2RYNEBZX0HTMQQ0BY0J","17","E","12021071E209","2067515012")</f>
        <v>4947.8100000000004</v>
      </c>
      <c r="H245" s="48">
        <f>[1]!BexGetData("DP_2","DL719O2RYNGN1RZRS91K7M4TV","17","E","12021071E209","2067515012")</f>
        <v>4947.8100000000004</v>
      </c>
      <c r="I245" s="48">
        <f>[1]!BexGetData("DP_2","DL719O2RYNIY3MZ1QVCEEWBN7","17","E","12021071E209","2067515012")</f>
        <v>0</v>
      </c>
    </row>
    <row r="246" spans="1:9" x14ac:dyDescent="0.2">
      <c r="A246" s="46" t="s">
        <v>32</v>
      </c>
      <c r="B246" s="46" t="s">
        <v>32</v>
      </c>
      <c r="C246" s="46" t="s">
        <v>85</v>
      </c>
      <c r="D246" s="46" t="s">
        <v>85</v>
      </c>
      <c r="E246" s="46" t="s">
        <v>32</v>
      </c>
      <c r="F246" s="47">
        <f>[1]!BexGetData("DP_2","DL719O2RYNC0Y217V0FVT1R77","17","E","12041061E101","2067113011")</f>
        <v>0</v>
      </c>
      <c r="G246" s="48">
        <f>[1]!BexGetData("DP_2","DL719O2RYNEBZX0HTMQQ0BY0J","17","E","12041061E101","2067113011")</f>
        <v>0</v>
      </c>
      <c r="H246" s="48">
        <f>[1]!BexGetData("DP_2","DL719O2RYNGN1RZRS91K7M4TV","17","E","12041061E101","2067113011")</f>
        <v>0</v>
      </c>
      <c r="I246" s="48">
        <f>[1]!BexGetData("DP_2","DL719O2RYNIY3MZ1QVCEEWBN7","17","E","12041061E101","2067113011")</f>
        <v>0</v>
      </c>
    </row>
    <row r="247" spans="1:9" x14ac:dyDescent="0.2">
      <c r="A247" s="46" t="s">
        <v>32</v>
      </c>
      <c r="B247" s="46" t="s">
        <v>32</v>
      </c>
      <c r="C247" s="46" t="s">
        <v>32</v>
      </c>
      <c r="D247" s="46" t="s">
        <v>32</v>
      </c>
      <c r="E247" s="46" t="s">
        <v>32</v>
      </c>
      <c r="F247" s="47">
        <f>[1]!BexGetData("DP_2","DL719O2RYNC0Y217V0FVT1R77","17","E","12041061E101","2067113021")</f>
        <v>0</v>
      </c>
      <c r="G247" s="48">
        <f>[1]!BexGetData("DP_2","DL719O2RYNEBZX0HTMQQ0BY0J","17","E","12041061E101","2067113021")</f>
        <v>0</v>
      </c>
      <c r="H247" s="48">
        <f>[1]!BexGetData("DP_2","DL719O2RYNGN1RZRS91K7M4TV","17","E","12041061E101","2067113021")</f>
        <v>0</v>
      </c>
      <c r="I247" s="48">
        <f>[1]!BexGetData("DP_2","DL719O2RYNIY3MZ1QVCEEWBN7","17","E","12041061E101","2067113021")</f>
        <v>0</v>
      </c>
    </row>
    <row r="248" spans="1:9" x14ac:dyDescent="0.2">
      <c r="A248" s="46" t="s">
        <v>32</v>
      </c>
      <c r="B248" s="46" t="s">
        <v>32</v>
      </c>
      <c r="C248" s="46" t="s">
        <v>32</v>
      </c>
      <c r="D248" s="46" t="s">
        <v>32</v>
      </c>
      <c r="E248" s="46" t="s">
        <v>32</v>
      </c>
      <c r="F248" s="47">
        <f>[1]!BexGetData("DP_2","DL719O2RYNC0Y217V0FVT1R77","17","E","12041061E101","2067131011")</f>
        <v>0</v>
      </c>
      <c r="G248" s="48">
        <f>[1]!BexGetData("DP_2","DL719O2RYNEBZX0HTMQQ0BY0J","17","E","12041061E101","2067131011")</f>
        <v>0</v>
      </c>
      <c r="H248" s="48">
        <f>[1]!BexGetData("DP_2","DL719O2RYNGN1RZRS91K7M4TV","17","E","12041061E101","2067131011")</f>
        <v>0</v>
      </c>
      <c r="I248" s="48">
        <f>[1]!BexGetData("DP_2","DL719O2RYNIY3MZ1QVCEEWBN7","17","E","12041061E101","2067131011")</f>
        <v>0</v>
      </c>
    </row>
    <row r="249" spans="1:9" x14ac:dyDescent="0.2">
      <c r="A249" s="46" t="s">
        <v>32</v>
      </c>
      <c r="B249" s="46" t="s">
        <v>32</v>
      </c>
      <c r="C249" s="46" t="s">
        <v>32</v>
      </c>
      <c r="D249" s="46" t="s">
        <v>32</v>
      </c>
      <c r="E249" s="46" t="s">
        <v>32</v>
      </c>
      <c r="F249" s="47">
        <f>[1]!BexGetData("DP_2","DL719O2RYNC0Y217V0FVT1R77","17","E","12041061E101","2067132011")</f>
        <v>0</v>
      </c>
      <c r="G249" s="48">
        <f>[1]!BexGetData("DP_2","DL719O2RYNEBZX0HTMQQ0BY0J","17","E","12041061E101","2067132011")</f>
        <v>0</v>
      </c>
      <c r="H249" s="48">
        <f>[1]!BexGetData("DP_2","DL719O2RYNGN1RZRS91K7M4TV","17","E","12041061E101","2067132011")</f>
        <v>0</v>
      </c>
      <c r="I249" s="48">
        <f>[1]!BexGetData("DP_2","DL719O2RYNIY3MZ1QVCEEWBN7","17","E","12041061E101","2067132011")</f>
        <v>0</v>
      </c>
    </row>
    <row r="250" spans="1:9" x14ac:dyDescent="0.2">
      <c r="A250" s="46" t="s">
        <v>32</v>
      </c>
      <c r="B250" s="46" t="s">
        <v>32</v>
      </c>
      <c r="C250" s="46" t="s">
        <v>32</v>
      </c>
      <c r="D250" s="46" t="s">
        <v>32</v>
      </c>
      <c r="E250" s="46" t="s">
        <v>32</v>
      </c>
      <c r="F250" s="47">
        <f>[1]!BexGetData("DP_2","DL719O2RYNC0Y217V0FVT1R77","17","E","12041061E101","2067132021")</f>
        <v>0</v>
      </c>
      <c r="G250" s="48">
        <f>[1]!BexGetData("DP_2","DL719O2RYNEBZX0HTMQQ0BY0J","17","E","12041061E101","2067132021")</f>
        <v>0</v>
      </c>
      <c r="H250" s="48">
        <f>[1]!BexGetData("DP_2","DL719O2RYNGN1RZRS91K7M4TV","17","E","12041061E101","2067132021")</f>
        <v>0</v>
      </c>
      <c r="I250" s="48">
        <f>[1]!BexGetData("DP_2","DL719O2RYNIY3MZ1QVCEEWBN7","17","E","12041061E101","2067132021")</f>
        <v>0</v>
      </c>
    </row>
    <row r="251" spans="1:9" x14ac:dyDescent="0.2">
      <c r="A251" s="46" t="s">
        <v>32</v>
      </c>
      <c r="B251" s="46" t="s">
        <v>32</v>
      </c>
      <c r="C251" s="46" t="s">
        <v>32</v>
      </c>
      <c r="D251" s="46" t="s">
        <v>32</v>
      </c>
      <c r="E251" s="46" t="s">
        <v>32</v>
      </c>
      <c r="F251" s="47">
        <f>[1]!BexGetData("DP_2","DL719O2RYNC0Y217V0FVT1R77","17","E","12041061E101","2067134021")</f>
        <v>0</v>
      </c>
      <c r="G251" s="48">
        <f>[1]!BexGetData("DP_2","DL719O2RYNEBZX0HTMQQ0BY0J","17","E","12041061E101","2067134021")</f>
        <v>0</v>
      </c>
      <c r="H251" s="48">
        <f>[1]!BexGetData("DP_2","DL719O2RYNGN1RZRS91K7M4TV","17","E","12041061E101","2067134021")</f>
        <v>0</v>
      </c>
      <c r="I251" s="48">
        <f>[1]!BexGetData("DP_2","DL719O2RYNIY3MZ1QVCEEWBN7","17","E","12041061E101","2067134021")</f>
        <v>0</v>
      </c>
    </row>
    <row r="252" spans="1:9" x14ac:dyDescent="0.2">
      <c r="A252" s="46" t="s">
        <v>32</v>
      </c>
      <c r="B252" s="46" t="s">
        <v>32</v>
      </c>
      <c r="C252" s="46" t="s">
        <v>32</v>
      </c>
      <c r="D252" s="46" t="s">
        <v>32</v>
      </c>
      <c r="E252" s="46" t="s">
        <v>32</v>
      </c>
      <c r="F252" s="47">
        <f>[1]!BexGetData("DP_2","DL719O2RYNC0Y217V0FVT1R77","17","E","12041061E101","2067141011")</f>
        <v>0</v>
      </c>
      <c r="G252" s="48">
        <f>[1]!BexGetData("DP_2","DL719O2RYNEBZX0HTMQQ0BY0J","17","E","12041061E101","2067141011")</f>
        <v>0</v>
      </c>
      <c r="H252" s="48">
        <f>[1]!BexGetData("DP_2","DL719O2RYNGN1RZRS91K7M4TV","17","E","12041061E101","2067141011")</f>
        <v>0</v>
      </c>
      <c r="I252" s="48">
        <f>[1]!BexGetData("DP_2","DL719O2RYNIY3MZ1QVCEEWBN7","17","E","12041061E101","2067141011")</f>
        <v>0</v>
      </c>
    </row>
    <row r="253" spans="1:9" x14ac:dyDescent="0.2">
      <c r="A253" s="46" t="s">
        <v>32</v>
      </c>
      <c r="B253" s="46" t="s">
        <v>32</v>
      </c>
      <c r="C253" s="46" t="s">
        <v>32</v>
      </c>
      <c r="D253" s="46" t="s">
        <v>32</v>
      </c>
      <c r="E253" s="46" t="s">
        <v>32</v>
      </c>
      <c r="F253" s="47">
        <f>[1]!BexGetData("DP_2","DL719O2RYNC0Y217V0FVT1R77","17","E","12041061E101","2067141021")</f>
        <v>0</v>
      </c>
      <c r="G253" s="48">
        <f>[1]!BexGetData("DP_2","DL719O2RYNEBZX0HTMQQ0BY0J","17","E","12041061E101","2067141021")</f>
        <v>0</v>
      </c>
      <c r="H253" s="48">
        <f>[1]!BexGetData("DP_2","DL719O2RYNGN1RZRS91K7M4TV","17","E","12041061E101","2067141021")</f>
        <v>0</v>
      </c>
      <c r="I253" s="48">
        <f>[1]!BexGetData("DP_2","DL719O2RYNIY3MZ1QVCEEWBN7","17","E","12041061E101","2067141021")</f>
        <v>0</v>
      </c>
    </row>
    <row r="254" spans="1:9" x14ac:dyDescent="0.2">
      <c r="A254" s="46" t="s">
        <v>32</v>
      </c>
      <c r="B254" s="46" t="s">
        <v>32</v>
      </c>
      <c r="C254" s="46" t="s">
        <v>32</v>
      </c>
      <c r="D254" s="46" t="s">
        <v>32</v>
      </c>
      <c r="E254" s="46" t="s">
        <v>32</v>
      </c>
      <c r="F254" s="47">
        <f>[1]!BexGetData("DP_2","DL719O2RYNC0Y217V0FVT1R77","17","E","12041061E101","2067143011")</f>
        <v>0</v>
      </c>
      <c r="G254" s="48">
        <f>[1]!BexGetData("DP_2","DL719O2RYNEBZX0HTMQQ0BY0J","17","E","12041061E101","2067143011")</f>
        <v>0</v>
      </c>
      <c r="H254" s="48">
        <f>[1]!BexGetData("DP_2","DL719O2RYNGN1RZRS91K7M4TV","17","E","12041061E101","2067143011")</f>
        <v>0</v>
      </c>
      <c r="I254" s="48">
        <f>[1]!BexGetData("DP_2","DL719O2RYNIY3MZ1QVCEEWBN7","17","E","12041061E101","2067143011")</f>
        <v>0</v>
      </c>
    </row>
    <row r="255" spans="1:9" x14ac:dyDescent="0.2">
      <c r="A255" s="46" t="s">
        <v>32</v>
      </c>
      <c r="B255" s="46" t="s">
        <v>32</v>
      </c>
      <c r="C255" s="46" t="s">
        <v>32</v>
      </c>
      <c r="D255" s="46" t="s">
        <v>32</v>
      </c>
      <c r="E255" s="46" t="s">
        <v>32</v>
      </c>
      <c r="F255" s="47">
        <f>[1]!BexGetData("DP_2","DL719O2RYNC0Y217V0FVT1R77","17","E","12041061E101","2067151011")</f>
        <v>0</v>
      </c>
      <c r="G255" s="48">
        <f>[1]!BexGetData("DP_2","DL719O2RYNEBZX0HTMQQ0BY0J","17","E","12041061E101","2067151011")</f>
        <v>0</v>
      </c>
      <c r="H255" s="48">
        <f>[1]!BexGetData("DP_2","DL719O2RYNGN1RZRS91K7M4TV","17","E","12041061E101","2067151011")</f>
        <v>0</v>
      </c>
      <c r="I255" s="48">
        <f>[1]!BexGetData("DP_2","DL719O2RYNIY3MZ1QVCEEWBN7","17","E","12041061E101","2067151011")</f>
        <v>0</v>
      </c>
    </row>
    <row r="256" spans="1:9" x14ac:dyDescent="0.2">
      <c r="A256" s="46" t="s">
        <v>32</v>
      </c>
      <c r="B256" s="46" t="s">
        <v>32</v>
      </c>
      <c r="C256" s="46" t="s">
        <v>32</v>
      </c>
      <c r="D256" s="46" t="s">
        <v>32</v>
      </c>
      <c r="E256" s="46" t="s">
        <v>32</v>
      </c>
      <c r="F256" s="47">
        <f>[1]!BexGetData("DP_2","DL719O2RYNC0Y217V0FVT1R77","17","E","12041061E101","2067154011")</f>
        <v>0</v>
      </c>
      <c r="G256" s="48">
        <f>[1]!BexGetData("DP_2","DL719O2RYNEBZX0HTMQQ0BY0J","17","E","12041061E101","2067154011")</f>
        <v>0</v>
      </c>
      <c r="H256" s="48">
        <f>[1]!BexGetData("DP_2","DL719O2RYNGN1RZRS91K7M4TV","17","E","12041061E101","2067154011")</f>
        <v>0</v>
      </c>
      <c r="I256" s="48">
        <f>[1]!BexGetData("DP_2","DL719O2RYNIY3MZ1QVCEEWBN7","17","E","12041061E101","2067154011")</f>
        <v>0</v>
      </c>
    </row>
    <row r="257" spans="1:9" x14ac:dyDescent="0.2">
      <c r="A257" s="46" t="s">
        <v>32</v>
      </c>
      <c r="B257" s="46" t="s">
        <v>32</v>
      </c>
      <c r="C257" s="46" t="s">
        <v>32</v>
      </c>
      <c r="D257" s="46" t="s">
        <v>32</v>
      </c>
      <c r="E257" s="46" t="s">
        <v>32</v>
      </c>
      <c r="F257" s="47">
        <f>[1]!BexGetData("DP_2","DL719O2RYNC0Y217V0FVT1R77","17","E","12041061E101","2067211011")</f>
        <v>0</v>
      </c>
      <c r="G257" s="48">
        <f>[1]!BexGetData("DP_2","DL719O2RYNEBZX0HTMQQ0BY0J","17","E","12041061E101","2067211011")</f>
        <v>0</v>
      </c>
      <c r="H257" s="48">
        <f>[1]!BexGetData("DP_2","DL719O2RYNGN1RZRS91K7M4TV","17","E","12041061E101","2067211011")</f>
        <v>0</v>
      </c>
      <c r="I257" s="48">
        <f>[1]!BexGetData("DP_2","DL719O2RYNIY3MZ1QVCEEWBN7","17","E","12041061E101","2067211011")</f>
        <v>0</v>
      </c>
    </row>
    <row r="258" spans="1:9" x14ac:dyDescent="0.2">
      <c r="A258" s="46" t="s">
        <v>32</v>
      </c>
      <c r="B258" s="46" t="s">
        <v>32</v>
      </c>
      <c r="C258" s="46" t="s">
        <v>32</v>
      </c>
      <c r="D258" s="46" t="s">
        <v>32</v>
      </c>
      <c r="E258" s="46" t="s">
        <v>32</v>
      </c>
      <c r="F258" s="47">
        <f>[1]!BexGetData("DP_2","DL719O2RYNC0Y217V0FVT1R77","17","E","12041061E101","2067211021")</f>
        <v>0</v>
      </c>
      <c r="G258" s="48">
        <f>[1]!BexGetData("DP_2","DL719O2RYNEBZX0HTMQQ0BY0J","17","E","12041061E101","2067211021")</f>
        <v>0</v>
      </c>
      <c r="H258" s="48">
        <f>[1]!BexGetData("DP_2","DL719O2RYNGN1RZRS91K7M4TV","17","E","12041061E101","2067211021")</f>
        <v>0</v>
      </c>
      <c r="I258" s="48">
        <f>[1]!BexGetData("DP_2","DL719O2RYNIY3MZ1QVCEEWBN7","17","E","12041061E101","2067211021")</f>
        <v>0</v>
      </c>
    </row>
    <row r="259" spans="1:9" x14ac:dyDescent="0.2">
      <c r="A259" s="46" t="s">
        <v>32</v>
      </c>
      <c r="B259" s="46" t="s">
        <v>32</v>
      </c>
      <c r="C259" s="46" t="s">
        <v>32</v>
      </c>
      <c r="D259" s="46" t="s">
        <v>32</v>
      </c>
      <c r="E259" s="46" t="s">
        <v>32</v>
      </c>
      <c r="F259" s="47">
        <f>[1]!BexGetData("DP_2","DL719O2RYNC0Y217V0FVT1R77","17","E","12041061E101","2067214011")</f>
        <v>0</v>
      </c>
      <c r="G259" s="48">
        <f>[1]!BexGetData("DP_2","DL719O2RYNEBZX0HTMQQ0BY0J","17","E","12041061E101","2067214011")</f>
        <v>0</v>
      </c>
      <c r="H259" s="48">
        <f>[1]!BexGetData("DP_2","DL719O2RYNGN1RZRS91K7M4TV","17","E","12041061E101","2067214011")</f>
        <v>0</v>
      </c>
      <c r="I259" s="48">
        <f>[1]!BexGetData("DP_2","DL719O2RYNIY3MZ1QVCEEWBN7","17","E","12041061E101","2067214011")</f>
        <v>0</v>
      </c>
    </row>
    <row r="260" spans="1:9" x14ac:dyDescent="0.2">
      <c r="A260" s="46" t="s">
        <v>32</v>
      </c>
      <c r="B260" s="46" t="s">
        <v>32</v>
      </c>
      <c r="C260" s="46" t="s">
        <v>32</v>
      </c>
      <c r="D260" s="46" t="s">
        <v>32</v>
      </c>
      <c r="E260" s="46" t="s">
        <v>32</v>
      </c>
      <c r="F260" s="47">
        <f>[1]!BexGetData("DP_2","DL719O2RYNC0Y217V0FVT1R77","17","E","12041061E101","2067372021")</f>
        <v>0</v>
      </c>
      <c r="G260" s="48">
        <f>[1]!BexGetData("DP_2","DL719O2RYNEBZX0HTMQQ0BY0J","17","E","12041061E101","2067372021")</f>
        <v>0</v>
      </c>
      <c r="H260" s="48">
        <f>[1]!BexGetData("DP_2","DL719O2RYNGN1RZRS91K7M4TV","17","E","12041061E101","2067372021")</f>
        <v>0</v>
      </c>
      <c r="I260" s="48">
        <f>[1]!BexGetData("DP_2","DL719O2RYNIY3MZ1QVCEEWBN7","17","E","12041061E101","2067372021")</f>
        <v>0</v>
      </c>
    </row>
    <row r="261" spans="1:9" x14ac:dyDescent="0.2">
      <c r="A261" s="46" t="s">
        <v>32</v>
      </c>
      <c r="B261" s="46" t="s">
        <v>32</v>
      </c>
      <c r="C261" s="46" t="s">
        <v>86</v>
      </c>
      <c r="D261" s="46" t="s">
        <v>86</v>
      </c>
      <c r="E261" s="46" t="s">
        <v>32</v>
      </c>
      <c r="F261" s="47">
        <f>[1]!BexGetData("DP_2","DL719O2RYNC0Y217V0FVT1R77","17","E","13012121E209","2067113011")</f>
        <v>530070.02</v>
      </c>
      <c r="G261" s="48">
        <f>[1]!BexGetData("DP_2","DL719O2RYNEBZX0HTMQQ0BY0J","17","E","13012121E209","2067113011")</f>
        <v>530070.02</v>
      </c>
      <c r="H261" s="48">
        <f>[1]!BexGetData("DP_2","DL719O2RYNGN1RZRS91K7M4TV","17","E","13012121E209","2067113011")</f>
        <v>530070.02</v>
      </c>
      <c r="I261" s="48">
        <f>[1]!BexGetData("DP_2","DL719O2RYNIY3MZ1QVCEEWBN7","17","E","13012121E209","2067113011")</f>
        <v>0</v>
      </c>
    </row>
    <row r="262" spans="1:9" x14ac:dyDescent="0.2">
      <c r="A262" s="46" t="s">
        <v>32</v>
      </c>
      <c r="B262" s="46" t="s">
        <v>32</v>
      </c>
      <c r="C262" s="46" t="s">
        <v>32</v>
      </c>
      <c r="D262" s="46" t="s">
        <v>32</v>
      </c>
      <c r="E262" s="46" t="s">
        <v>32</v>
      </c>
      <c r="F262" s="47">
        <f>[1]!BexGetData("DP_2","DL719O2RYNC0Y217V0FVT1R77","17","E","13012121E209","2067113021")</f>
        <v>1925589.3</v>
      </c>
      <c r="G262" s="48">
        <f>[1]!BexGetData("DP_2","DL719O2RYNEBZX0HTMQQ0BY0J","17","E","13012121E209","2067113021")</f>
        <v>1925589.3</v>
      </c>
      <c r="H262" s="48">
        <f>[1]!BexGetData("DP_2","DL719O2RYNGN1RZRS91K7M4TV","17","E","13012121E209","2067113021")</f>
        <v>1925589.3</v>
      </c>
      <c r="I262" s="48">
        <f>[1]!BexGetData("DP_2","DL719O2RYNIY3MZ1QVCEEWBN7","17","E","13012121E209","2067113021")</f>
        <v>0</v>
      </c>
    </row>
    <row r="263" spans="1:9" x14ac:dyDescent="0.2">
      <c r="A263" s="46" t="s">
        <v>32</v>
      </c>
      <c r="B263" s="46" t="s">
        <v>32</v>
      </c>
      <c r="C263" s="46" t="s">
        <v>32</v>
      </c>
      <c r="D263" s="46" t="s">
        <v>32</v>
      </c>
      <c r="E263" s="46" t="s">
        <v>32</v>
      </c>
      <c r="F263" s="47">
        <f>[1]!BexGetData("DP_2","DL719O2RYNC0Y217V0FVT1R77","17","E","13012121E209","2067122011")</f>
        <v>3353173.32</v>
      </c>
      <c r="G263" s="48">
        <f>[1]!BexGetData("DP_2","DL719O2RYNEBZX0HTMQQ0BY0J","17","E","13012121E209","2067122011")</f>
        <v>3353173.32</v>
      </c>
      <c r="H263" s="48">
        <f>[1]!BexGetData("DP_2","DL719O2RYNGN1RZRS91K7M4TV","17","E","13012121E209","2067122011")</f>
        <v>3353173.32</v>
      </c>
      <c r="I263" s="48">
        <f>[1]!BexGetData("DP_2","DL719O2RYNIY3MZ1QVCEEWBN7","17","E","13012121E209","2067122011")</f>
        <v>1.0000000000000001E-9</v>
      </c>
    </row>
    <row r="264" spans="1:9" x14ac:dyDescent="0.2">
      <c r="A264" s="46" t="s">
        <v>32</v>
      </c>
      <c r="B264" s="46" t="s">
        <v>32</v>
      </c>
      <c r="C264" s="46" t="s">
        <v>32</v>
      </c>
      <c r="D264" s="46" t="s">
        <v>32</v>
      </c>
      <c r="E264" s="46" t="s">
        <v>32</v>
      </c>
      <c r="F264" s="47">
        <f>[1]!BexGetData("DP_2","DL719O2RYNC0Y217V0FVT1R77","17","E","13012121E209","2067131011")</f>
        <v>37105.42</v>
      </c>
      <c r="G264" s="48">
        <f>[1]!BexGetData("DP_2","DL719O2RYNEBZX0HTMQQ0BY0J","17","E","13012121E209","2067131011")</f>
        <v>37105.42</v>
      </c>
      <c r="H264" s="48">
        <f>[1]!BexGetData("DP_2","DL719O2RYNGN1RZRS91K7M4TV","17","E","13012121E209","2067131011")</f>
        <v>37105.42</v>
      </c>
      <c r="I264" s="48">
        <f>[1]!BexGetData("DP_2","DL719O2RYNIY3MZ1QVCEEWBN7","17","E","13012121E209","2067131011")</f>
        <v>0</v>
      </c>
    </row>
    <row r="265" spans="1:9" x14ac:dyDescent="0.2">
      <c r="A265" s="46" t="s">
        <v>32</v>
      </c>
      <c r="B265" s="46" t="s">
        <v>32</v>
      </c>
      <c r="C265" s="46" t="s">
        <v>32</v>
      </c>
      <c r="D265" s="46" t="s">
        <v>32</v>
      </c>
      <c r="E265" s="46" t="s">
        <v>32</v>
      </c>
      <c r="F265" s="47">
        <f>[1]!BexGetData("DP_2","DL719O2RYNC0Y217V0FVT1R77","17","E","13012121E209","2067131021")</f>
        <v>48419.44</v>
      </c>
      <c r="G265" s="48">
        <f>[1]!BexGetData("DP_2","DL719O2RYNEBZX0HTMQQ0BY0J","17","E","13012121E209","2067131021")</f>
        <v>48419.44</v>
      </c>
      <c r="H265" s="48">
        <f>[1]!BexGetData("DP_2","DL719O2RYNGN1RZRS91K7M4TV","17","E","13012121E209","2067131021")</f>
        <v>48419.44</v>
      </c>
      <c r="I265" s="48">
        <f>[1]!BexGetData("DP_2","DL719O2RYNIY3MZ1QVCEEWBN7","17","E","13012121E209","2067131021")</f>
        <v>0</v>
      </c>
    </row>
    <row r="266" spans="1:9" x14ac:dyDescent="0.2">
      <c r="A266" s="46" t="s">
        <v>32</v>
      </c>
      <c r="B266" s="46" t="s">
        <v>32</v>
      </c>
      <c r="C266" s="46" t="s">
        <v>32</v>
      </c>
      <c r="D266" s="46" t="s">
        <v>32</v>
      </c>
      <c r="E266" s="46" t="s">
        <v>32</v>
      </c>
      <c r="F266" s="47">
        <f>[1]!BexGetData("DP_2","DL719O2RYNC0Y217V0FVT1R77","17","E","13012121E209","2067132011")</f>
        <v>90904.68</v>
      </c>
      <c r="G266" s="48">
        <f>[1]!BexGetData("DP_2","DL719O2RYNEBZX0HTMQQ0BY0J","17","E","13012121E209","2067132011")</f>
        <v>90904.68</v>
      </c>
      <c r="H266" s="48">
        <f>[1]!BexGetData("DP_2","DL719O2RYNGN1RZRS91K7M4TV","17","E","13012121E209","2067132011")</f>
        <v>90904.68</v>
      </c>
      <c r="I266" s="48">
        <f>[1]!BexGetData("DP_2","DL719O2RYNIY3MZ1QVCEEWBN7","17","E","13012121E209","2067132011")</f>
        <v>0</v>
      </c>
    </row>
    <row r="267" spans="1:9" x14ac:dyDescent="0.2">
      <c r="A267" s="46" t="s">
        <v>32</v>
      </c>
      <c r="B267" s="46" t="s">
        <v>32</v>
      </c>
      <c r="C267" s="46" t="s">
        <v>32</v>
      </c>
      <c r="D267" s="46" t="s">
        <v>32</v>
      </c>
      <c r="E267" s="46" t="s">
        <v>32</v>
      </c>
      <c r="F267" s="47">
        <f>[1]!BexGetData("DP_2","DL719O2RYNC0Y217V0FVT1R77","17","E","13012121E209","2067132021")</f>
        <v>628114.76</v>
      </c>
      <c r="G267" s="48">
        <f>[1]!BexGetData("DP_2","DL719O2RYNEBZX0HTMQQ0BY0J","17","E","13012121E209","2067132021")</f>
        <v>628114.76</v>
      </c>
      <c r="H267" s="48">
        <f>[1]!BexGetData("DP_2","DL719O2RYNGN1RZRS91K7M4TV","17","E","13012121E209","2067132021")</f>
        <v>628114.76</v>
      </c>
      <c r="I267" s="48">
        <f>[1]!BexGetData("DP_2","DL719O2RYNIY3MZ1QVCEEWBN7","17","E","13012121E209","2067132021")</f>
        <v>0</v>
      </c>
    </row>
    <row r="268" spans="1:9" x14ac:dyDescent="0.2">
      <c r="A268" s="46" t="s">
        <v>32</v>
      </c>
      <c r="B268" s="46" t="s">
        <v>32</v>
      </c>
      <c r="C268" s="46" t="s">
        <v>32</v>
      </c>
      <c r="D268" s="46" t="s">
        <v>32</v>
      </c>
      <c r="E268" s="46" t="s">
        <v>32</v>
      </c>
      <c r="F268" s="47">
        <f>[1]!BexGetData("DP_2","DL719O2RYNC0Y217V0FVT1R77","17","E","13012121E209","2067134011")</f>
        <v>8783068.0800000001</v>
      </c>
      <c r="G268" s="48">
        <f>[1]!BexGetData("DP_2","DL719O2RYNEBZX0HTMQQ0BY0J","17","E","13012121E209","2067134011")</f>
        <v>8783068.0800000001</v>
      </c>
      <c r="H268" s="48">
        <f>[1]!BexGetData("DP_2","DL719O2RYNGN1RZRS91K7M4TV","17","E","13012121E209","2067134011")</f>
        <v>8818276.9100000001</v>
      </c>
      <c r="I268" s="48">
        <f>[1]!BexGetData("DP_2","DL719O2RYNIY3MZ1QVCEEWBN7","17","E","13012121E209","2067134011")</f>
        <v>2.0000000000000001E-9</v>
      </c>
    </row>
    <row r="269" spans="1:9" x14ac:dyDescent="0.2">
      <c r="A269" s="46" t="s">
        <v>32</v>
      </c>
      <c r="B269" s="46" t="s">
        <v>32</v>
      </c>
      <c r="C269" s="46" t="s">
        <v>32</v>
      </c>
      <c r="D269" s="46" t="s">
        <v>32</v>
      </c>
      <c r="E269" s="46" t="s">
        <v>32</v>
      </c>
      <c r="F269" s="47">
        <f>[1]!BexGetData("DP_2","DL719O2RYNC0Y217V0FVT1R77","17","E","13012121E209","2067134021")</f>
        <v>2532114.4700000002</v>
      </c>
      <c r="G269" s="48">
        <f>[1]!BexGetData("DP_2","DL719O2RYNEBZX0HTMQQ0BY0J","17","E","13012121E209","2067134021")</f>
        <v>2532114.4700000002</v>
      </c>
      <c r="H269" s="48">
        <f>[1]!BexGetData("DP_2","DL719O2RYNGN1RZRS91K7M4TV","17","E","13012121E209","2067134021")</f>
        <v>2532114.4700000002</v>
      </c>
      <c r="I269" s="48">
        <f>[1]!BexGetData("DP_2","DL719O2RYNIY3MZ1QVCEEWBN7","17","E","13012121E209","2067134021")</f>
        <v>0</v>
      </c>
    </row>
    <row r="270" spans="1:9" x14ac:dyDescent="0.2">
      <c r="A270" s="46" t="s">
        <v>32</v>
      </c>
      <c r="B270" s="46" t="s">
        <v>32</v>
      </c>
      <c r="C270" s="46" t="s">
        <v>32</v>
      </c>
      <c r="D270" s="46" t="s">
        <v>32</v>
      </c>
      <c r="E270" s="46" t="s">
        <v>32</v>
      </c>
      <c r="F270" s="47">
        <f>[1]!BexGetData("DP_2","DL719O2RYNC0Y217V0FVT1R77","17","E","13012121E209","2067141011")</f>
        <v>912351.13</v>
      </c>
      <c r="G270" s="48">
        <f>[1]!BexGetData("DP_2","DL719O2RYNEBZX0HTMQQ0BY0J","17","E","13012121E209","2067141011")</f>
        <v>912351.13</v>
      </c>
      <c r="H270" s="48">
        <f>[1]!BexGetData("DP_2","DL719O2RYNGN1RZRS91K7M4TV","17","E","13012121E209","2067141011")</f>
        <v>912351.13</v>
      </c>
      <c r="I270" s="48">
        <f>[1]!BexGetData("DP_2","DL719O2RYNIY3MZ1QVCEEWBN7","17","E","13012121E209","2067141011")</f>
        <v>0</v>
      </c>
    </row>
    <row r="271" spans="1:9" x14ac:dyDescent="0.2">
      <c r="A271" s="46" t="s">
        <v>32</v>
      </c>
      <c r="B271" s="46" t="s">
        <v>32</v>
      </c>
      <c r="C271" s="46" t="s">
        <v>32</v>
      </c>
      <c r="D271" s="46" t="s">
        <v>32</v>
      </c>
      <c r="E271" s="46" t="s">
        <v>32</v>
      </c>
      <c r="F271" s="47">
        <f>[1]!BexGetData("DP_2","DL719O2RYNC0Y217V0FVT1R77","17","E","13012121E209","2067141021")</f>
        <v>291963.33</v>
      </c>
      <c r="G271" s="48">
        <f>[1]!BexGetData("DP_2","DL719O2RYNEBZX0HTMQQ0BY0J","17","E","13012121E209","2067141021")</f>
        <v>291963.33</v>
      </c>
      <c r="H271" s="48">
        <f>[1]!BexGetData("DP_2","DL719O2RYNGN1RZRS91K7M4TV","17","E","13012121E209","2067141021")</f>
        <v>291963.33</v>
      </c>
      <c r="I271" s="48">
        <f>[1]!BexGetData("DP_2","DL719O2RYNIY3MZ1QVCEEWBN7","17","E","13012121E209","2067141021")</f>
        <v>0</v>
      </c>
    </row>
    <row r="272" spans="1:9" x14ac:dyDescent="0.2">
      <c r="A272" s="46" t="s">
        <v>32</v>
      </c>
      <c r="B272" s="46" t="s">
        <v>32</v>
      </c>
      <c r="C272" s="46" t="s">
        <v>32</v>
      </c>
      <c r="D272" s="46" t="s">
        <v>32</v>
      </c>
      <c r="E272" s="46" t="s">
        <v>32</v>
      </c>
      <c r="F272" s="47">
        <f>[1]!BexGetData("DP_2","DL719O2RYNC0Y217V0FVT1R77","17","E","13012121E209","2067143011")</f>
        <v>137146.12</v>
      </c>
      <c r="G272" s="48">
        <f>[1]!BexGetData("DP_2","DL719O2RYNEBZX0HTMQQ0BY0J","17","E","13012121E209","2067143011")</f>
        <v>137146.12</v>
      </c>
      <c r="H272" s="48">
        <f>[1]!BexGetData("DP_2","DL719O2RYNGN1RZRS91K7M4TV","17","E","13012121E209","2067143011")</f>
        <v>137146.12</v>
      </c>
      <c r="I272" s="48">
        <f>[1]!BexGetData("DP_2","DL719O2RYNIY3MZ1QVCEEWBN7","17","E","13012121E209","2067143011")</f>
        <v>0</v>
      </c>
    </row>
    <row r="273" spans="1:9" x14ac:dyDescent="0.2">
      <c r="A273" s="46" t="s">
        <v>32</v>
      </c>
      <c r="B273" s="46" t="s">
        <v>32</v>
      </c>
      <c r="C273" s="46" t="s">
        <v>32</v>
      </c>
      <c r="D273" s="46" t="s">
        <v>32</v>
      </c>
      <c r="E273" s="46" t="s">
        <v>32</v>
      </c>
      <c r="F273" s="47">
        <f>[1]!BexGetData("DP_2","DL719O2RYNC0Y217V0FVT1R77","17","E","13012121E209","2067151011")</f>
        <v>282512.64000000001</v>
      </c>
      <c r="G273" s="48">
        <f>[1]!BexGetData("DP_2","DL719O2RYNEBZX0HTMQQ0BY0J","17","E","13012121E209","2067151011")</f>
        <v>282512.64000000001</v>
      </c>
      <c r="H273" s="48">
        <f>[1]!BexGetData("DP_2","DL719O2RYNGN1RZRS91K7M4TV","17","E","13012121E209","2067151011")</f>
        <v>282512.64000000001</v>
      </c>
      <c r="I273" s="48">
        <f>[1]!BexGetData("DP_2","DL719O2RYNIY3MZ1QVCEEWBN7","17","E","13012121E209","2067151011")</f>
        <v>0</v>
      </c>
    </row>
    <row r="274" spans="1:9" x14ac:dyDescent="0.2">
      <c r="A274" s="46" t="s">
        <v>32</v>
      </c>
      <c r="B274" s="46" t="s">
        <v>32</v>
      </c>
      <c r="C274" s="46" t="s">
        <v>32</v>
      </c>
      <c r="D274" s="46" t="s">
        <v>32</v>
      </c>
      <c r="E274" s="46" t="s">
        <v>32</v>
      </c>
      <c r="F274" s="47">
        <f>[1]!BexGetData("DP_2","DL719O2RYNC0Y217V0FVT1R77","17","E","13012121E209","2067154011")</f>
        <v>882077.35</v>
      </c>
      <c r="G274" s="48">
        <f>[1]!BexGetData("DP_2","DL719O2RYNEBZX0HTMQQ0BY0J","17","E","13012121E209","2067154011")</f>
        <v>882077.35</v>
      </c>
      <c r="H274" s="48">
        <f>[1]!BexGetData("DP_2","DL719O2RYNGN1RZRS91K7M4TV","17","E","13012121E209","2067154011")</f>
        <v>880127.35</v>
      </c>
      <c r="I274" s="48">
        <f>[1]!BexGetData("DP_2","DL719O2RYNIY3MZ1QVCEEWBN7","17","E","13012121E209","2067154011")</f>
        <v>0</v>
      </c>
    </row>
    <row r="275" spans="1:9" x14ac:dyDescent="0.2">
      <c r="A275" s="46" t="s">
        <v>32</v>
      </c>
      <c r="B275" s="46" t="s">
        <v>32</v>
      </c>
      <c r="C275" s="46" t="s">
        <v>32</v>
      </c>
      <c r="D275" s="46" t="s">
        <v>32</v>
      </c>
      <c r="E275" s="46" t="s">
        <v>32</v>
      </c>
      <c r="F275" s="47">
        <f>[1]!BexGetData("DP_2","DL719O2RYNC0Y217V0FVT1R77","17","E","13012121E209","2067211011")</f>
        <v>37942.699999999997</v>
      </c>
      <c r="G275" s="48">
        <f>[1]!BexGetData("DP_2","DL719O2RYNEBZX0HTMQQ0BY0J","17","E","13012121E209","2067211011")</f>
        <v>37942.699999999997</v>
      </c>
      <c r="H275" s="48">
        <f>[1]!BexGetData("DP_2","DL719O2RYNGN1RZRS91K7M4TV","17","E","13012121E209","2067211011")</f>
        <v>37942.699999999997</v>
      </c>
      <c r="I275" s="48">
        <f>[1]!BexGetData("DP_2","DL719O2RYNIY3MZ1QVCEEWBN7","17","E","13012121E209","2067211011")</f>
        <v>0</v>
      </c>
    </row>
    <row r="276" spans="1:9" x14ac:dyDescent="0.2">
      <c r="A276" s="46" t="s">
        <v>32</v>
      </c>
      <c r="B276" s="46" t="s">
        <v>32</v>
      </c>
      <c r="C276" s="46" t="s">
        <v>32</v>
      </c>
      <c r="D276" s="46" t="s">
        <v>32</v>
      </c>
      <c r="E276" s="46" t="s">
        <v>32</v>
      </c>
      <c r="F276" s="47">
        <f>[1]!BexGetData("DP_2","DL719O2RYNC0Y217V0FVT1R77","17","E","13012121E209","2067211021")</f>
        <v>18319.689999999999</v>
      </c>
      <c r="G276" s="48">
        <f>[1]!BexGetData("DP_2","DL719O2RYNEBZX0HTMQQ0BY0J","17","E","13012121E209","2067211021")</f>
        <v>18319.689999999999</v>
      </c>
      <c r="H276" s="48">
        <f>[1]!BexGetData("DP_2","DL719O2RYNGN1RZRS91K7M4TV","17","E","13012121E209","2067211021")</f>
        <v>13981.08</v>
      </c>
      <c r="I276" s="48">
        <f>[1]!BexGetData("DP_2","DL719O2RYNIY3MZ1QVCEEWBN7","17","E","13012121E209","2067211021")</f>
        <v>0</v>
      </c>
    </row>
    <row r="277" spans="1:9" x14ac:dyDescent="0.2">
      <c r="A277" s="46" t="s">
        <v>32</v>
      </c>
      <c r="B277" s="46" t="s">
        <v>32</v>
      </c>
      <c r="C277" s="46" t="s">
        <v>32</v>
      </c>
      <c r="D277" s="46" t="s">
        <v>32</v>
      </c>
      <c r="E277" s="46" t="s">
        <v>32</v>
      </c>
      <c r="F277" s="47">
        <f>[1]!BexGetData("DP_2","DL719O2RYNC0Y217V0FVT1R77","17","E","13012121E209","2067211031")</f>
        <v>390.21</v>
      </c>
      <c r="G277" s="48">
        <f>[1]!BexGetData("DP_2","DL719O2RYNEBZX0HTMQQ0BY0J","17","E","13012121E209","2067211031")</f>
        <v>390.21</v>
      </c>
      <c r="H277" s="48">
        <f>[1]!BexGetData("DP_2","DL719O2RYNGN1RZRS91K7M4TV","17","E","13012121E209","2067211031")</f>
        <v>390.21</v>
      </c>
      <c r="I277" s="48">
        <f>[1]!BexGetData("DP_2","DL719O2RYNIY3MZ1QVCEEWBN7","17","E","13012121E209","2067211031")</f>
        <v>0</v>
      </c>
    </row>
    <row r="278" spans="1:9" x14ac:dyDescent="0.2">
      <c r="A278" s="46" t="s">
        <v>32</v>
      </c>
      <c r="B278" s="46" t="s">
        <v>32</v>
      </c>
      <c r="C278" s="46" t="s">
        <v>32</v>
      </c>
      <c r="D278" s="46" t="s">
        <v>32</v>
      </c>
      <c r="E278" s="46" t="s">
        <v>32</v>
      </c>
      <c r="F278" s="47">
        <f>[1]!BexGetData("DP_2","DL719O2RYNC0Y217V0FVT1R77","17","E","13012121E209","2067212011")</f>
        <v>75.52</v>
      </c>
      <c r="G278" s="48">
        <f>[1]!BexGetData("DP_2","DL719O2RYNEBZX0HTMQQ0BY0J","17","E","13012121E209","2067212011")</f>
        <v>75.52</v>
      </c>
      <c r="H278" s="48">
        <f>[1]!BexGetData("DP_2","DL719O2RYNGN1RZRS91K7M4TV","17","E","13012121E209","2067212011")</f>
        <v>75.52</v>
      </c>
      <c r="I278" s="48">
        <f>[1]!BexGetData("DP_2","DL719O2RYNIY3MZ1QVCEEWBN7","17","E","13012121E209","2067212011")</f>
        <v>0</v>
      </c>
    </row>
    <row r="279" spans="1:9" x14ac:dyDescent="0.2">
      <c r="A279" s="46" t="s">
        <v>32</v>
      </c>
      <c r="B279" s="46" t="s">
        <v>32</v>
      </c>
      <c r="C279" s="46" t="s">
        <v>32</v>
      </c>
      <c r="D279" s="46" t="s">
        <v>32</v>
      </c>
      <c r="E279" s="46" t="s">
        <v>32</v>
      </c>
      <c r="F279" s="47">
        <f>[1]!BexGetData("DP_2","DL719O2RYNC0Y217V0FVT1R77","17","E","13012121E209","2067212021")</f>
        <v>15860.16</v>
      </c>
      <c r="G279" s="48">
        <f>[1]!BexGetData("DP_2","DL719O2RYNEBZX0HTMQQ0BY0J","17","E","13012121E209","2067212021")</f>
        <v>15860.16</v>
      </c>
      <c r="H279" s="48">
        <f>[1]!BexGetData("DP_2","DL719O2RYNGN1RZRS91K7M4TV","17","E","13012121E209","2067212021")</f>
        <v>10500.17</v>
      </c>
      <c r="I279" s="48">
        <f>[1]!BexGetData("DP_2","DL719O2RYNIY3MZ1QVCEEWBN7","17","E","13012121E209","2067212021")</f>
        <v>0</v>
      </c>
    </row>
    <row r="280" spans="1:9" x14ac:dyDescent="0.2">
      <c r="A280" s="46" t="s">
        <v>32</v>
      </c>
      <c r="B280" s="46" t="s">
        <v>32</v>
      </c>
      <c r="C280" s="46" t="s">
        <v>32</v>
      </c>
      <c r="D280" s="46" t="s">
        <v>32</v>
      </c>
      <c r="E280" s="46" t="s">
        <v>32</v>
      </c>
      <c r="F280" s="47">
        <f>[1]!BexGetData("DP_2","DL719O2RYNC0Y217V0FVT1R77","17","E","13012121E209","2067214011")</f>
        <v>49105.1</v>
      </c>
      <c r="G280" s="48">
        <f>[1]!BexGetData("DP_2","DL719O2RYNEBZX0HTMQQ0BY0J","17","E","13012121E209","2067214011")</f>
        <v>49105.1</v>
      </c>
      <c r="H280" s="48">
        <f>[1]!BexGetData("DP_2","DL719O2RYNGN1RZRS91K7M4TV","17","E","13012121E209","2067214011")</f>
        <v>36195.589999999997</v>
      </c>
      <c r="I280" s="48">
        <f>[1]!BexGetData("DP_2","DL719O2RYNIY3MZ1QVCEEWBN7","17","E","13012121E209","2067214011")</f>
        <v>0</v>
      </c>
    </row>
    <row r="281" spans="1:9" x14ac:dyDescent="0.2">
      <c r="A281" s="46" t="s">
        <v>32</v>
      </c>
      <c r="B281" s="46" t="s">
        <v>32</v>
      </c>
      <c r="C281" s="46" t="s">
        <v>32</v>
      </c>
      <c r="D281" s="46" t="s">
        <v>32</v>
      </c>
      <c r="E281" s="46" t="s">
        <v>32</v>
      </c>
      <c r="F281" s="47">
        <f>[1]!BexGetData("DP_2","DL719O2RYNC0Y217V0FVT1R77","17","E","13012121E209","2067214021")</f>
        <v>7901.95</v>
      </c>
      <c r="G281" s="48">
        <f>[1]!BexGetData("DP_2","DL719O2RYNEBZX0HTMQQ0BY0J","17","E","13012121E209","2067214021")</f>
        <v>7901.95</v>
      </c>
      <c r="H281" s="48">
        <f>[1]!BexGetData("DP_2","DL719O2RYNGN1RZRS91K7M4TV","17","E","13012121E209","2067214021")</f>
        <v>4537.95</v>
      </c>
      <c r="I281" s="48">
        <f>[1]!BexGetData("DP_2","DL719O2RYNIY3MZ1QVCEEWBN7","17","E","13012121E209","2067214021")</f>
        <v>0</v>
      </c>
    </row>
    <row r="282" spans="1:9" x14ac:dyDescent="0.2">
      <c r="A282" s="46" t="s">
        <v>32</v>
      </c>
      <c r="B282" s="46" t="s">
        <v>32</v>
      </c>
      <c r="C282" s="46" t="s">
        <v>32</v>
      </c>
      <c r="D282" s="46" t="s">
        <v>32</v>
      </c>
      <c r="E282" s="46" t="s">
        <v>32</v>
      </c>
      <c r="F282" s="47">
        <f>[1]!BexGetData("DP_2","DL719O2RYNC0Y217V0FVT1R77","17","E","13012121E209","2067214031")</f>
        <v>1661</v>
      </c>
      <c r="G282" s="48">
        <f>[1]!BexGetData("DP_2","DL719O2RYNEBZX0HTMQQ0BY0J","17","E","13012121E209","2067214031")</f>
        <v>1661</v>
      </c>
      <c r="H282" s="48">
        <f>[1]!BexGetData("DP_2","DL719O2RYNGN1RZRS91K7M4TV","17","E","13012121E209","2067214031")</f>
        <v>1661</v>
      </c>
      <c r="I282" s="48">
        <f>[1]!BexGetData("DP_2","DL719O2RYNIY3MZ1QVCEEWBN7","17","E","13012121E209","2067214031")</f>
        <v>0</v>
      </c>
    </row>
    <row r="283" spans="1:9" x14ac:dyDescent="0.2">
      <c r="A283" s="46" t="s">
        <v>32</v>
      </c>
      <c r="B283" s="46" t="s">
        <v>32</v>
      </c>
      <c r="C283" s="46" t="s">
        <v>32</v>
      </c>
      <c r="D283" s="46" t="s">
        <v>32</v>
      </c>
      <c r="E283" s="46" t="s">
        <v>32</v>
      </c>
      <c r="F283" s="47">
        <f>[1]!BexGetData("DP_2","DL719O2RYNC0Y217V0FVT1R77","17","E","13012121E209","2067215021")</f>
        <v>56840</v>
      </c>
      <c r="G283" s="48">
        <f>[1]!BexGetData("DP_2","DL719O2RYNEBZX0HTMQQ0BY0J","17","E","13012121E209","2067215021")</f>
        <v>56840</v>
      </c>
      <c r="H283" s="48">
        <f>[1]!BexGetData("DP_2","DL719O2RYNGN1RZRS91K7M4TV","17","E","13012121E209","2067215021")</f>
        <v>0</v>
      </c>
      <c r="I283" s="48">
        <f>[1]!BexGetData("DP_2","DL719O2RYNIY3MZ1QVCEEWBN7","17","E","13012121E209","2067215021")</f>
        <v>0</v>
      </c>
    </row>
    <row r="284" spans="1:9" x14ac:dyDescent="0.2">
      <c r="A284" s="46" t="s">
        <v>32</v>
      </c>
      <c r="B284" s="46" t="s">
        <v>32</v>
      </c>
      <c r="C284" s="46" t="s">
        <v>32</v>
      </c>
      <c r="D284" s="46" t="s">
        <v>32</v>
      </c>
      <c r="E284" s="46" t="s">
        <v>32</v>
      </c>
      <c r="F284" s="47">
        <f>[1]!BexGetData("DP_2","DL719O2RYNC0Y217V0FVT1R77","17","E","13012121E209","2067216011")</f>
        <v>4523.9799999999996</v>
      </c>
      <c r="G284" s="48">
        <f>[1]!BexGetData("DP_2","DL719O2RYNEBZX0HTMQQ0BY0J","17","E","13012121E209","2067216011")</f>
        <v>4523.9799999999996</v>
      </c>
      <c r="H284" s="48">
        <f>[1]!BexGetData("DP_2","DL719O2RYNGN1RZRS91K7M4TV","17","E","13012121E209","2067216011")</f>
        <v>4523.9799999999996</v>
      </c>
      <c r="I284" s="48">
        <f>[1]!BexGetData("DP_2","DL719O2RYNIY3MZ1QVCEEWBN7","17","E","13012121E209","2067216011")</f>
        <v>0</v>
      </c>
    </row>
    <row r="285" spans="1:9" x14ac:dyDescent="0.2">
      <c r="A285" s="46" t="s">
        <v>32</v>
      </c>
      <c r="B285" s="46" t="s">
        <v>32</v>
      </c>
      <c r="C285" s="46" t="s">
        <v>32</v>
      </c>
      <c r="D285" s="46" t="s">
        <v>32</v>
      </c>
      <c r="E285" s="46" t="s">
        <v>32</v>
      </c>
      <c r="F285" s="47">
        <f>[1]!BexGetData("DP_2","DL719O2RYNC0Y217V0FVT1R77","17","E","13012121E209","2067217011")</f>
        <v>2233.31</v>
      </c>
      <c r="G285" s="48">
        <f>[1]!BexGetData("DP_2","DL719O2RYNEBZX0HTMQQ0BY0J","17","E","13012121E209","2067217011")</f>
        <v>2233.31</v>
      </c>
      <c r="H285" s="48">
        <f>[1]!BexGetData("DP_2","DL719O2RYNGN1RZRS91K7M4TV","17","E","13012121E209","2067217011")</f>
        <v>2233.31</v>
      </c>
      <c r="I285" s="48">
        <f>[1]!BexGetData("DP_2","DL719O2RYNIY3MZ1QVCEEWBN7","17","E","13012121E209","2067217011")</f>
        <v>0</v>
      </c>
    </row>
    <row r="286" spans="1:9" x14ac:dyDescent="0.2">
      <c r="A286" s="46" t="s">
        <v>32</v>
      </c>
      <c r="B286" s="46" t="s">
        <v>32</v>
      </c>
      <c r="C286" s="46" t="s">
        <v>32</v>
      </c>
      <c r="D286" s="46" t="s">
        <v>32</v>
      </c>
      <c r="E286" s="46" t="s">
        <v>32</v>
      </c>
      <c r="F286" s="47">
        <f>[1]!BexGetData("DP_2","DL719O2RYNC0Y217V0FVT1R77","17","E","13012121E209","2067221011")</f>
        <v>30924.33</v>
      </c>
      <c r="G286" s="48">
        <f>[1]!BexGetData("DP_2","DL719O2RYNEBZX0HTMQQ0BY0J","17","E","13012121E209","2067221011")</f>
        <v>30924.33</v>
      </c>
      <c r="H286" s="48">
        <f>[1]!BexGetData("DP_2","DL719O2RYNGN1RZRS91K7M4TV","17","E","13012121E209","2067221011")</f>
        <v>30924.33</v>
      </c>
      <c r="I286" s="48">
        <f>[1]!BexGetData("DP_2","DL719O2RYNIY3MZ1QVCEEWBN7","17","E","13012121E209","2067221011")</f>
        <v>0</v>
      </c>
    </row>
    <row r="287" spans="1:9" x14ac:dyDescent="0.2">
      <c r="A287" s="46" t="s">
        <v>32</v>
      </c>
      <c r="B287" s="46" t="s">
        <v>32</v>
      </c>
      <c r="C287" s="46" t="s">
        <v>32</v>
      </c>
      <c r="D287" s="46" t="s">
        <v>32</v>
      </c>
      <c r="E287" s="46" t="s">
        <v>32</v>
      </c>
      <c r="F287" s="47">
        <f>[1]!BexGetData("DP_2","DL719O2RYNC0Y217V0FVT1R77","17","E","13012121E209","2067221021")</f>
        <v>15427.71</v>
      </c>
      <c r="G287" s="48">
        <f>[1]!BexGetData("DP_2","DL719O2RYNEBZX0HTMQQ0BY0J","17","E","13012121E209","2067221021")</f>
        <v>15427.71</v>
      </c>
      <c r="H287" s="48">
        <f>[1]!BexGetData("DP_2","DL719O2RYNGN1RZRS91K7M4TV","17","E","13012121E209","2067221021")</f>
        <v>15427.71</v>
      </c>
      <c r="I287" s="48">
        <f>[1]!BexGetData("DP_2","DL719O2RYNIY3MZ1QVCEEWBN7","17","E","13012121E209","2067221021")</f>
        <v>0</v>
      </c>
    </row>
    <row r="288" spans="1:9" x14ac:dyDescent="0.2">
      <c r="A288" s="46" t="s">
        <v>32</v>
      </c>
      <c r="B288" s="46" t="s">
        <v>32</v>
      </c>
      <c r="C288" s="46" t="s">
        <v>32</v>
      </c>
      <c r="D288" s="46" t="s">
        <v>32</v>
      </c>
      <c r="E288" s="46" t="s">
        <v>32</v>
      </c>
      <c r="F288" s="47">
        <f>[1]!BexGetData("DP_2","DL719O2RYNC0Y217V0FVT1R77","17","E","13012121E209","2067221031")</f>
        <v>938</v>
      </c>
      <c r="G288" s="48">
        <f>[1]!BexGetData("DP_2","DL719O2RYNEBZX0HTMQQ0BY0J","17","E","13012121E209","2067221031")</f>
        <v>938</v>
      </c>
      <c r="H288" s="48">
        <f>[1]!BexGetData("DP_2","DL719O2RYNGN1RZRS91K7M4TV","17","E","13012121E209","2067221031")</f>
        <v>938</v>
      </c>
      <c r="I288" s="48">
        <f>[1]!BexGetData("DP_2","DL719O2RYNIY3MZ1QVCEEWBN7","17","E","13012121E209","2067221031")</f>
        <v>0</v>
      </c>
    </row>
    <row r="289" spans="1:9" x14ac:dyDescent="0.2">
      <c r="A289" s="46" t="s">
        <v>32</v>
      </c>
      <c r="B289" s="46" t="s">
        <v>32</v>
      </c>
      <c r="C289" s="46" t="s">
        <v>32</v>
      </c>
      <c r="D289" s="46" t="s">
        <v>32</v>
      </c>
      <c r="E289" s="46" t="s">
        <v>32</v>
      </c>
      <c r="F289" s="47">
        <f>[1]!BexGetData("DP_2","DL719O2RYNC0Y217V0FVT1R77","17","E","13012121E209","2067223011")</f>
        <v>2039.8</v>
      </c>
      <c r="G289" s="48">
        <f>[1]!BexGetData("DP_2","DL719O2RYNEBZX0HTMQQ0BY0J","17","E","13012121E209","2067223011")</f>
        <v>2039.8</v>
      </c>
      <c r="H289" s="48">
        <f>[1]!BexGetData("DP_2","DL719O2RYNGN1RZRS91K7M4TV","17","E","13012121E209","2067223011")</f>
        <v>2039.8</v>
      </c>
      <c r="I289" s="48">
        <f>[1]!BexGetData("DP_2","DL719O2RYNIY3MZ1QVCEEWBN7","17","E","13012121E209","2067223011")</f>
        <v>0</v>
      </c>
    </row>
    <row r="290" spans="1:9" x14ac:dyDescent="0.2">
      <c r="A290" s="46" t="s">
        <v>32</v>
      </c>
      <c r="B290" s="46" t="s">
        <v>32</v>
      </c>
      <c r="C290" s="46" t="s">
        <v>32</v>
      </c>
      <c r="D290" s="46" t="s">
        <v>32</v>
      </c>
      <c r="E290" s="46" t="s">
        <v>32</v>
      </c>
      <c r="F290" s="47">
        <f>[1]!BexGetData("DP_2","DL719O2RYNC0Y217V0FVT1R77","17","E","13012121E209","2067244011")</f>
        <v>199.01</v>
      </c>
      <c r="G290" s="48">
        <f>[1]!BexGetData("DP_2","DL719O2RYNEBZX0HTMQQ0BY0J","17","E","13012121E209","2067244011")</f>
        <v>199.01</v>
      </c>
      <c r="H290" s="48">
        <f>[1]!BexGetData("DP_2","DL719O2RYNGN1RZRS91K7M4TV","17","E","13012121E209","2067244011")</f>
        <v>199.01</v>
      </c>
      <c r="I290" s="48">
        <f>[1]!BexGetData("DP_2","DL719O2RYNIY3MZ1QVCEEWBN7","17","E","13012121E209","2067244011")</f>
        <v>0</v>
      </c>
    </row>
    <row r="291" spans="1:9" x14ac:dyDescent="0.2">
      <c r="A291" s="46" t="s">
        <v>32</v>
      </c>
      <c r="B291" s="46" t="s">
        <v>32</v>
      </c>
      <c r="C291" s="46" t="s">
        <v>32</v>
      </c>
      <c r="D291" s="46" t="s">
        <v>32</v>
      </c>
      <c r="E291" s="46" t="s">
        <v>32</v>
      </c>
      <c r="F291" s="47">
        <f>[1]!BexGetData("DP_2","DL719O2RYNC0Y217V0FVT1R77","17","E","13012121E209","2067245011")</f>
        <v>300</v>
      </c>
      <c r="G291" s="48">
        <f>[1]!BexGetData("DP_2","DL719O2RYNEBZX0HTMQQ0BY0J","17","E","13012121E209","2067245011")</f>
        <v>300</v>
      </c>
      <c r="H291" s="48">
        <f>[1]!BexGetData("DP_2","DL719O2RYNGN1RZRS91K7M4TV","17","E","13012121E209","2067245011")</f>
        <v>300</v>
      </c>
      <c r="I291" s="48">
        <f>[1]!BexGetData("DP_2","DL719O2RYNIY3MZ1QVCEEWBN7","17","E","13012121E209","2067245011")</f>
        <v>0</v>
      </c>
    </row>
    <row r="292" spans="1:9" x14ac:dyDescent="0.2">
      <c r="A292" s="46" t="s">
        <v>32</v>
      </c>
      <c r="B292" s="46" t="s">
        <v>32</v>
      </c>
      <c r="C292" s="46" t="s">
        <v>32</v>
      </c>
      <c r="D292" s="46" t="s">
        <v>32</v>
      </c>
      <c r="E292" s="46" t="s">
        <v>32</v>
      </c>
      <c r="F292" s="47">
        <f>[1]!BexGetData("DP_2","DL719O2RYNC0Y217V0FVT1R77","17","E","13012121E209","2067246011")</f>
        <v>4333.07</v>
      </c>
      <c r="G292" s="48">
        <f>[1]!BexGetData("DP_2","DL719O2RYNEBZX0HTMQQ0BY0J","17","E","13012121E209","2067246011")</f>
        <v>4333.07</v>
      </c>
      <c r="H292" s="48">
        <f>[1]!BexGetData("DP_2","DL719O2RYNGN1RZRS91K7M4TV","17","E","13012121E209","2067246011")</f>
        <v>4333.07</v>
      </c>
      <c r="I292" s="48">
        <f>[1]!BexGetData("DP_2","DL719O2RYNIY3MZ1QVCEEWBN7","17","E","13012121E209","2067246011")</f>
        <v>0</v>
      </c>
    </row>
    <row r="293" spans="1:9" x14ac:dyDescent="0.2">
      <c r="A293" s="46" t="s">
        <v>32</v>
      </c>
      <c r="B293" s="46" t="s">
        <v>32</v>
      </c>
      <c r="C293" s="46" t="s">
        <v>32</v>
      </c>
      <c r="D293" s="46" t="s">
        <v>32</v>
      </c>
      <c r="E293" s="46" t="s">
        <v>32</v>
      </c>
      <c r="F293" s="47">
        <f>[1]!BexGetData("DP_2","DL719O2RYNC0Y217V0FVT1R77","17","E","13012121E209","2067247011")</f>
        <v>602.84</v>
      </c>
      <c r="G293" s="48">
        <f>[1]!BexGetData("DP_2","DL719O2RYNEBZX0HTMQQ0BY0J","17","E","13012121E209","2067247011")</f>
        <v>602.84</v>
      </c>
      <c r="H293" s="48">
        <f>[1]!BexGetData("DP_2","DL719O2RYNGN1RZRS91K7M4TV","17","E","13012121E209","2067247011")</f>
        <v>602.84</v>
      </c>
      <c r="I293" s="48">
        <f>[1]!BexGetData("DP_2","DL719O2RYNIY3MZ1QVCEEWBN7","17","E","13012121E209","2067247011")</f>
        <v>0</v>
      </c>
    </row>
    <row r="294" spans="1:9" x14ac:dyDescent="0.2">
      <c r="A294" s="46" t="s">
        <v>32</v>
      </c>
      <c r="B294" s="46" t="s">
        <v>32</v>
      </c>
      <c r="C294" s="46" t="s">
        <v>32</v>
      </c>
      <c r="D294" s="46" t="s">
        <v>32</v>
      </c>
      <c r="E294" s="46" t="s">
        <v>32</v>
      </c>
      <c r="F294" s="47">
        <f>[1]!BexGetData("DP_2","DL719O2RYNC0Y217V0FVT1R77","17","E","13012121E209","2067248011")</f>
        <v>638</v>
      </c>
      <c r="G294" s="48">
        <f>[1]!BexGetData("DP_2","DL719O2RYNEBZX0HTMQQ0BY0J","17","E","13012121E209","2067248011")</f>
        <v>638</v>
      </c>
      <c r="H294" s="48">
        <f>[1]!BexGetData("DP_2","DL719O2RYNGN1RZRS91K7M4TV","17","E","13012121E209","2067248011")</f>
        <v>638</v>
      </c>
      <c r="I294" s="48">
        <f>[1]!BexGetData("DP_2","DL719O2RYNIY3MZ1QVCEEWBN7","17","E","13012121E209","2067248011")</f>
        <v>0</v>
      </c>
    </row>
    <row r="295" spans="1:9" x14ac:dyDescent="0.2">
      <c r="A295" s="46" t="s">
        <v>32</v>
      </c>
      <c r="B295" s="46" t="s">
        <v>32</v>
      </c>
      <c r="C295" s="46" t="s">
        <v>32</v>
      </c>
      <c r="D295" s="46" t="s">
        <v>32</v>
      </c>
      <c r="E295" s="46" t="s">
        <v>32</v>
      </c>
      <c r="F295" s="47">
        <f>[1]!BexGetData("DP_2","DL719O2RYNC0Y217V0FVT1R77","17","E","13012121E209","2067249011")</f>
        <v>18208.5</v>
      </c>
      <c r="G295" s="48">
        <f>[1]!BexGetData("DP_2","DL719O2RYNEBZX0HTMQQ0BY0J","17","E","13012121E209","2067249011")</f>
        <v>18208.5</v>
      </c>
      <c r="H295" s="48">
        <f>[1]!BexGetData("DP_2","DL719O2RYNGN1RZRS91K7M4TV","17","E","13012121E209","2067249011")</f>
        <v>18208.5</v>
      </c>
      <c r="I295" s="48">
        <f>[1]!BexGetData("DP_2","DL719O2RYNIY3MZ1QVCEEWBN7","17","E","13012121E209","2067249011")</f>
        <v>0</v>
      </c>
    </row>
    <row r="296" spans="1:9" x14ac:dyDescent="0.2">
      <c r="A296" s="46" t="s">
        <v>32</v>
      </c>
      <c r="B296" s="46" t="s">
        <v>32</v>
      </c>
      <c r="C296" s="46" t="s">
        <v>32</v>
      </c>
      <c r="D296" s="46" t="s">
        <v>32</v>
      </c>
      <c r="E296" s="46" t="s">
        <v>32</v>
      </c>
      <c r="F296" s="47">
        <f>[1]!BexGetData("DP_2","DL719O2RYNC0Y217V0FVT1R77","17","E","13012121E209","2067253021")</f>
        <v>582.75</v>
      </c>
      <c r="G296" s="48">
        <f>[1]!BexGetData("DP_2","DL719O2RYNEBZX0HTMQQ0BY0J","17","E","13012121E209","2067253021")</f>
        <v>582.75</v>
      </c>
      <c r="H296" s="48">
        <f>[1]!BexGetData("DP_2","DL719O2RYNGN1RZRS91K7M4TV","17","E","13012121E209","2067253021")</f>
        <v>582.75</v>
      </c>
      <c r="I296" s="48">
        <f>[1]!BexGetData("DP_2","DL719O2RYNIY3MZ1QVCEEWBN7","17","E","13012121E209","2067253021")</f>
        <v>0</v>
      </c>
    </row>
    <row r="297" spans="1:9" x14ac:dyDescent="0.2">
      <c r="A297" s="46" t="s">
        <v>32</v>
      </c>
      <c r="B297" s="46" t="s">
        <v>32</v>
      </c>
      <c r="C297" s="46" t="s">
        <v>32</v>
      </c>
      <c r="D297" s="46" t="s">
        <v>32</v>
      </c>
      <c r="E297" s="46" t="s">
        <v>32</v>
      </c>
      <c r="F297" s="47">
        <f>[1]!BexGetData("DP_2","DL719O2RYNC0Y217V0FVT1R77","17","E","13012121E209","2067256011")</f>
        <v>808.36</v>
      </c>
      <c r="G297" s="48">
        <f>[1]!BexGetData("DP_2","DL719O2RYNEBZX0HTMQQ0BY0J","17","E","13012121E209","2067256011")</f>
        <v>808.36</v>
      </c>
      <c r="H297" s="48">
        <f>[1]!BexGetData("DP_2","DL719O2RYNGN1RZRS91K7M4TV","17","E","13012121E209","2067256011")</f>
        <v>808.36</v>
      </c>
      <c r="I297" s="48">
        <f>[1]!BexGetData("DP_2","DL719O2RYNIY3MZ1QVCEEWBN7","17","E","13012121E209","2067256011")</f>
        <v>0</v>
      </c>
    </row>
    <row r="298" spans="1:9" x14ac:dyDescent="0.2">
      <c r="A298" s="46" t="s">
        <v>32</v>
      </c>
      <c r="B298" s="46" t="s">
        <v>32</v>
      </c>
      <c r="C298" s="46" t="s">
        <v>32</v>
      </c>
      <c r="D298" s="46" t="s">
        <v>32</v>
      </c>
      <c r="E298" s="46" t="s">
        <v>32</v>
      </c>
      <c r="F298" s="47">
        <f>[1]!BexGetData("DP_2","DL719O2RYNC0Y217V0FVT1R77","17","E","13012121E209","2067261011")</f>
        <v>18136.37</v>
      </c>
      <c r="G298" s="48">
        <f>[1]!BexGetData("DP_2","DL719O2RYNEBZX0HTMQQ0BY0J","17","E","13012121E209","2067261011")</f>
        <v>18136.37</v>
      </c>
      <c r="H298" s="48">
        <f>[1]!BexGetData("DP_2","DL719O2RYNGN1RZRS91K7M4TV","17","E","13012121E209","2067261011")</f>
        <v>13136.37</v>
      </c>
      <c r="I298" s="48">
        <f>[1]!BexGetData("DP_2","DL719O2RYNIY3MZ1QVCEEWBN7","17","E","13012121E209","2067261011")</f>
        <v>0</v>
      </c>
    </row>
    <row r="299" spans="1:9" x14ac:dyDescent="0.2">
      <c r="A299" s="46" t="s">
        <v>32</v>
      </c>
      <c r="B299" s="46" t="s">
        <v>32</v>
      </c>
      <c r="C299" s="46" t="s">
        <v>32</v>
      </c>
      <c r="D299" s="46" t="s">
        <v>32</v>
      </c>
      <c r="E299" s="46" t="s">
        <v>32</v>
      </c>
      <c r="F299" s="47">
        <f>[1]!BexGetData("DP_2","DL719O2RYNC0Y217V0FVT1R77","17","E","13012121E209","2067261021")</f>
        <v>2751</v>
      </c>
      <c r="G299" s="48">
        <f>[1]!BexGetData("DP_2","DL719O2RYNEBZX0HTMQQ0BY0J","17","E","13012121E209","2067261021")</f>
        <v>2751</v>
      </c>
      <c r="H299" s="48">
        <f>[1]!BexGetData("DP_2","DL719O2RYNGN1RZRS91K7M4TV","17","E","13012121E209","2067261021")</f>
        <v>2751</v>
      </c>
      <c r="I299" s="48">
        <f>[1]!BexGetData("DP_2","DL719O2RYNIY3MZ1QVCEEWBN7","17","E","13012121E209","2067261021")</f>
        <v>0</v>
      </c>
    </row>
    <row r="300" spans="1:9" x14ac:dyDescent="0.2">
      <c r="A300" s="46" t="s">
        <v>32</v>
      </c>
      <c r="B300" s="46" t="s">
        <v>32</v>
      </c>
      <c r="C300" s="46" t="s">
        <v>32</v>
      </c>
      <c r="D300" s="46" t="s">
        <v>32</v>
      </c>
      <c r="E300" s="46" t="s">
        <v>32</v>
      </c>
      <c r="F300" s="47">
        <f>[1]!BexGetData("DP_2","DL719O2RYNC0Y217V0FVT1R77","17","E","13012121E209","2067272011")</f>
        <v>495</v>
      </c>
      <c r="G300" s="48">
        <f>[1]!BexGetData("DP_2","DL719O2RYNEBZX0HTMQQ0BY0J","17","E","13012121E209","2067272011")</f>
        <v>495</v>
      </c>
      <c r="H300" s="48">
        <f>[1]!BexGetData("DP_2","DL719O2RYNGN1RZRS91K7M4TV","17","E","13012121E209","2067272011")</f>
        <v>495</v>
      </c>
      <c r="I300" s="48">
        <f>[1]!BexGetData("DP_2","DL719O2RYNIY3MZ1QVCEEWBN7","17","E","13012121E209","2067272011")</f>
        <v>0</v>
      </c>
    </row>
    <row r="301" spans="1:9" x14ac:dyDescent="0.2">
      <c r="A301" s="46" t="s">
        <v>32</v>
      </c>
      <c r="B301" s="46" t="s">
        <v>32</v>
      </c>
      <c r="C301" s="46" t="s">
        <v>32</v>
      </c>
      <c r="D301" s="46" t="s">
        <v>32</v>
      </c>
      <c r="E301" s="46" t="s">
        <v>32</v>
      </c>
      <c r="F301" s="47">
        <f>[1]!BexGetData("DP_2","DL719O2RYNC0Y217V0FVT1R77","17","E","13012121E209","2067274011")</f>
        <v>7825.85</v>
      </c>
      <c r="G301" s="48">
        <f>[1]!BexGetData("DP_2","DL719O2RYNEBZX0HTMQQ0BY0J","17","E","13012121E209","2067274011")</f>
        <v>7825.85</v>
      </c>
      <c r="H301" s="48">
        <f>[1]!BexGetData("DP_2","DL719O2RYNGN1RZRS91K7M4TV","17","E","13012121E209","2067274011")</f>
        <v>7825.85</v>
      </c>
      <c r="I301" s="48">
        <f>[1]!BexGetData("DP_2","DL719O2RYNIY3MZ1QVCEEWBN7","17","E","13012121E209","2067274011")</f>
        <v>0</v>
      </c>
    </row>
    <row r="302" spans="1:9" x14ac:dyDescent="0.2">
      <c r="A302" s="46" t="s">
        <v>32</v>
      </c>
      <c r="B302" s="46" t="s">
        <v>32</v>
      </c>
      <c r="C302" s="46" t="s">
        <v>32</v>
      </c>
      <c r="D302" s="46" t="s">
        <v>32</v>
      </c>
      <c r="E302" s="46" t="s">
        <v>32</v>
      </c>
      <c r="F302" s="47">
        <f>[1]!BexGetData("DP_2","DL719O2RYNC0Y217V0FVT1R77","17","E","13012121E209","2067275011")</f>
        <v>258.01</v>
      </c>
      <c r="G302" s="48">
        <f>[1]!BexGetData("DP_2","DL719O2RYNEBZX0HTMQQ0BY0J","17","E","13012121E209","2067275011")</f>
        <v>258.01</v>
      </c>
      <c r="H302" s="48">
        <f>[1]!BexGetData("DP_2","DL719O2RYNGN1RZRS91K7M4TV","17","E","13012121E209","2067275011")</f>
        <v>258.01</v>
      </c>
      <c r="I302" s="48">
        <f>[1]!BexGetData("DP_2","DL719O2RYNIY3MZ1QVCEEWBN7","17","E","13012121E209","2067275011")</f>
        <v>0</v>
      </c>
    </row>
    <row r="303" spans="1:9" x14ac:dyDescent="0.2">
      <c r="A303" s="46" t="s">
        <v>32</v>
      </c>
      <c r="B303" s="46" t="s">
        <v>32</v>
      </c>
      <c r="C303" s="46" t="s">
        <v>32</v>
      </c>
      <c r="D303" s="46" t="s">
        <v>32</v>
      </c>
      <c r="E303" s="46" t="s">
        <v>32</v>
      </c>
      <c r="F303" s="47">
        <f>[1]!BexGetData("DP_2","DL719O2RYNC0Y217V0FVT1R77","17","E","13012121E209","2067291011")</f>
        <v>7.9</v>
      </c>
      <c r="G303" s="48">
        <f>[1]!BexGetData("DP_2","DL719O2RYNEBZX0HTMQQ0BY0J","17","E","13012121E209","2067291011")</f>
        <v>7.9</v>
      </c>
      <c r="H303" s="48">
        <f>[1]!BexGetData("DP_2","DL719O2RYNGN1RZRS91K7M4TV","17","E","13012121E209","2067291011")</f>
        <v>7.9</v>
      </c>
      <c r="I303" s="48">
        <f>[1]!BexGetData("DP_2","DL719O2RYNIY3MZ1QVCEEWBN7","17","E","13012121E209","2067291011")</f>
        <v>0</v>
      </c>
    </row>
    <row r="304" spans="1:9" x14ac:dyDescent="0.2">
      <c r="A304" s="46" t="s">
        <v>32</v>
      </c>
      <c r="B304" s="46" t="s">
        <v>32</v>
      </c>
      <c r="C304" s="46" t="s">
        <v>32</v>
      </c>
      <c r="D304" s="46" t="s">
        <v>32</v>
      </c>
      <c r="E304" s="46" t="s">
        <v>32</v>
      </c>
      <c r="F304" s="47">
        <f>[1]!BexGetData("DP_2","DL719O2RYNC0Y217V0FVT1R77","17","E","13012121E209","2067292011")</f>
        <v>2112.12</v>
      </c>
      <c r="G304" s="48">
        <f>[1]!BexGetData("DP_2","DL719O2RYNEBZX0HTMQQ0BY0J","17","E","13012121E209","2067292011")</f>
        <v>2112.12</v>
      </c>
      <c r="H304" s="48">
        <f>[1]!BexGetData("DP_2","DL719O2RYNGN1RZRS91K7M4TV","17","E","13012121E209","2067292011")</f>
        <v>2112.12</v>
      </c>
      <c r="I304" s="48">
        <f>[1]!BexGetData("DP_2","DL719O2RYNIY3MZ1QVCEEWBN7","17","E","13012121E209","2067292011")</f>
        <v>0</v>
      </c>
    </row>
    <row r="305" spans="1:9" x14ac:dyDescent="0.2">
      <c r="A305" s="46" t="s">
        <v>32</v>
      </c>
      <c r="B305" s="46" t="s">
        <v>32</v>
      </c>
      <c r="C305" s="46" t="s">
        <v>32</v>
      </c>
      <c r="D305" s="46" t="s">
        <v>32</v>
      </c>
      <c r="E305" s="46" t="s">
        <v>32</v>
      </c>
      <c r="F305" s="47">
        <f>[1]!BexGetData("DP_2","DL719O2RYNC0Y217V0FVT1R77","17","E","13012121E209","2067293031")</f>
        <v>194.6</v>
      </c>
      <c r="G305" s="48">
        <f>[1]!BexGetData("DP_2","DL719O2RYNEBZX0HTMQQ0BY0J","17","E","13012121E209","2067293031")</f>
        <v>194.6</v>
      </c>
      <c r="H305" s="48">
        <f>[1]!BexGetData("DP_2","DL719O2RYNGN1RZRS91K7M4TV","17","E","13012121E209","2067293031")</f>
        <v>194.6</v>
      </c>
      <c r="I305" s="48">
        <f>[1]!BexGetData("DP_2","DL719O2RYNIY3MZ1QVCEEWBN7","17","E","13012121E209","2067293031")</f>
        <v>0</v>
      </c>
    </row>
    <row r="306" spans="1:9" x14ac:dyDescent="0.2">
      <c r="A306" s="46" t="s">
        <v>32</v>
      </c>
      <c r="B306" s="46" t="s">
        <v>32</v>
      </c>
      <c r="C306" s="46" t="s">
        <v>32</v>
      </c>
      <c r="D306" s="46" t="s">
        <v>32</v>
      </c>
      <c r="E306" s="46" t="s">
        <v>32</v>
      </c>
      <c r="F306" s="47">
        <f>[1]!BexGetData("DP_2","DL719O2RYNC0Y217V0FVT1R77","17","E","13012121E209","2067294011")</f>
        <v>357</v>
      </c>
      <c r="G306" s="48">
        <f>[1]!BexGetData("DP_2","DL719O2RYNEBZX0HTMQQ0BY0J","17","E","13012121E209","2067294011")</f>
        <v>357</v>
      </c>
      <c r="H306" s="48">
        <f>[1]!BexGetData("DP_2","DL719O2RYNGN1RZRS91K7M4TV","17","E","13012121E209","2067294011")</f>
        <v>357</v>
      </c>
      <c r="I306" s="48">
        <f>[1]!BexGetData("DP_2","DL719O2RYNIY3MZ1QVCEEWBN7","17","E","13012121E209","2067294011")</f>
        <v>0</v>
      </c>
    </row>
    <row r="307" spans="1:9" x14ac:dyDescent="0.2">
      <c r="A307" s="46" t="s">
        <v>32</v>
      </c>
      <c r="B307" s="46" t="s">
        <v>32</v>
      </c>
      <c r="C307" s="46" t="s">
        <v>32</v>
      </c>
      <c r="D307" s="46" t="s">
        <v>32</v>
      </c>
      <c r="E307" s="46" t="s">
        <v>32</v>
      </c>
      <c r="F307" s="47">
        <f>[1]!BexGetData("DP_2","DL719O2RYNC0Y217V0FVT1R77","17","E","13012121E209","2067296011")</f>
        <v>38348.050000000003</v>
      </c>
      <c r="G307" s="48">
        <f>[1]!BexGetData("DP_2","DL719O2RYNEBZX0HTMQQ0BY0J","17","E","13012121E209","2067296011")</f>
        <v>38348.050000000003</v>
      </c>
      <c r="H307" s="48">
        <f>[1]!BexGetData("DP_2","DL719O2RYNGN1RZRS91K7M4TV","17","E","13012121E209","2067296011")</f>
        <v>38348.050000000003</v>
      </c>
      <c r="I307" s="48">
        <f>[1]!BexGetData("DP_2","DL719O2RYNIY3MZ1QVCEEWBN7","17","E","13012121E209","2067296011")</f>
        <v>0</v>
      </c>
    </row>
    <row r="308" spans="1:9" x14ac:dyDescent="0.2">
      <c r="A308" s="46" t="s">
        <v>32</v>
      </c>
      <c r="B308" s="46" t="s">
        <v>32</v>
      </c>
      <c r="C308" s="46" t="s">
        <v>32</v>
      </c>
      <c r="D308" s="46" t="s">
        <v>32</v>
      </c>
      <c r="E308" s="46" t="s">
        <v>32</v>
      </c>
      <c r="F308" s="47">
        <f>[1]!BexGetData("DP_2","DL719O2RYNC0Y217V0FVT1R77","17","E","13012121E209","2067298071")</f>
        <v>748.13</v>
      </c>
      <c r="G308" s="48">
        <f>[1]!BexGetData("DP_2","DL719O2RYNEBZX0HTMQQ0BY0J","17","E","13012121E209","2067298071")</f>
        <v>748.13</v>
      </c>
      <c r="H308" s="48">
        <f>[1]!BexGetData("DP_2","DL719O2RYNGN1RZRS91K7M4TV","17","E","13012121E209","2067298071")</f>
        <v>748.13</v>
      </c>
      <c r="I308" s="48">
        <f>[1]!BexGetData("DP_2","DL719O2RYNIY3MZ1QVCEEWBN7","17","E","13012121E209","2067298071")</f>
        <v>0</v>
      </c>
    </row>
    <row r="309" spans="1:9" x14ac:dyDescent="0.2">
      <c r="A309" s="46" t="s">
        <v>32</v>
      </c>
      <c r="B309" s="46" t="s">
        <v>32</v>
      </c>
      <c r="C309" s="46" t="s">
        <v>32</v>
      </c>
      <c r="D309" s="46" t="s">
        <v>32</v>
      </c>
      <c r="E309" s="46" t="s">
        <v>32</v>
      </c>
      <c r="F309" s="47">
        <f>[1]!BexGetData("DP_2","DL719O2RYNC0Y217V0FVT1R77","17","E","13012121E209","2067299011")</f>
        <v>727</v>
      </c>
      <c r="G309" s="48">
        <f>[1]!BexGetData("DP_2","DL719O2RYNEBZX0HTMQQ0BY0J","17","E","13012121E209","2067299011")</f>
        <v>727</v>
      </c>
      <c r="H309" s="48">
        <f>[1]!BexGetData("DP_2","DL719O2RYNGN1RZRS91K7M4TV","17","E","13012121E209","2067299011")</f>
        <v>727</v>
      </c>
      <c r="I309" s="48">
        <f>[1]!BexGetData("DP_2","DL719O2RYNIY3MZ1QVCEEWBN7","17","E","13012121E209","2067299011")</f>
        <v>0</v>
      </c>
    </row>
    <row r="310" spans="1:9" x14ac:dyDescent="0.2">
      <c r="A310" s="46" t="s">
        <v>32</v>
      </c>
      <c r="B310" s="46" t="s">
        <v>32</v>
      </c>
      <c r="C310" s="46" t="s">
        <v>32</v>
      </c>
      <c r="D310" s="46" t="s">
        <v>32</v>
      </c>
      <c r="E310" s="46" t="s">
        <v>32</v>
      </c>
      <c r="F310" s="47">
        <f>[1]!BexGetData("DP_2","DL719O2RYNC0Y217V0FVT1R77","17","E","13012121E209","2067313011")</f>
        <v>0</v>
      </c>
      <c r="G310" s="48">
        <f>[1]!BexGetData("DP_2","DL719O2RYNEBZX0HTMQQ0BY0J","17","E","13012121E209","2067313011")</f>
        <v>0</v>
      </c>
      <c r="H310" s="48">
        <f>[1]!BexGetData("DP_2","DL719O2RYNGN1RZRS91K7M4TV","17","E","13012121E209","2067313011")</f>
        <v>0</v>
      </c>
      <c r="I310" s="48">
        <f>[1]!BexGetData("DP_2","DL719O2RYNIY3MZ1QVCEEWBN7","17","E","13012121E209","2067313011")</f>
        <v>0</v>
      </c>
    </row>
    <row r="311" spans="1:9" x14ac:dyDescent="0.2">
      <c r="A311" s="46" t="s">
        <v>32</v>
      </c>
      <c r="B311" s="46" t="s">
        <v>32</v>
      </c>
      <c r="C311" s="46" t="s">
        <v>32</v>
      </c>
      <c r="D311" s="46" t="s">
        <v>32</v>
      </c>
      <c r="E311" s="46" t="s">
        <v>32</v>
      </c>
      <c r="F311" s="47">
        <f>[1]!BexGetData("DP_2","DL719O2RYNC0Y217V0FVT1R77","17","E","13012121E209","2067314011")</f>
        <v>37865.269999999997</v>
      </c>
      <c r="G311" s="48">
        <f>[1]!BexGetData("DP_2","DL719O2RYNEBZX0HTMQQ0BY0J","17","E","13012121E209","2067314011")</f>
        <v>37865.269999999997</v>
      </c>
      <c r="H311" s="48">
        <f>[1]!BexGetData("DP_2","DL719O2RYNGN1RZRS91K7M4TV","17","E","13012121E209","2067314011")</f>
        <v>37865.269999999997</v>
      </c>
      <c r="I311" s="48">
        <f>[1]!BexGetData("DP_2","DL719O2RYNIY3MZ1QVCEEWBN7","17","E","13012121E209","2067314011")</f>
        <v>0</v>
      </c>
    </row>
    <row r="312" spans="1:9" x14ac:dyDescent="0.2">
      <c r="A312" s="46" t="s">
        <v>32</v>
      </c>
      <c r="B312" s="46" t="s">
        <v>32</v>
      </c>
      <c r="C312" s="46" t="s">
        <v>32</v>
      </c>
      <c r="D312" s="46" t="s">
        <v>32</v>
      </c>
      <c r="E312" s="46" t="s">
        <v>32</v>
      </c>
      <c r="F312" s="47">
        <f>[1]!BexGetData("DP_2","DL719O2RYNC0Y217V0FVT1R77","17","E","13012121E209","2067315011")</f>
        <v>0</v>
      </c>
      <c r="G312" s="48">
        <f>[1]!BexGetData("DP_2","DL719O2RYNEBZX0HTMQQ0BY0J","17","E","13012121E209","2067315011")</f>
        <v>0</v>
      </c>
      <c r="H312" s="48">
        <f>[1]!BexGetData("DP_2","DL719O2RYNGN1RZRS91K7M4TV","17","E","13012121E209","2067315011")</f>
        <v>0</v>
      </c>
      <c r="I312" s="48">
        <f>[1]!BexGetData("DP_2","DL719O2RYNIY3MZ1QVCEEWBN7","17","E","13012121E209","2067315011")</f>
        <v>0</v>
      </c>
    </row>
    <row r="313" spans="1:9" x14ac:dyDescent="0.2">
      <c r="A313" s="46" t="s">
        <v>32</v>
      </c>
      <c r="B313" s="46" t="s">
        <v>32</v>
      </c>
      <c r="C313" s="46" t="s">
        <v>32</v>
      </c>
      <c r="D313" s="46" t="s">
        <v>32</v>
      </c>
      <c r="E313" s="46" t="s">
        <v>32</v>
      </c>
      <c r="F313" s="47">
        <f>[1]!BexGetData("DP_2","DL719O2RYNC0Y217V0FVT1R77","17","E","13012121E209","2067317011")</f>
        <v>0</v>
      </c>
      <c r="G313" s="48">
        <f>[1]!BexGetData("DP_2","DL719O2RYNEBZX0HTMQQ0BY0J","17","E","13012121E209","2067317011")</f>
        <v>0</v>
      </c>
      <c r="H313" s="48">
        <f>[1]!BexGetData("DP_2","DL719O2RYNGN1RZRS91K7M4TV","17","E","13012121E209","2067317011")</f>
        <v>0</v>
      </c>
      <c r="I313" s="48">
        <f>[1]!BexGetData("DP_2","DL719O2RYNIY3MZ1QVCEEWBN7","17","E","13012121E209","2067317011")</f>
        <v>0</v>
      </c>
    </row>
    <row r="314" spans="1:9" x14ac:dyDescent="0.2">
      <c r="A314" s="46" t="s">
        <v>32</v>
      </c>
      <c r="B314" s="46" t="s">
        <v>32</v>
      </c>
      <c r="C314" s="46" t="s">
        <v>32</v>
      </c>
      <c r="D314" s="46" t="s">
        <v>32</v>
      </c>
      <c r="E314" s="46" t="s">
        <v>32</v>
      </c>
      <c r="F314" s="47">
        <f>[1]!BexGetData("DP_2","DL719O2RYNC0Y217V0FVT1R77","17","E","13012121E209","2067318011")</f>
        <v>0</v>
      </c>
      <c r="G314" s="48">
        <f>[1]!BexGetData("DP_2","DL719O2RYNEBZX0HTMQQ0BY0J","17","E","13012121E209","2067318011")</f>
        <v>0</v>
      </c>
      <c r="H314" s="48">
        <f>[1]!BexGetData("DP_2","DL719O2RYNGN1RZRS91K7M4TV","17","E","13012121E209","2067318011")</f>
        <v>0</v>
      </c>
      <c r="I314" s="48">
        <f>[1]!BexGetData("DP_2","DL719O2RYNIY3MZ1QVCEEWBN7","17","E","13012121E209","2067318011")</f>
        <v>0</v>
      </c>
    </row>
    <row r="315" spans="1:9" x14ac:dyDescent="0.2">
      <c r="A315" s="46" t="s">
        <v>32</v>
      </c>
      <c r="B315" s="46" t="s">
        <v>32</v>
      </c>
      <c r="C315" s="46" t="s">
        <v>32</v>
      </c>
      <c r="D315" s="46" t="s">
        <v>32</v>
      </c>
      <c r="E315" s="46" t="s">
        <v>32</v>
      </c>
      <c r="F315" s="47">
        <f>[1]!BexGetData("DP_2","DL719O2RYNC0Y217V0FVT1R77","17","E","13012121E209","2067327011")</f>
        <v>550.02</v>
      </c>
      <c r="G315" s="48">
        <f>[1]!BexGetData("DP_2","DL719O2RYNEBZX0HTMQQ0BY0J","17","E","13012121E209","2067327011")</f>
        <v>550.02</v>
      </c>
      <c r="H315" s="48">
        <f>[1]!BexGetData("DP_2","DL719O2RYNGN1RZRS91K7M4TV","17","E","13012121E209","2067327011")</f>
        <v>550.02</v>
      </c>
      <c r="I315" s="48">
        <f>[1]!BexGetData("DP_2","DL719O2RYNIY3MZ1QVCEEWBN7","17","E","13012121E209","2067327011")</f>
        <v>0</v>
      </c>
    </row>
    <row r="316" spans="1:9" x14ac:dyDescent="0.2">
      <c r="A316" s="46" t="s">
        <v>32</v>
      </c>
      <c r="B316" s="46" t="s">
        <v>32</v>
      </c>
      <c r="C316" s="46" t="s">
        <v>32</v>
      </c>
      <c r="D316" s="46" t="s">
        <v>32</v>
      </c>
      <c r="E316" s="46" t="s">
        <v>32</v>
      </c>
      <c r="F316" s="47">
        <f>[1]!BexGetData("DP_2","DL719O2RYNC0Y217V0FVT1R77","17","E","13012121E209","2067329011")</f>
        <v>0</v>
      </c>
      <c r="G316" s="48">
        <f>[1]!BexGetData("DP_2","DL719O2RYNEBZX0HTMQQ0BY0J","17","E","13012121E209","2067329011")</f>
        <v>0</v>
      </c>
      <c r="H316" s="48">
        <f>[1]!BexGetData("DP_2","DL719O2RYNGN1RZRS91K7M4TV","17","E","13012121E209","2067329011")</f>
        <v>0</v>
      </c>
      <c r="I316" s="48">
        <f>[1]!BexGetData("DP_2","DL719O2RYNIY3MZ1QVCEEWBN7","17","E","13012121E209","2067329011")</f>
        <v>0</v>
      </c>
    </row>
    <row r="317" spans="1:9" x14ac:dyDescent="0.2">
      <c r="A317" s="46" t="s">
        <v>32</v>
      </c>
      <c r="B317" s="46" t="s">
        <v>32</v>
      </c>
      <c r="C317" s="46" t="s">
        <v>32</v>
      </c>
      <c r="D317" s="46" t="s">
        <v>32</v>
      </c>
      <c r="E317" s="46" t="s">
        <v>32</v>
      </c>
      <c r="F317" s="47">
        <f>[1]!BexGetData("DP_2","DL719O2RYNC0Y217V0FVT1R77","17","E","13012121E209","2067336011")</f>
        <v>28905.75</v>
      </c>
      <c r="G317" s="48">
        <f>[1]!BexGetData("DP_2","DL719O2RYNEBZX0HTMQQ0BY0J","17","E","13012121E209","2067336011")</f>
        <v>28905.75</v>
      </c>
      <c r="H317" s="48">
        <f>[1]!BexGetData("DP_2","DL719O2RYNGN1RZRS91K7M4TV","17","E","13012121E209","2067336011")</f>
        <v>28905.75</v>
      </c>
      <c r="I317" s="48">
        <f>[1]!BexGetData("DP_2","DL719O2RYNIY3MZ1QVCEEWBN7","17","E","13012121E209","2067336011")</f>
        <v>0</v>
      </c>
    </row>
    <row r="318" spans="1:9" x14ac:dyDescent="0.2">
      <c r="A318" s="46" t="s">
        <v>32</v>
      </c>
      <c r="B318" s="46" t="s">
        <v>32</v>
      </c>
      <c r="C318" s="46" t="s">
        <v>32</v>
      </c>
      <c r="D318" s="46" t="s">
        <v>32</v>
      </c>
      <c r="E318" s="46" t="s">
        <v>32</v>
      </c>
      <c r="F318" s="47">
        <f>[1]!BexGetData("DP_2","DL719O2RYNC0Y217V0FVT1R77","17","E","13012121E209","2067339011")</f>
        <v>19952</v>
      </c>
      <c r="G318" s="48">
        <f>[1]!BexGetData("DP_2","DL719O2RYNEBZX0HTMQQ0BY0J","17","E","13012121E209","2067339011")</f>
        <v>19952</v>
      </c>
      <c r="H318" s="48">
        <f>[1]!BexGetData("DP_2","DL719O2RYNGN1RZRS91K7M4TV","17","E","13012121E209","2067339011")</f>
        <v>0</v>
      </c>
      <c r="I318" s="48">
        <f>[1]!BexGetData("DP_2","DL719O2RYNIY3MZ1QVCEEWBN7","17","E","13012121E209","2067339011")</f>
        <v>0</v>
      </c>
    </row>
    <row r="319" spans="1:9" x14ac:dyDescent="0.2">
      <c r="A319" s="46" t="s">
        <v>32</v>
      </c>
      <c r="B319" s="46" t="s">
        <v>32</v>
      </c>
      <c r="C319" s="46" t="s">
        <v>32</v>
      </c>
      <c r="D319" s="46" t="s">
        <v>32</v>
      </c>
      <c r="E319" s="46" t="s">
        <v>32</v>
      </c>
      <c r="F319" s="47">
        <f>[1]!BexGetData("DP_2","DL719O2RYNC0Y217V0FVT1R77","17","E","13012121E209","2067351011")</f>
        <v>66326.240000000005</v>
      </c>
      <c r="G319" s="48">
        <f>[1]!BexGetData("DP_2","DL719O2RYNEBZX0HTMQQ0BY0J","17","E","13012121E209","2067351011")</f>
        <v>66326.240000000005</v>
      </c>
      <c r="H319" s="48">
        <f>[1]!BexGetData("DP_2","DL719O2RYNGN1RZRS91K7M4TV","17","E","13012121E209","2067351011")</f>
        <v>66326.240000000005</v>
      </c>
      <c r="I319" s="48">
        <f>[1]!BexGetData("DP_2","DL719O2RYNIY3MZ1QVCEEWBN7","17","E","13012121E209","2067351011")</f>
        <v>0</v>
      </c>
    </row>
    <row r="320" spans="1:9" x14ac:dyDescent="0.2">
      <c r="A320" s="46" t="s">
        <v>32</v>
      </c>
      <c r="B320" s="46" t="s">
        <v>32</v>
      </c>
      <c r="C320" s="46" t="s">
        <v>32</v>
      </c>
      <c r="D320" s="46" t="s">
        <v>32</v>
      </c>
      <c r="E320" s="46" t="s">
        <v>32</v>
      </c>
      <c r="F320" s="47">
        <f>[1]!BexGetData("DP_2","DL719O2RYNC0Y217V0FVT1R77","17","E","13012121E209","2067352011")</f>
        <v>0</v>
      </c>
      <c r="G320" s="48">
        <f>[1]!BexGetData("DP_2","DL719O2RYNEBZX0HTMQQ0BY0J","17","E","13012121E209","2067352011")</f>
        <v>0</v>
      </c>
      <c r="H320" s="48">
        <f>[1]!BexGetData("DP_2","DL719O2RYNGN1RZRS91K7M4TV","17","E","13012121E209","2067352011")</f>
        <v>0</v>
      </c>
      <c r="I320" s="48">
        <f>[1]!BexGetData("DP_2","DL719O2RYNIY3MZ1QVCEEWBN7","17","E","13012121E209","2067352011")</f>
        <v>0</v>
      </c>
    </row>
    <row r="321" spans="1:9" x14ac:dyDescent="0.2">
      <c r="A321" s="46" t="s">
        <v>32</v>
      </c>
      <c r="B321" s="46" t="s">
        <v>32</v>
      </c>
      <c r="C321" s="46" t="s">
        <v>32</v>
      </c>
      <c r="D321" s="46" t="s">
        <v>32</v>
      </c>
      <c r="E321" s="46" t="s">
        <v>32</v>
      </c>
      <c r="F321" s="47">
        <f>[1]!BexGetData("DP_2","DL719O2RYNC0Y217V0FVT1R77","17","E","13012121E209","2067355011")</f>
        <v>64774.38</v>
      </c>
      <c r="G321" s="48">
        <f>[1]!BexGetData("DP_2","DL719O2RYNEBZX0HTMQQ0BY0J","17","E","13012121E209","2067355011")</f>
        <v>64774.38</v>
      </c>
      <c r="H321" s="48">
        <f>[1]!BexGetData("DP_2","DL719O2RYNGN1RZRS91K7M4TV","17","E","13012121E209","2067355011")</f>
        <v>49746.58</v>
      </c>
      <c r="I321" s="48">
        <f>[1]!BexGetData("DP_2","DL719O2RYNIY3MZ1QVCEEWBN7","17","E","13012121E209","2067355011")</f>
        <v>0</v>
      </c>
    </row>
    <row r="322" spans="1:9" x14ac:dyDescent="0.2">
      <c r="A322" s="46" t="s">
        <v>32</v>
      </c>
      <c r="B322" s="46" t="s">
        <v>32</v>
      </c>
      <c r="C322" s="46" t="s">
        <v>32</v>
      </c>
      <c r="D322" s="46" t="s">
        <v>32</v>
      </c>
      <c r="E322" s="46" t="s">
        <v>32</v>
      </c>
      <c r="F322" s="47">
        <f>[1]!BexGetData("DP_2","DL719O2RYNC0Y217V0FVT1R77","17","E","13012121E209","2067357021")</f>
        <v>11948</v>
      </c>
      <c r="G322" s="48">
        <f>[1]!BexGetData("DP_2","DL719O2RYNEBZX0HTMQQ0BY0J","17","E","13012121E209","2067357021")</f>
        <v>11948</v>
      </c>
      <c r="H322" s="48">
        <f>[1]!BexGetData("DP_2","DL719O2RYNGN1RZRS91K7M4TV","17","E","13012121E209","2067357021")</f>
        <v>11948</v>
      </c>
      <c r="I322" s="48">
        <f>[1]!BexGetData("DP_2","DL719O2RYNIY3MZ1QVCEEWBN7","17","E","13012121E209","2067357021")</f>
        <v>0</v>
      </c>
    </row>
    <row r="323" spans="1:9" x14ac:dyDescent="0.2">
      <c r="A323" s="46" t="s">
        <v>32</v>
      </c>
      <c r="B323" s="46" t="s">
        <v>32</v>
      </c>
      <c r="C323" s="46" t="s">
        <v>32</v>
      </c>
      <c r="D323" s="46" t="s">
        <v>32</v>
      </c>
      <c r="E323" s="46" t="s">
        <v>32</v>
      </c>
      <c r="F323" s="47">
        <f>[1]!BexGetData("DP_2","DL719O2RYNC0Y217V0FVT1R77","17","E","13012121E209","2067371011")</f>
        <v>75619.360000000001</v>
      </c>
      <c r="G323" s="48">
        <f>[1]!BexGetData("DP_2","DL719O2RYNEBZX0HTMQQ0BY0J","17","E","13012121E209","2067371011")</f>
        <v>75619.360000000001</v>
      </c>
      <c r="H323" s="48">
        <f>[1]!BexGetData("DP_2","DL719O2RYNGN1RZRS91K7M4TV","17","E","13012121E209","2067371011")</f>
        <v>58771.360000000001</v>
      </c>
      <c r="I323" s="48">
        <f>[1]!BexGetData("DP_2","DL719O2RYNIY3MZ1QVCEEWBN7","17","E","13012121E209","2067371011")</f>
        <v>0</v>
      </c>
    </row>
    <row r="324" spans="1:9" x14ac:dyDescent="0.2">
      <c r="A324" s="46" t="s">
        <v>32</v>
      </c>
      <c r="B324" s="46" t="s">
        <v>32</v>
      </c>
      <c r="C324" s="46" t="s">
        <v>32</v>
      </c>
      <c r="D324" s="46" t="s">
        <v>32</v>
      </c>
      <c r="E324" s="46" t="s">
        <v>32</v>
      </c>
      <c r="F324" s="47">
        <f>[1]!BexGetData("DP_2","DL719O2RYNC0Y217V0FVT1R77","17","E","13012121E209","2067372011")</f>
        <v>15481</v>
      </c>
      <c r="G324" s="48">
        <f>[1]!BexGetData("DP_2","DL719O2RYNEBZX0HTMQQ0BY0J","17","E","13012121E209","2067372011")</f>
        <v>15481</v>
      </c>
      <c r="H324" s="48">
        <f>[1]!BexGetData("DP_2","DL719O2RYNGN1RZRS91K7M4TV","17","E","13012121E209","2067372011")</f>
        <v>15481</v>
      </c>
      <c r="I324" s="48">
        <f>[1]!BexGetData("DP_2","DL719O2RYNIY3MZ1QVCEEWBN7","17","E","13012121E209","2067372011")</f>
        <v>0</v>
      </c>
    </row>
    <row r="325" spans="1:9" x14ac:dyDescent="0.2">
      <c r="A325" s="46" t="s">
        <v>32</v>
      </c>
      <c r="B325" s="46" t="s">
        <v>32</v>
      </c>
      <c r="C325" s="46" t="s">
        <v>32</v>
      </c>
      <c r="D325" s="46" t="s">
        <v>32</v>
      </c>
      <c r="E325" s="46" t="s">
        <v>32</v>
      </c>
      <c r="F325" s="47">
        <f>[1]!BexGetData("DP_2","DL719O2RYNC0Y217V0FVT1R77","17","E","13012121E209","2067375011")</f>
        <v>1296</v>
      </c>
      <c r="G325" s="48">
        <f>[1]!BexGetData("DP_2","DL719O2RYNEBZX0HTMQQ0BY0J","17","E","13012121E209","2067375011")</f>
        <v>1296</v>
      </c>
      <c r="H325" s="48">
        <f>[1]!BexGetData("DP_2","DL719O2RYNGN1RZRS91K7M4TV","17","E","13012121E209","2067375011")</f>
        <v>1296</v>
      </c>
      <c r="I325" s="48">
        <f>[1]!BexGetData("DP_2","DL719O2RYNIY3MZ1QVCEEWBN7","17","E","13012121E209","2067375011")</f>
        <v>0</v>
      </c>
    </row>
    <row r="326" spans="1:9" x14ac:dyDescent="0.2">
      <c r="A326" s="46" t="s">
        <v>32</v>
      </c>
      <c r="B326" s="46" t="s">
        <v>32</v>
      </c>
      <c r="C326" s="46" t="s">
        <v>32</v>
      </c>
      <c r="D326" s="46" t="s">
        <v>32</v>
      </c>
      <c r="E326" s="46" t="s">
        <v>32</v>
      </c>
      <c r="F326" s="47">
        <f>[1]!BexGetData("DP_2","DL719O2RYNC0Y217V0FVT1R77","17","E","13012121E209","2067382021")</f>
        <v>17694.990000000002</v>
      </c>
      <c r="G326" s="48">
        <f>[1]!BexGetData("DP_2","DL719O2RYNEBZX0HTMQQ0BY0J","17","E","13012121E209","2067382021")</f>
        <v>17694.990000000002</v>
      </c>
      <c r="H326" s="48">
        <f>[1]!BexGetData("DP_2","DL719O2RYNGN1RZRS91K7M4TV","17","E","13012121E209","2067382021")</f>
        <v>17694.990000000002</v>
      </c>
      <c r="I326" s="48">
        <f>[1]!BexGetData("DP_2","DL719O2RYNIY3MZ1QVCEEWBN7","17","E","13012121E209","2067382021")</f>
        <v>0</v>
      </c>
    </row>
    <row r="327" spans="1:9" x14ac:dyDescent="0.2">
      <c r="A327" s="46" t="s">
        <v>32</v>
      </c>
      <c r="B327" s="46" t="s">
        <v>32</v>
      </c>
      <c r="C327" s="46" t="s">
        <v>32</v>
      </c>
      <c r="D327" s="46" t="s">
        <v>32</v>
      </c>
      <c r="E327" s="46" t="s">
        <v>32</v>
      </c>
      <c r="F327" s="47">
        <f>[1]!BexGetData("DP_2","DL719O2RYNC0Y217V0FVT1R77","17","E","13012121E209","2067385011")</f>
        <v>0</v>
      </c>
      <c r="G327" s="48">
        <f>[1]!BexGetData("DP_2","DL719O2RYNEBZX0HTMQQ0BY0J","17","E","13012121E209","2067385011")</f>
        <v>0</v>
      </c>
      <c r="H327" s="48">
        <f>[1]!BexGetData("DP_2","DL719O2RYNGN1RZRS91K7M4TV","17","E","13012121E209","2067385011")</f>
        <v>0</v>
      </c>
      <c r="I327" s="48">
        <f>[1]!BexGetData("DP_2","DL719O2RYNIY3MZ1QVCEEWBN7","17","E","13012121E209","2067385011")</f>
        <v>0</v>
      </c>
    </row>
    <row r="328" spans="1:9" x14ac:dyDescent="0.2">
      <c r="A328" s="46" t="s">
        <v>32</v>
      </c>
      <c r="B328" s="46" t="s">
        <v>32</v>
      </c>
      <c r="C328" s="46" t="s">
        <v>32</v>
      </c>
      <c r="D328" s="46" t="s">
        <v>32</v>
      </c>
      <c r="E328" s="46" t="s">
        <v>32</v>
      </c>
      <c r="F328" s="47">
        <f>[1]!BexGetData("DP_2","DL719O2RYNC0Y217V0FVT1R77","17","E","13012121E209","2067392011")</f>
        <v>9792</v>
      </c>
      <c r="G328" s="48">
        <f>[1]!BexGetData("DP_2","DL719O2RYNEBZX0HTMQQ0BY0J","17","E","13012121E209","2067392011")</f>
        <v>9792</v>
      </c>
      <c r="H328" s="48">
        <f>[1]!BexGetData("DP_2","DL719O2RYNGN1RZRS91K7M4TV","17","E","13012121E209","2067392011")</f>
        <v>9792</v>
      </c>
      <c r="I328" s="48">
        <f>[1]!BexGetData("DP_2","DL719O2RYNIY3MZ1QVCEEWBN7","17","E","13012121E209","2067392011")</f>
        <v>0</v>
      </c>
    </row>
    <row r="329" spans="1:9" x14ac:dyDescent="0.2">
      <c r="A329" s="46" t="s">
        <v>32</v>
      </c>
      <c r="B329" s="46" t="s">
        <v>32</v>
      </c>
      <c r="C329" s="46" t="s">
        <v>32</v>
      </c>
      <c r="D329" s="46" t="s">
        <v>32</v>
      </c>
      <c r="E329" s="46" t="s">
        <v>32</v>
      </c>
      <c r="F329" s="47">
        <f>[1]!BexGetData("DP_2","DL719O2RYNC0Y217V0FVT1R77","17","E","13012121E209","2067399031")</f>
        <v>3271.2</v>
      </c>
      <c r="G329" s="48">
        <f>[1]!BexGetData("DP_2","DL719O2RYNEBZX0HTMQQ0BY0J","17","E","13012121E209","2067399031")</f>
        <v>3271.2</v>
      </c>
      <c r="H329" s="48">
        <f>[1]!BexGetData("DP_2","DL719O2RYNGN1RZRS91K7M4TV","17","E","13012121E209","2067399031")</f>
        <v>3271.2</v>
      </c>
      <c r="I329" s="48">
        <f>[1]!BexGetData("DP_2","DL719O2RYNIY3MZ1QVCEEWBN7","17","E","13012121E209","2067399031")</f>
        <v>0</v>
      </c>
    </row>
    <row r="330" spans="1:9" x14ac:dyDescent="0.2">
      <c r="A330" s="46" t="s">
        <v>32</v>
      </c>
      <c r="B330" s="46" t="s">
        <v>32</v>
      </c>
      <c r="C330" s="46" t="s">
        <v>32</v>
      </c>
      <c r="D330" s="46" t="s">
        <v>32</v>
      </c>
      <c r="E330" s="46" t="s">
        <v>32</v>
      </c>
      <c r="F330" s="47">
        <f>[1]!BexGetData("DP_2","DL719O2RYNC0Y217V0FVT1R77","17","E","13012121E209","2067515012")</f>
        <v>14879.34</v>
      </c>
      <c r="G330" s="48">
        <f>[1]!BexGetData("DP_2","DL719O2RYNEBZX0HTMQQ0BY0J","17","E","13012121E209","2067515012")</f>
        <v>14879.34</v>
      </c>
      <c r="H330" s="48">
        <f>[1]!BexGetData("DP_2","DL719O2RYNGN1RZRS91K7M4TV","17","E","13012121E209","2067515012")</f>
        <v>5974</v>
      </c>
      <c r="I330" s="48">
        <f>[1]!BexGetData("DP_2","DL719O2RYNIY3MZ1QVCEEWBN7","17","E","13012121E209","2067515012")</f>
        <v>0</v>
      </c>
    </row>
    <row r="331" spans="1:9" x14ac:dyDescent="0.2">
      <c r="A331" s="46" t="s">
        <v>32</v>
      </c>
      <c r="B331" s="46" t="s">
        <v>32</v>
      </c>
      <c r="C331" s="46" t="s">
        <v>32</v>
      </c>
      <c r="D331" s="46" t="s">
        <v>32</v>
      </c>
      <c r="E331" s="46" t="s">
        <v>32</v>
      </c>
      <c r="F331" s="47">
        <f>[1]!BexGetData("DP_2","DL719O2RYNC0Y217V0FVT1R77","17","E","13012121E209","2067564012")</f>
        <v>21500</v>
      </c>
      <c r="G331" s="48">
        <f>[1]!BexGetData("DP_2","DL719O2RYNEBZX0HTMQQ0BY0J","17","E","13012121E209","2067564012")</f>
        <v>21500</v>
      </c>
      <c r="H331" s="48">
        <f>[1]!BexGetData("DP_2","DL719O2RYNGN1RZRS91K7M4TV","17","E","13012121E209","2067564012")</f>
        <v>21500</v>
      </c>
      <c r="I331" s="48">
        <f>[1]!BexGetData("DP_2","DL719O2RYNIY3MZ1QVCEEWBN7","17","E","13012121E209","2067564012")</f>
        <v>0</v>
      </c>
    </row>
    <row r="332" spans="1:9" x14ac:dyDescent="0.2">
      <c r="A332" s="46" t="s">
        <v>32</v>
      </c>
      <c r="B332" s="46" t="s">
        <v>32</v>
      </c>
      <c r="C332" s="46" t="s">
        <v>87</v>
      </c>
      <c r="D332" s="46" t="s">
        <v>87</v>
      </c>
      <c r="E332" s="46" t="s">
        <v>32</v>
      </c>
      <c r="F332" s="47">
        <f>[1]!BexGetData("DP_2","DL719O2RYNC0Y217V0FVT1R77","17","E","13033071E207","2067113021")</f>
        <v>1117053.9099999999</v>
      </c>
      <c r="G332" s="48">
        <f>[1]!BexGetData("DP_2","DL719O2RYNEBZX0HTMQQ0BY0J","17","E","13033071E207","2067113021")</f>
        <v>1117053.9099999999</v>
      </c>
      <c r="H332" s="48">
        <f>[1]!BexGetData("DP_2","DL719O2RYNGN1RZRS91K7M4TV","17","E","13033071E207","2067113021")</f>
        <v>1117053.9099999999</v>
      </c>
      <c r="I332" s="48">
        <f>[1]!BexGetData("DP_2","DL719O2RYNIY3MZ1QVCEEWBN7","17","E","13033071E207","2067113021")</f>
        <v>0</v>
      </c>
    </row>
    <row r="333" spans="1:9" x14ac:dyDescent="0.2">
      <c r="A333" s="46" t="s">
        <v>32</v>
      </c>
      <c r="B333" s="46" t="s">
        <v>32</v>
      </c>
      <c r="C333" s="46" t="s">
        <v>32</v>
      </c>
      <c r="D333" s="46" t="s">
        <v>32</v>
      </c>
      <c r="E333" s="46" t="s">
        <v>32</v>
      </c>
      <c r="F333" s="47">
        <f>[1]!BexGetData("DP_2","DL719O2RYNC0Y217V0FVT1R77","17","E","13033071E207","2067131021")</f>
        <v>23286.06</v>
      </c>
      <c r="G333" s="48">
        <f>[1]!BexGetData("DP_2","DL719O2RYNEBZX0HTMQQ0BY0J","17","E","13033071E207","2067131021")</f>
        <v>23286.06</v>
      </c>
      <c r="H333" s="48">
        <f>[1]!BexGetData("DP_2","DL719O2RYNGN1RZRS91K7M4TV","17","E","13033071E207","2067131021")</f>
        <v>23286.06</v>
      </c>
      <c r="I333" s="48">
        <f>[1]!BexGetData("DP_2","DL719O2RYNIY3MZ1QVCEEWBN7","17","E","13033071E207","2067131021")</f>
        <v>0</v>
      </c>
    </row>
    <row r="334" spans="1:9" x14ac:dyDescent="0.2">
      <c r="A334" s="46" t="s">
        <v>32</v>
      </c>
      <c r="B334" s="46" t="s">
        <v>32</v>
      </c>
      <c r="C334" s="46" t="s">
        <v>32</v>
      </c>
      <c r="D334" s="46" t="s">
        <v>32</v>
      </c>
      <c r="E334" s="46" t="s">
        <v>32</v>
      </c>
      <c r="F334" s="47">
        <f>[1]!BexGetData("DP_2","DL719O2RYNC0Y217V0FVT1R77","17","E","13033071E207","2067132011")</f>
        <v>46012.17</v>
      </c>
      <c r="G334" s="48">
        <f>[1]!BexGetData("DP_2","DL719O2RYNEBZX0HTMQQ0BY0J","17","E","13033071E207","2067132011")</f>
        <v>46012.17</v>
      </c>
      <c r="H334" s="48">
        <f>[1]!BexGetData("DP_2","DL719O2RYNGN1RZRS91K7M4TV","17","E","13033071E207","2067132011")</f>
        <v>46012.17</v>
      </c>
      <c r="I334" s="48">
        <f>[1]!BexGetData("DP_2","DL719O2RYNIY3MZ1QVCEEWBN7","17","E","13033071E207","2067132011")</f>
        <v>0</v>
      </c>
    </row>
    <row r="335" spans="1:9" x14ac:dyDescent="0.2">
      <c r="A335" s="46" t="s">
        <v>32</v>
      </c>
      <c r="B335" s="46" t="s">
        <v>32</v>
      </c>
      <c r="C335" s="46" t="s">
        <v>32</v>
      </c>
      <c r="D335" s="46" t="s">
        <v>32</v>
      </c>
      <c r="E335" s="46" t="s">
        <v>32</v>
      </c>
      <c r="F335" s="47">
        <f>[1]!BexGetData("DP_2","DL719O2RYNC0Y217V0FVT1R77","17","E","13033071E207","2067132021")</f>
        <v>242561.21</v>
      </c>
      <c r="G335" s="48">
        <f>[1]!BexGetData("DP_2","DL719O2RYNEBZX0HTMQQ0BY0J","17","E","13033071E207","2067132021")</f>
        <v>242561.21</v>
      </c>
      <c r="H335" s="48">
        <f>[1]!BexGetData("DP_2","DL719O2RYNGN1RZRS91K7M4TV","17","E","13033071E207","2067132021")</f>
        <v>242561.21</v>
      </c>
      <c r="I335" s="48">
        <f>[1]!BexGetData("DP_2","DL719O2RYNIY3MZ1QVCEEWBN7","17","E","13033071E207","2067132021")</f>
        <v>0</v>
      </c>
    </row>
    <row r="336" spans="1:9" x14ac:dyDescent="0.2">
      <c r="A336" s="46" t="s">
        <v>32</v>
      </c>
      <c r="B336" s="46" t="s">
        <v>32</v>
      </c>
      <c r="C336" s="46" t="s">
        <v>32</v>
      </c>
      <c r="D336" s="46" t="s">
        <v>32</v>
      </c>
      <c r="E336" s="46" t="s">
        <v>32</v>
      </c>
      <c r="F336" s="47">
        <f>[1]!BexGetData("DP_2","DL719O2RYNC0Y217V0FVT1R77","17","E","13033071E207","2067134011")</f>
        <v>191552.24</v>
      </c>
      <c r="G336" s="48">
        <f>[1]!BexGetData("DP_2","DL719O2RYNEBZX0HTMQQ0BY0J","17","E","13033071E207","2067134011")</f>
        <v>191552.24</v>
      </c>
      <c r="H336" s="48">
        <f>[1]!BexGetData("DP_2","DL719O2RYNGN1RZRS91K7M4TV","17","E","13033071E207","2067134011")</f>
        <v>194329.49</v>
      </c>
      <c r="I336" s="48">
        <f>[1]!BexGetData("DP_2","DL719O2RYNIY3MZ1QVCEEWBN7","17","E","13033071E207","2067134011")</f>
        <v>0</v>
      </c>
    </row>
    <row r="337" spans="1:9" x14ac:dyDescent="0.2">
      <c r="A337" s="46" t="s">
        <v>32</v>
      </c>
      <c r="B337" s="46" t="s">
        <v>32</v>
      </c>
      <c r="C337" s="46" t="s">
        <v>32</v>
      </c>
      <c r="D337" s="46" t="s">
        <v>32</v>
      </c>
      <c r="E337" s="46" t="s">
        <v>32</v>
      </c>
      <c r="F337" s="47">
        <f>[1]!BexGetData("DP_2","DL719O2RYNC0Y217V0FVT1R77","17","E","13033071E207","2067134021")</f>
        <v>504474.06</v>
      </c>
      <c r="G337" s="48">
        <f>[1]!BexGetData("DP_2","DL719O2RYNEBZX0HTMQQ0BY0J","17","E","13033071E207","2067134021")</f>
        <v>504474.06</v>
      </c>
      <c r="H337" s="48">
        <f>[1]!BexGetData("DP_2","DL719O2RYNGN1RZRS91K7M4TV","17","E","13033071E207","2067134021")</f>
        <v>504474.06</v>
      </c>
      <c r="I337" s="48">
        <f>[1]!BexGetData("DP_2","DL719O2RYNIY3MZ1QVCEEWBN7","17","E","13033071E207","2067134021")</f>
        <v>0</v>
      </c>
    </row>
    <row r="338" spans="1:9" x14ac:dyDescent="0.2">
      <c r="A338" s="46" t="s">
        <v>32</v>
      </c>
      <c r="B338" s="46" t="s">
        <v>32</v>
      </c>
      <c r="C338" s="46" t="s">
        <v>32</v>
      </c>
      <c r="D338" s="46" t="s">
        <v>32</v>
      </c>
      <c r="E338" s="46" t="s">
        <v>32</v>
      </c>
      <c r="F338" s="47">
        <f>[1]!BexGetData("DP_2","DL719O2RYNC0Y217V0FVT1R77","17","E","13033071E207","2067141011")</f>
        <v>221980.89</v>
      </c>
      <c r="G338" s="48">
        <f>[1]!BexGetData("DP_2","DL719O2RYNEBZX0HTMQQ0BY0J","17","E","13033071E207","2067141011")</f>
        <v>221980.89</v>
      </c>
      <c r="H338" s="48">
        <f>[1]!BexGetData("DP_2","DL719O2RYNGN1RZRS91K7M4TV","17","E","13033071E207","2067141011")</f>
        <v>221980.89</v>
      </c>
      <c r="I338" s="48">
        <f>[1]!BexGetData("DP_2","DL719O2RYNIY3MZ1QVCEEWBN7","17","E","13033071E207","2067141011")</f>
        <v>0</v>
      </c>
    </row>
    <row r="339" spans="1:9" x14ac:dyDescent="0.2">
      <c r="A339" s="46" t="s">
        <v>32</v>
      </c>
      <c r="B339" s="46" t="s">
        <v>32</v>
      </c>
      <c r="C339" s="46" t="s">
        <v>32</v>
      </c>
      <c r="D339" s="46" t="s">
        <v>32</v>
      </c>
      <c r="E339" s="46" t="s">
        <v>32</v>
      </c>
      <c r="F339" s="47">
        <f>[1]!BexGetData("DP_2","DL719O2RYNC0Y217V0FVT1R77","17","E","13033071E207","2067141021")</f>
        <v>71123.59</v>
      </c>
      <c r="G339" s="48">
        <f>[1]!BexGetData("DP_2","DL719O2RYNEBZX0HTMQQ0BY0J","17","E","13033071E207","2067141021")</f>
        <v>71123.59</v>
      </c>
      <c r="H339" s="48">
        <f>[1]!BexGetData("DP_2","DL719O2RYNGN1RZRS91K7M4TV","17","E","13033071E207","2067141021")</f>
        <v>71123.59</v>
      </c>
      <c r="I339" s="48">
        <f>[1]!BexGetData("DP_2","DL719O2RYNIY3MZ1QVCEEWBN7","17","E","13033071E207","2067141021")</f>
        <v>0</v>
      </c>
    </row>
    <row r="340" spans="1:9" x14ac:dyDescent="0.2">
      <c r="A340" s="46" t="s">
        <v>32</v>
      </c>
      <c r="B340" s="46" t="s">
        <v>32</v>
      </c>
      <c r="C340" s="46" t="s">
        <v>32</v>
      </c>
      <c r="D340" s="46" t="s">
        <v>32</v>
      </c>
      <c r="E340" s="46" t="s">
        <v>32</v>
      </c>
      <c r="F340" s="47">
        <f>[1]!BexGetData("DP_2","DL719O2RYNC0Y217V0FVT1R77","17","E","13033071E207","2067143011")</f>
        <v>33775.699999999997</v>
      </c>
      <c r="G340" s="48">
        <f>[1]!BexGetData("DP_2","DL719O2RYNEBZX0HTMQQ0BY0J","17","E","13033071E207","2067143011")</f>
        <v>33775.699999999997</v>
      </c>
      <c r="H340" s="48">
        <f>[1]!BexGetData("DP_2","DL719O2RYNGN1RZRS91K7M4TV","17","E","13033071E207","2067143011")</f>
        <v>33775.699999999997</v>
      </c>
      <c r="I340" s="48">
        <f>[1]!BexGetData("DP_2","DL719O2RYNIY3MZ1QVCEEWBN7","17","E","13033071E207","2067143011")</f>
        <v>0</v>
      </c>
    </row>
    <row r="341" spans="1:9" x14ac:dyDescent="0.2">
      <c r="A341" s="46" t="s">
        <v>32</v>
      </c>
      <c r="B341" s="46" t="s">
        <v>32</v>
      </c>
      <c r="C341" s="46" t="s">
        <v>32</v>
      </c>
      <c r="D341" s="46" t="s">
        <v>32</v>
      </c>
      <c r="E341" s="46" t="s">
        <v>32</v>
      </c>
      <c r="F341" s="47">
        <f>[1]!BexGetData("DP_2","DL719O2RYNC0Y217V0FVT1R77","17","E","13033071E207","2067151011")</f>
        <v>134777.16</v>
      </c>
      <c r="G341" s="48">
        <f>[1]!BexGetData("DP_2","DL719O2RYNEBZX0HTMQQ0BY0J","17","E","13033071E207","2067151011")</f>
        <v>134777.16</v>
      </c>
      <c r="H341" s="48">
        <f>[1]!BexGetData("DP_2","DL719O2RYNGN1RZRS91K7M4TV","17","E","13033071E207","2067151011")</f>
        <v>134777.16</v>
      </c>
      <c r="I341" s="48">
        <f>[1]!BexGetData("DP_2","DL719O2RYNIY3MZ1QVCEEWBN7","17","E","13033071E207","2067151011")</f>
        <v>0</v>
      </c>
    </row>
    <row r="342" spans="1:9" x14ac:dyDescent="0.2">
      <c r="A342" s="46" t="s">
        <v>32</v>
      </c>
      <c r="B342" s="46" t="s">
        <v>32</v>
      </c>
      <c r="C342" s="46" t="s">
        <v>32</v>
      </c>
      <c r="D342" s="46" t="s">
        <v>32</v>
      </c>
      <c r="E342" s="46" t="s">
        <v>32</v>
      </c>
      <c r="F342" s="47">
        <f>[1]!BexGetData("DP_2","DL719O2RYNC0Y217V0FVT1R77","17","E","13033071E207","2067154011")</f>
        <v>360541.18</v>
      </c>
      <c r="G342" s="48">
        <f>[1]!BexGetData("DP_2","DL719O2RYNEBZX0HTMQQ0BY0J","17","E","13033071E207","2067154011")</f>
        <v>360541.18</v>
      </c>
      <c r="H342" s="48">
        <f>[1]!BexGetData("DP_2","DL719O2RYNGN1RZRS91K7M4TV","17","E","13033071E207","2067154011")</f>
        <v>360541.18</v>
      </c>
      <c r="I342" s="48">
        <f>[1]!BexGetData("DP_2","DL719O2RYNIY3MZ1QVCEEWBN7","17","E","13033071E207","2067154011")</f>
        <v>0</v>
      </c>
    </row>
    <row r="343" spans="1:9" x14ac:dyDescent="0.2">
      <c r="A343" s="46" t="s">
        <v>32</v>
      </c>
      <c r="B343" s="46" t="s">
        <v>32</v>
      </c>
      <c r="C343" s="46" t="s">
        <v>32</v>
      </c>
      <c r="D343" s="46" t="s">
        <v>32</v>
      </c>
      <c r="E343" s="46" t="s">
        <v>32</v>
      </c>
      <c r="F343" s="47">
        <f>[1]!BexGetData("DP_2","DL719O2RYNC0Y217V0FVT1R77","17","E","13033071E207","2067211011")</f>
        <v>4161</v>
      </c>
      <c r="G343" s="48">
        <f>[1]!BexGetData("DP_2","DL719O2RYNEBZX0HTMQQ0BY0J","17","E","13033071E207","2067211011")</f>
        <v>4161</v>
      </c>
      <c r="H343" s="48">
        <f>[1]!BexGetData("DP_2","DL719O2RYNGN1RZRS91K7M4TV","17","E","13033071E207","2067211011")</f>
        <v>4161</v>
      </c>
      <c r="I343" s="48">
        <f>[1]!BexGetData("DP_2","DL719O2RYNIY3MZ1QVCEEWBN7","17","E","13033071E207","2067211011")</f>
        <v>0</v>
      </c>
    </row>
    <row r="344" spans="1:9" x14ac:dyDescent="0.2">
      <c r="A344" s="46" t="s">
        <v>32</v>
      </c>
      <c r="B344" s="46" t="s">
        <v>32</v>
      </c>
      <c r="C344" s="46" t="s">
        <v>32</v>
      </c>
      <c r="D344" s="46" t="s">
        <v>32</v>
      </c>
      <c r="E344" s="46" t="s">
        <v>32</v>
      </c>
      <c r="F344" s="47">
        <f>[1]!BexGetData("DP_2","DL719O2RYNC0Y217V0FVT1R77","17","E","13033071E207","2067211021")</f>
        <v>160.02000000000001</v>
      </c>
      <c r="G344" s="48">
        <f>[1]!BexGetData("DP_2","DL719O2RYNEBZX0HTMQQ0BY0J","17","E","13033071E207","2067211021")</f>
        <v>160.02000000000001</v>
      </c>
      <c r="H344" s="48">
        <f>[1]!BexGetData("DP_2","DL719O2RYNGN1RZRS91K7M4TV","17","E","13033071E207","2067211021")</f>
        <v>160.02000000000001</v>
      </c>
      <c r="I344" s="48">
        <f>[1]!BexGetData("DP_2","DL719O2RYNIY3MZ1QVCEEWBN7","17","E","13033071E207","2067211021")</f>
        <v>0</v>
      </c>
    </row>
    <row r="345" spans="1:9" x14ac:dyDescent="0.2">
      <c r="A345" s="46" t="s">
        <v>32</v>
      </c>
      <c r="B345" s="46" t="s">
        <v>32</v>
      </c>
      <c r="C345" s="46" t="s">
        <v>32</v>
      </c>
      <c r="D345" s="46" t="s">
        <v>32</v>
      </c>
      <c r="E345" s="46" t="s">
        <v>32</v>
      </c>
      <c r="F345" s="47">
        <f>[1]!BexGetData("DP_2","DL719O2RYNC0Y217V0FVT1R77","17","E","13033071E207","2067211031")</f>
        <v>0</v>
      </c>
      <c r="G345" s="48">
        <f>[1]!BexGetData("DP_2","DL719O2RYNEBZX0HTMQQ0BY0J","17","E","13033071E207","2067211031")</f>
        <v>0</v>
      </c>
      <c r="H345" s="48">
        <f>[1]!BexGetData("DP_2","DL719O2RYNGN1RZRS91K7M4TV","17","E","13033071E207","2067211031")</f>
        <v>0</v>
      </c>
      <c r="I345" s="48">
        <f>[1]!BexGetData("DP_2","DL719O2RYNIY3MZ1QVCEEWBN7","17","E","13033071E207","2067211031")</f>
        <v>0</v>
      </c>
    </row>
    <row r="346" spans="1:9" x14ac:dyDescent="0.2">
      <c r="A346" s="46" t="s">
        <v>32</v>
      </c>
      <c r="B346" s="46" t="s">
        <v>32</v>
      </c>
      <c r="C346" s="46" t="s">
        <v>32</v>
      </c>
      <c r="D346" s="46" t="s">
        <v>32</v>
      </c>
      <c r="E346" s="46" t="s">
        <v>32</v>
      </c>
      <c r="F346" s="47">
        <f>[1]!BexGetData("DP_2","DL719O2RYNC0Y217V0FVT1R77","17","E","13033071E207","2067214011")</f>
        <v>3554.59</v>
      </c>
      <c r="G346" s="48">
        <f>[1]!BexGetData("DP_2","DL719O2RYNEBZX0HTMQQ0BY0J","17","E","13033071E207","2067214011")</f>
        <v>3554.59</v>
      </c>
      <c r="H346" s="48">
        <f>[1]!BexGetData("DP_2","DL719O2RYNGN1RZRS91K7M4TV","17","E","13033071E207","2067214011")</f>
        <v>3554.59</v>
      </c>
      <c r="I346" s="48">
        <f>[1]!BexGetData("DP_2","DL719O2RYNIY3MZ1QVCEEWBN7","17","E","13033071E207","2067214011")</f>
        <v>0</v>
      </c>
    </row>
    <row r="347" spans="1:9" x14ac:dyDescent="0.2">
      <c r="A347" s="46" t="s">
        <v>32</v>
      </c>
      <c r="B347" s="46" t="s">
        <v>32</v>
      </c>
      <c r="C347" s="46" t="s">
        <v>32</v>
      </c>
      <c r="D347" s="46" t="s">
        <v>32</v>
      </c>
      <c r="E347" s="46" t="s">
        <v>32</v>
      </c>
      <c r="F347" s="47">
        <f>[1]!BexGetData("DP_2","DL719O2RYNC0Y217V0FVT1R77","17","E","13033071E207","2067215021")</f>
        <v>0</v>
      </c>
      <c r="G347" s="48">
        <f>[1]!BexGetData("DP_2","DL719O2RYNEBZX0HTMQQ0BY0J","17","E","13033071E207","2067215021")</f>
        <v>0</v>
      </c>
      <c r="H347" s="48">
        <f>[1]!BexGetData("DP_2","DL719O2RYNGN1RZRS91K7M4TV","17","E","13033071E207","2067215021")</f>
        <v>0</v>
      </c>
      <c r="I347" s="48">
        <f>[1]!BexGetData("DP_2","DL719O2RYNIY3MZ1QVCEEWBN7","17","E","13033071E207","2067215021")</f>
        <v>0</v>
      </c>
    </row>
    <row r="348" spans="1:9" x14ac:dyDescent="0.2">
      <c r="A348" s="46" t="s">
        <v>32</v>
      </c>
      <c r="B348" s="46" t="s">
        <v>32</v>
      </c>
      <c r="C348" s="46" t="s">
        <v>32</v>
      </c>
      <c r="D348" s="46" t="s">
        <v>32</v>
      </c>
      <c r="E348" s="46" t="s">
        <v>32</v>
      </c>
      <c r="F348" s="47">
        <f>[1]!BexGetData("DP_2","DL719O2RYNC0Y217V0FVT1R77","17","E","13033071E207","2067216011")</f>
        <v>0</v>
      </c>
      <c r="G348" s="48">
        <f>[1]!BexGetData("DP_2","DL719O2RYNEBZX0HTMQQ0BY0J","17","E","13033071E207","2067216011")</f>
        <v>0</v>
      </c>
      <c r="H348" s="48">
        <f>[1]!BexGetData("DP_2","DL719O2RYNGN1RZRS91K7M4TV","17","E","13033071E207","2067216011")</f>
        <v>0</v>
      </c>
      <c r="I348" s="48">
        <f>[1]!BexGetData("DP_2","DL719O2RYNIY3MZ1QVCEEWBN7","17","E","13033071E207","2067216011")</f>
        <v>0</v>
      </c>
    </row>
    <row r="349" spans="1:9" x14ac:dyDescent="0.2">
      <c r="A349" s="46" t="s">
        <v>32</v>
      </c>
      <c r="B349" s="46" t="s">
        <v>32</v>
      </c>
      <c r="C349" s="46" t="s">
        <v>32</v>
      </c>
      <c r="D349" s="46" t="s">
        <v>32</v>
      </c>
      <c r="E349" s="46" t="s">
        <v>32</v>
      </c>
      <c r="F349" s="47">
        <f>[1]!BexGetData("DP_2","DL719O2RYNC0Y217V0FVT1R77","17","E","13033071E207","2067249011")</f>
        <v>0</v>
      </c>
      <c r="G349" s="48">
        <f>[1]!BexGetData("DP_2","DL719O2RYNEBZX0HTMQQ0BY0J","17","E","13033071E207","2067249011")</f>
        <v>0</v>
      </c>
      <c r="H349" s="48">
        <f>[1]!BexGetData("DP_2","DL719O2RYNGN1RZRS91K7M4TV","17","E","13033071E207","2067249011")</f>
        <v>0</v>
      </c>
      <c r="I349" s="48">
        <f>[1]!BexGetData("DP_2","DL719O2RYNIY3MZ1QVCEEWBN7","17","E","13033071E207","2067249011")</f>
        <v>0</v>
      </c>
    </row>
    <row r="350" spans="1:9" x14ac:dyDescent="0.2">
      <c r="A350" s="46" t="s">
        <v>32</v>
      </c>
      <c r="B350" s="46" t="s">
        <v>32</v>
      </c>
      <c r="C350" s="46" t="s">
        <v>32</v>
      </c>
      <c r="D350" s="46" t="s">
        <v>32</v>
      </c>
      <c r="E350" s="46" t="s">
        <v>32</v>
      </c>
      <c r="F350" s="47">
        <f>[1]!BexGetData("DP_2","DL719O2RYNC0Y217V0FVT1R77","17","E","13033071E207","2067256011")</f>
        <v>0</v>
      </c>
      <c r="G350" s="48">
        <f>[1]!BexGetData("DP_2","DL719O2RYNEBZX0HTMQQ0BY0J","17","E","13033071E207","2067256011")</f>
        <v>0</v>
      </c>
      <c r="H350" s="48">
        <f>[1]!BexGetData("DP_2","DL719O2RYNGN1RZRS91K7M4TV","17","E","13033071E207","2067256011")</f>
        <v>0</v>
      </c>
      <c r="I350" s="48">
        <f>[1]!BexGetData("DP_2","DL719O2RYNIY3MZ1QVCEEWBN7","17","E","13033071E207","2067256011")</f>
        <v>0</v>
      </c>
    </row>
    <row r="351" spans="1:9" x14ac:dyDescent="0.2">
      <c r="A351" s="46" t="s">
        <v>32</v>
      </c>
      <c r="B351" s="46" t="s">
        <v>32</v>
      </c>
      <c r="C351" s="46" t="s">
        <v>32</v>
      </c>
      <c r="D351" s="46" t="s">
        <v>32</v>
      </c>
      <c r="E351" s="46" t="s">
        <v>32</v>
      </c>
      <c r="F351" s="47">
        <f>[1]!BexGetData("DP_2","DL719O2RYNC0Y217V0FVT1R77","17","E","13033071E207","2067272011")</f>
        <v>956.23</v>
      </c>
      <c r="G351" s="48">
        <f>[1]!BexGetData("DP_2","DL719O2RYNEBZX0HTMQQ0BY0J","17","E","13033071E207","2067272011")</f>
        <v>956.23</v>
      </c>
      <c r="H351" s="48">
        <f>[1]!BexGetData("DP_2","DL719O2RYNGN1RZRS91K7M4TV","17","E","13033071E207","2067272011")</f>
        <v>956.23</v>
      </c>
      <c r="I351" s="48">
        <f>[1]!BexGetData("DP_2","DL719O2RYNIY3MZ1QVCEEWBN7","17","E","13033071E207","2067272011")</f>
        <v>0</v>
      </c>
    </row>
    <row r="352" spans="1:9" x14ac:dyDescent="0.2">
      <c r="A352" s="46" t="s">
        <v>32</v>
      </c>
      <c r="B352" s="46" t="s">
        <v>32</v>
      </c>
      <c r="C352" s="46" t="s">
        <v>32</v>
      </c>
      <c r="D352" s="46" t="s">
        <v>32</v>
      </c>
      <c r="E352" s="46" t="s">
        <v>32</v>
      </c>
      <c r="F352" s="47">
        <f>[1]!BexGetData("DP_2","DL719O2RYNC0Y217V0FVT1R77","17","E","13033071E207","2067311011")</f>
        <v>1818.67</v>
      </c>
      <c r="G352" s="48">
        <f>[1]!BexGetData("DP_2","DL719O2RYNEBZX0HTMQQ0BY0J","17","E","13033071E207","2067311011")</f>
        <v>1818.67</v>
      </c>
      <c r="H352" s="48">
        <f>[1]!BexGetData("DP_2","DL719O2RYNGN1RZRS91K7M4TV","17","E","13033071E207","2067311011")</f>
        <v>1818.67</v>
      </c>
      <c r="I352" s="48">
        <f>[1]!BexGetData("DP_2","DL719O2RYNIY3MZ1QVCEEWBN7","17","E","13033071E207","2067311011")</f>
        <v>0</v>
      </c>
    </row>
    <row r="353" spans="1:9" x14ac:dyDescent="0.2">
      <c r="A353" s="46" t="s">
        <v>32</v>
      </c>
      <c r="B353" s="46" t="s">
        <v>32</v>
      </c>
      <c r="C353" s="46" t="s">
        <v>32</v>
      </c>
      <c r="D353" s="46" t="s">
        <v>32</v>
      </c>
      <c r="E353" s="46" t="s">
        <v>32</v>
      </c>
      <c r="F353" s="47">
        <f>[1]!BexGetData("DP_2","DL719O2RYNC0Y217V0FVT1R77","17","E","13033071E207","2067313011")</f>
        <v>1897</v>
      </c>
      <c r="G353" s="48">
        <f>[1]!BexGetData("DP_2","DL719O2RYNEBZX0HTMQQ0BY0J","17","E","13033071E207","2067313011")</f>
        <v>1897</v>
      </c>
      <c r="H353" s="48">
        <f>[1]!BexGetData("DP_2","DL719O2RYNGN1RZRS91K7M4TV","17","E","13033071E207","2067313011")</f>
        <v>1897</v>
      </c>
      <c r="I353" s="48">
        <f>[1]!BexGetData("DP_2","DL719O2RYNIY3MZ1QVCEEWBN7","17","E","13033071E207","2067313011")</f>
        <v>0</v>
      </c>
    </row>
    <row r="354" spans="1:9" x14ac:dyDescent="0.2">
      <c r="A354" s="46" t="s">
        <v>32</v>
      </c>
      <c r="B354" s="46" t="s">
        <v>32</v>
      </c>
      <c r="C354" s="46" t="s">
        <v>32</v>
      </c>
      <c r="D354" s="46" t="s">
        <v>32</v>
      </c>
      <c r="E354" s="46" t="s">
        <v>32</v>
      </c>
      <c r="F354" s="47">
        <f>[1]!BexGetData("DP_2","DL719O2RYNC0Y217V0FVT1R77","17","E","13033071E207","2067314011")</f>
        <v>95.97</v>
      </c>
      <c r="G354" s="48">
        <f>[1]!BexGetData("DP_2","DL719O2RYNEBZX0HTMQQ0BY0J","17","E","13033071E207","2067314011")</f>
        <v>95.97</v>
      </c>
      <c r="H354" s="48">
        <f>[1]!BexGetData("DP_2","DL719O2RYNGN1RZRS91K7M4TV","17","E","13033071E207","2067314011")</f>
        <v>95.97</v>
      </c>
      <c r="I354" s="48">
        <f>[1]!BexGetData("DP_2","DL719O2RYNIY3MZ1QVCEEWBN7","17","E","13033071E207","2067314011")</f>
        <v>0</v>
      </c>
    </row>
    <row r="355" spans="1:9" x14ac:dyDescent="0.2">
      <c r="A355" s="46" t="s">
        <v>32</v>
      </c>
      <c r="B355" s="46" t="s">
        <v>32</v>
      </c>
      <c r="C355" s="46" t="s">
        <v>32</v>
      </c>
      <c r="D355" s="46" t="s">
        <v>32</v>
      </c>
      <c r="E355" s="46" t="s">
        <v>32</v>
      </c>
      <c r="F355" s="47">
        <f>[1]!BexGetData("DP_2","DL719O2RYNC0Y217V0FVT1R77","17","E","13033071E207","2067317011")</f>
        <v>41.13</v>
      </c>
      <c r="G355" s="48">
        <f>[1]!BexGetData("DP_2","DL719O2RYNEBZX0HTMQQ0BY0J","17","E","13033071E207","2067317011")</f>
        <v>41.13</v>
      </c>
      <c r="H355" s="48">
        <f>[1]!BexGetData("DP_2","DL719O2RYNGN1RZRS91K7M4TV","17","E","13033071E207","2067317011")</f>
        <v>41.13</v>
      </c>
      <c r="I355" s="48">
        <f>[1]!BexGetData("DP_2","DL719O2RYNIY3MZ1QVCEEWBN7","17","E","13033071E207","2067317011")</f>
        <v>0</v>
      </c>
    </row>
    <row r="356" spans="1:9" x14ac:dyDescent="0.2">
      <c r="A356" s="46" t="s">
        <v>32</v>
      </c>
      <c r="B356" s="46" t="s">
        <v>32</v>
      </c>
      <c r="C356" s="46" t="s">
        <v>32</v>
      </c>
      <c r="D356" s="46" t="s">
        <v>32</v>
      </c>
      <c r="E356" s="46" t="s">
        <v>32</v>
      </c>
      <c r="F356" s="47">
        <f>[1]!BexGetData("DP_2","DL719O2RYNC0Y217V0FVT1R77","17","E","13033071E207","2067322011")</f>
        <v>21200</v>
      </c>
      <c r="G356" s="48">
        <f>[1]!BexGetData("DP_2","DL719O2RYNEBZX0HTMQQ0BY0J","17","E","13033071E207","2067322011")</f>
        <v>21200</v>
      </c>
      <c r="H356" s="48">
        <f>[1]!BexGetData("DP_2","DL719O2RYNGN1RZRS91K7M4TV","17","E","13033071E207","2067322011")</f>
        <v>21200</v>
      </c>
      <c r="I356" s="48">
        <f>[1]!BexGetData("DP_2","DL719O2RYNIY3MZ1QVCEEWBN7","17","E","13033071E207","2067322011")</f>
        <v>0</v>
      </c>
    </row>
    <row r="357" spans="1:9" x14ac:dyDescent="0.2">
      <c r="A357" s="46" t="s">
        <v>32</v>
      </c>
      <c r="B357" s="46" t="s">
        <v>32</v>
      </c>
      <c r="C357" s="46" t="s">
        <v>32</v>
      </c>
      <c r="D357" s="46" t="s">
        <v>32</v>
      </c>
      <c r="E357" s="46" t="s">
        <v>32</v>
      </c>
      <c r="F357" s="47">
        <f>[1]!BexGetData("DP_2","DL719O2RYNC0Y217V0FVT1R77","17","E","13033071E207","2067323011")</f>
        <v>48.39</v>
      </c>
      <c r="G357" s="48">
        <f>[1]!BexGetData("DP_2","DL719O2RYNEBZX0HTMQQ0BY0J","17","E","13033071E207","2067323011")</f>
        <v>48.39</v>
      </c>
      <c r="H357" s="48">
        <f>[1]!BexGetData("DP_2","DL719O2RYNGN1RZRS91K7M4TV","17","E","13033071E207","2067323011")</f>
        <v>48.39</v>
      </c>
      <c r="I357" s="48">
        <f>[1]!BexGetData("DP_2","DL719O2RYNIY3MZ1QVCEEWBN7","17","E","13033071E207","2067323011")</f>
        <v>0</v>
      </c>
    </row>
    <row r="358" spans="1:9" x14ac:dyDescent="0.2">
      <c r="A358" s="46" t="s">
        <v>32</v>
      </c>
      <c r="B358" s="46" t="s">
        <v>32</v>
      </c>
      <c r="C358" s="46" t="s">
        <v>32</v>
      </c>
      <c r="D358" s="46" t="s">
        <v>32</v>
      </c>
      <c r="E358" s="46" t="s">
        <v>32</v>
      </c>
      <c r="F358" s="47">
        <f>[1]!BexGetData("DP_2","DL719O2RYNC0Y217V0FVT1R77","17","E","13033071E207","2067336011")</f>
        <v>58200.31</v>
      </c>
      <c r="G358" s="48">
        <f>[1]!BexGetData("DP_2","DL719O2RYNEBZX0HTMQQ0BY0J","17","E","13033071E207","2067336011")</f>
        <v>58200.31</v>
      </c>
      <c r="H358" s="48">
        <f>[1]!BexGetData("DP_2","DL719O2RYNGN1RZRS91K7M4TV","17","E","13033071E207","2067336011")</f>
        <v>13667.74</v>
      </c>
      <c r="I358" s="48">
        <f>[1]!BexGetData("DP_2","DL719O2RYNIY3MZ1QVCEEWBN7","17","E","13033071E207","2067336011")</f>
        <v>0</v>
      </c>
    </row>
    <row r="359" spans="1:9" x14ac:dyDescent="0.2">
      <c r="A359" s="46" t="s">
        <v>32</v>
      </c>
      <c r="B359" s="46" t="s">
        <v>32</v>
      </c>
      <c r="C359" s="46" t="s">
        <v>32</v>
      </c>
      <c r="D359" s="46" t="s">
        <v>32</v>
      </c>
      <c r="E359" s="46" t="s">
        <v>32</v>
      </c>
      <c r="F359" s="47">
        <f>[1]!BexGetData("DP_2","DL719O2RYNC0Y217V0FVT1R77","17","E","13033071E207","2067355011")</f>
        <v>2980.49</v>
      </c>
      <c r="G359" s="48">
        <f>[1]!BexGetData("DP_2","DL719O2RYNEBZX0HTMQQ0BY0J","17","E","13033071E207","2067355011")</f>
        <v>2980.49</v>
      </c>
      <c r="H359" s="48">
        <f>[1]!BexGetData("DP_2","DL719O2RYNGN1RZRS91K7M4TV","17","E","13033071E207","2067355011")</f>
        <v>2980.49</v>
      </c>
      <c r="I359" s="48">
        <f>[1]!BexGetData("DP_2","DL719O2RYNIY3MZ1QVCEEWBN7","17","E","13033071E207","2067355011")</f>
        <v>0</v>
      </c>
    </row>
    <row r="360" spans="1:9" x14ac:dyDescent="0.2">
      <c r="A360" s="46" t="s">
        <v>32</v>
      </c>
      <c r="B360" s="46" t="s">
        <v>32</v>
      </c>
      <c r="C360" s="46" t="s">
        <v>88</v>
      </c>
      <c r="D360" s="46" t="s">
        <v>88</v>
      </c>
      <c r="E360" s="46" t="s">
        <v>32</v>
      </c>
      <c r="F360" s="47">
        <f>[1]!BexGetData("DP_2","DL719O2RYNC0Y217V0FVT1R77","17","E","13041061E101","2067113011")</f>
        <v>3539610.11</v>
      </c>
      <c r="G360" s="48">
        <f>[1]!BexGetData("DP_2","DL719O2RYNEBZX0HTMQQ0BY0J","17","E","13041061E101","2067113011")</f>
        <v>3539610.11</v>
      </c>
      <c r="H360" s="48">
        <f>[1]!BexGetData("DP_2","DL719O2RYNGN1RZRS91K7M4TV","17","E","13041061E101","2067113011")</f>
        <v>3539610.11</v>
      </c>
      <c r="I360" s="48">
        <f>[1]!BexGetData("DP_2","DL719O2RYNIY3MZ1QVCEEWBN7","17","E","13041061E101","2067113011")</f>
        <v>0</v>
      </c>
    </row>
    <row r="361" spans="1:9" x14ac:dyDescent="0.2">
      <c r="A361" s="46" t="s">
        <v>32</v>
      </c>
      <c r="B361" s="46" t="s">
        <v>32</v>
      </c>
      <c r="C361" s="46" t="s">
        <v>32</v>
      </c>
      <c r="D361" s="46" t="s">
        <v>32</v>
      </c>
      <c r="E361" s="46" t="s">
        <v>32</v>
      </c>
      <c r="F361" s="47">
        <f>[1]!BexGetData("DP_2","DL719O2RYNC0Y217V0FVT1R77","17","E","13041061E101","2067113021")</f>
        <v>4349180.59</v>
      </c>
      <c r="G361" s="48">
        <f>[1]!BexGetData("DP_2","DL719O2RYNEBZX0HTMQQ0BY0J","17","E","13041061E101","2067113021")</f>
        <v>4349180.59</v>
      </c>
      <c r="H361" s="48">
        <f>[1]!BexGetData("DP_2","DL719O2RYNGN1RZRS91K7M4TV","17","E","13041061E101","2067113021")</f>
        <v>4349180.59</v>
      </c>
      <c r="I361" s="48">
        <f>[1]!BexGetData("DP_2","DL719O2RYNIY3MZ1QVCEEWBN7","17","E","13041061E101","2067113021")</f>
        <v>2.0000000000000001E-9</v>
      </c>
    </row>
    <row r="362" spans="1:9" x14ac:dyDescent="0.2">
      <c r="A362" s="46" t="s">
        <v>32</v>
      </c>
      <c r="B362" s="46" t="s">
        <v>32</v>
      </c>
      <c r="C362" s="46" t="s">
        <v>32</v>
      </c>
      <c r="D362" s="46" t="s">
        <v>32</v>
      </c>
      <c r="E362" s="46" t="s">
        <v>32</v>
      </c>
      <c r="F362" s="47">
        <f>[1]!BexGetData("DP_2","DL719O2RYNC0Y217V0FVT1R77","17","E","13041061E101","2067121011")</f>
        <v>2779052.56</v>
      </c>
      <c r="G362" s="48">
        <f>[1]!BexGetData("DP_2","DL719O2RYNEBZX0HTMQQ0BY0J","17","E","13041061E101","2067121011")</f>
        <v>2779052.56</v>
      </c>
      <c r="H362" s="48">
        <f>[1]!BexGetData("DP_2","DL719O2RYNGN1RZRS91K7M4TV","17","E","13041061E101","2067121011")</f>
        <v>2594466.52</v>
      </c>
      <c r="I362" s="48">
        <f>[1]!BexGetData("DP_2","DL719O2RYNIY3MZ1QVCEEWBN7","17","E","13041061E101","2067121011")</f>
        <v>0</v>
      </c>
    </row>
    <row r="363" spans="1:9" x14ac:dyDescent="0.2">
      <c r="A363" s="46" t="s">
        <v>32</v>
      </c>
      <c r="B363" s="46" t="s">
        <v>32</v>
      </c>
      <c r="C363" s="46" t="s">
        <v>32</v>
      </c>
      <c r="D363" s="46" t="s">
        <v>32</v>
      </c>
      <c r="E363" s="46" t="s">
        <v>32</v>
      </c>
      <c r="F363" s="47">
        <f>[1]!BexGetData("DP_2","DL719O2RYNC0Y217V0FVT1R77","17","E","13041061E101","2067122011")</f>
        <v>1280333.8500000001</v>
      </c>
      <c r="G363" s="48">
        <f>[1]!BexGetData("DP_2","DL719O2RYNEBZX0HTMQQ0BY0J","17","E","13041061E101","2067122011")</f>
        <v>1280333.8500000001</v>
      </c>
      <c r="H363" s="48">
        <f>[1]!BexGetData("DP_2","DL719O2RYNGN1RZRS91K7M4TV","17","E","13041061E101","2067122011")</f>
        <v>1280333.8500000001</v>
      </c>
      <c r="I363" s="48">
        <f>[1]!BexGetData("DP_2","DL719O2RYNIY3MZ1QVCEEWBN7","17","E","13041061E101","2067122011")</f>
        <v>0</v>
      </c>
    </row>
    <row r="364" spans="1:9" x14ac:dyDescent="0.2">
      <c r="A364" s="46" t="s">
        <v>32</v>
      </c>
      <c r="B364" s="46" t="s">
        <v>32</v>
      </c>
      <c r="C364" s="46" t="s">
        <v>32</v>
      </c>
      <c r="D364" s="46" t="s">
        <v>32</v>
      </c>
      <c r="E364" s="46" t="s">
        <v>32</v>
      </c>
      <c r="F364" s="47">
        <f>[1]!BexGetData("DP_2","DL719O2RYNC0Y217V0FVT1R77","17","E","13041061E101","2067131011")</f>
        <v>528723.19999999995</v>
      </c>
      <c r="G364" s="48">
        <f>[1]!BexGetData("DP_2","DL719O2RYNEBZX0HTMQQ0BY0J","17","E","13041061E101","2067131011")</f>
        <v>528723.19999999995</v>
      </c>
      <c r="H364" s="48">
        <f>[1]!BexGetData("DP_2","DL719O2RYNGN1RZRS91K7M4TV","17","E","13041061E101","2067131011")</f>
        <v>528723.19999999995</v>
      </c>
      <c r="I364" s="48">
        <f>[1]!BexGetData("DP_2","DL719O2RYNIY3MZ1QVCEEWBN7","17","E","13041061E101","2067131011")</f>
        <v>0</v>
      </c>
    </row>
    <row r="365" spans="1:9" x14ac:dyDescent="0.2">
      <c r="A365" s="46" t="s">
        <v>32</v>
      </c>
      <c r="B365" s="46" t="s">
        <v>32</v>
      </c>
      <c r="C365" s="46" t="s">
        <v>32</v>
      </c>
      <c r="D365" s="46" t="s">
        <v>32</v>
      </c>
      <c r="E365" s="46" t="s">
        <v>32</v>
      </c>
      <c r="F365" s="47">
        <f>[1]!BexGetData("DP_2","DL719O2RYNC0Y217V0FVT1R77","17","E","13041061E101","2067131021")</f>
        <v>102371.02</v>
      </c>
      <c r="G365" s="48">
        <f>[1]!BexGetData("DP_2","DL719O2RYNEBZX0HTMQQ0BY0J","17","E","13041061E101","2067131021")</f>
        <v>102371.02</v>
      </c>
      <c r="H365" s="48">
        <f>[1]!BexGetData("DP_2","DL719O2RYNGN1RZRS91K7M4TV","17","E","13041061E101","2067131021")</f>
        <v>102371.02</v>
      </c>
      <c r="I365" s="48">
        <f>[1]!BexGetData("DP_2","DL719O2RYNIY3MZ1QVCEEWBN7","17","E","13041061E101","2067131021")</f>
        <v>0</v>
      </c>
    </row>
    <row r="366" spans="1:9" x14ac:dyDescent="0.2">
      <c r="A366" s="46" t="s">
        <v>32</v>
      </c>
      <c r="B366" s="46" t="s">
        <v>32</v>
      </c>
      <c r="C366" s="46" t="s">
        <v>32</v>
      </c>
      <c r="D366" s="46" t="s">
        <v>32</v>
      </c>
      <c r="E366" s="46" t="s">
        <v>32</v>
      </c>
      <c r="F366" s="47">
        <f>[1]!BexGetData("DP_2","DL719O2RYNC0Y217V0FVT1R77","17","E","13041061E101","2067132011")</f>
        <v>376781.94</v>
      </c>
      <c r="G366" s="48">
        <f>[1]!BexGetData("DP_2","DL719O2RYNEBZX0HTMQQ0BY0J","17","E","13041061E101","2067132011")</f>
        <v>376781.94</v>
      </c>
      <c r="H366" s="48">
        <f>[1]!BexGetData("DP_2","DL719O2RYNGN1RZRS91K7M4TV","17","E","13041061E101","2067132011")</f>
        <v>376781.94</v>
      </c>
      <c r="I366" s="48">
        <f>[1]!BexGetData("DP_2","DL719O2RYNIY3MZ1QVCEEWBN7","17","E","13041061E101","2067132011")</f>
        <v>0</v>
      </c>
    </row>
    <row r="367" spans="1:9" x14ac:dyDescent="0.2">
      <c r="A367" s="46" t="s">
        <v>32</v>
      </c>
      <c r="B367" s="46" t="s">
        <v>32</v>
      </c>
      <c r="C367" s="46" t="s">
        <v>32</v>
      </c>
      <c r="D367" s="46" t="s">
        <v>32</v>
      </c>
      <c r="E367" s="46" t="s">
        <v>32</v>
      </c>
      <c r="F367" s="47">
        <f>[1]!BexGetData("DP_2","DL719O2RYNC0Y217V0FVT1R77","17","E","13041061E101","2067132021")</f>
        <v>1814510.05</v>
      </c>
      <c r="G367" s="48">
        <f>[1]!BexGetData("DP_2","DL719O2RYNEBZX0HTMQQ0BY0J","17","E","13041061E101","2067132021")</f>
        <v>1814510.05</v>
      </c>
      <c r="H367" s="48">
        <f>[1]!BexGetData("DP_2","DL719O2RYNGN1RZRS91K7M4TV","17","E","13041061E101","2067132021")</f>
        <v>1814510.05</v>
      </c>
      <c r="I367" s="48">
        <f>[1]!BexGetData("DP_2","DL719O2RYNIY3MZ1QVCEEWBN7","17","E","13041061E101","2067132021")</f>
        <v>0</v>
      </c>
    </row>
    <row r="368" spans="1:9" x14ac:dyDescent="0.2">
      <c r="A368" s="46" t="s">
        <v>32</v>
      </c>
      <c r="B368" s="46" t="s">
        <v>32</v>
      </c>
      <c r="C368" s="46" t="s">
        <v>32</v>
      </c>
      <c r="D368" s="46" t="s">
        <v>32</v>
      </c>
      <c r="E368" s="46" t="s">
        <v>32</v>
      </c>
      <c r="F368" s="47">
        <f>[1]!BexGetData("DP_2","DL719O2RYNC0Y217V0FVT1R77","17","E","13041061E101","2067134011")</f>
        <v>5314562.62</v>
      </c>
      <c r="G368" s="48">
        <f>[1]!BexGetData("DP_2","DL719O2RYNEBZX0HTMQQ0BY0J","17","E","13041061E101","2067134011")</f>
        <v>5314562.62</v>
      </c>
      <c r="H368" s="48">
        <f>[1]!BexGetData("DP_2","DL719O2RYNGN1RZRS91K7M4TV","17","E","13041061E101","2067134011")</f>
        <v>5330477.5999999996</v>
      </c>
      <c r="I368" s="48">
        <f>[1]!BexGetData("DP_2","DL719O2RYNIY3MZ1QVCEEWBN7","17","E","13041061E101","2067134011")</f>
        <v>0</v>
      </c>
    </row>
    <row r="369" spans="1:9" x14ac:dyDescent="0.2">
      <c r="A369" s="46" t="s">
        <v>32</v>
      </c>
      <c r="B369" s="46" t="s">
        <v>32</v>
      </c>
      <c r="C369" s="46" t="s">
        <v>32</v>
      </c>
      <c r="D369" s="46" t="s">
        <v>32</v>
      </c>
      <c r="E369" s="46" t="s">
        <v>32</v>
      </c>
      <c r="F369" s="47">
        <f>[1]!BexGetData("DP_2","DL719O2RYNC0Y217V0FVT1R77","17","E","13041061E101","2067134021")</f>
        <v>4592422.8</v>
      </c>
      <c r="G369" s="48">
        <f>[1]!BexGetData("DP_2","DL719O2RYNEBZX0HTMQQ0BY0J","17","E","13041061E101","2067134021")</f>
        <v>4592422.8</v>
      </c>
      <c r="H369" s="48">
        <f>[1]!BexGetData("DP_2","DL719O2RYNGN1RZRS91K7M4TV","17","E","13041061E101","2067134021")</f>
        <v>4592422.8</v>
      </c>
      <c r="I369" s="48">
        <f>[1]!BexGetData("DP_2","DL719O2RYNIY3MZ1QVCEEWBN7","17","E","13041061E101","2067134021")</f>
        <v>-2.0000000000000001E-9</v>
      </c>
    </row>
    <row r="370" spans="1:9" x14ac:dyDescent="0.2">
      <c r="A370" s="46" t="s">
        <v>32</v>
      </c>
      <c r="B370" s="46" t="s">
        <v>32</v>
      </c>
      <c r="C370" s="46" t="s">
        <v>32</v>
      </c>
      <c r="D370" s="46" t="s">
        <v>32</v>
      </c>
      <c r="E370" s="46" t="s">
        <v>32</v>
      </c>
      <c r="F370" s="47">
        <f>[1]!BexGetData("DP_2","DL719O2RYNC0Y217V0FVT1R77","17","E","13041061E101","2067137011")</f>
        <v>0</v>
      </c>
      <c r="G370" s="48">
        <f>[1]!BexGetData("DP_2","DL719O2RYNEBZX0HTMQQ0BY0J","17","E","13041061E101","2067137011")</f>
        <v>0</v>
      </c>
      <c r="H370" s="48">
        <f>[1]!BexGetData("DP_2","DL719O2RYNGN1RZRS91K7M4TV","17","E","13041061E101","2067137011")</f>
        <v>0</v>
      </c>
      <c r="I370" s="48">
        <f>[1]!BexGetData("DP_2","DL719O2RYNIY3MZ1QVCEEWBN7","17","E","13041061E101","2067137011")</f>
        <v>0</v>
      </c>
    </row>
    <row r="371" spans="1:9" x14ac:dyDescent="0.2">
      <c r="A371" s="46" t="s">
        <v>32</v>
      </c>
      <c r="B371" s="46" t="s">
        <v>32</v>
      </c>
      <c r="C371" s="46" t="s">
        <v>32</v>
      </c>
      <c r="D371" s="46" t="s">
        <v>32</v>
      </c>
      <c r="E371" s="46" t="s">
        <v>32</v>
      </c>
      <c r="F371" s="47">
        <f>[1]!BexGetData("DP_2","DL719O2RYNC0Y217V0FVT1R77","17","E","13041061E101","2067141011")</f>
        <v>1739407.04</v>
      </c>
      <c r="G371" s="48">
        <f>[1]!BexGetData("DP_2","DL719O2RYNEBZX0HTMQQ0BY0J","17","E","13041061E101","2067141011")</f>
        <v>1739407.04</v>
      </c>
      <c r="H371" s="48">
        <f>[1]!BexGetData("DP_2","DL719O2RYNGN1RZRS91K7M4TV","17","E","13041061E101","2067141011")</f>
        <v>1739407.04</v>
      </c>
      <c r="I371" s="48">
        <f>[1]!BexGetData("DP_2","DL719O2RYNIY3MZ1QVCEEWBN7","17","E","13041061E101","2067141011")</f>
        <v>0</v>
      </c>
    </row>
    <row r="372" spans="1:9" x14ac:dyDescent="0.2">
      <c r="A372" s="46" t="s">
        <v>32</v>
      </c>
      <c r="B372" s="46" t="s">
        <v>32</v>
      </c>
      <c r="C372" s="46" t="s">
        <v>32</v>
      </c>
      <c r="D372" s="46" t="s">
        <v>32</v>
      </c>
      <c r="E372" s="46" t="s">
        <v>32</v>
      </c>
      <c r="F372" s="47">
        <f>[1]!BexGetData("DP_2","DL719O2RYNC0Y217V0FVT1R77","17","E","13041061E101","2067141021")</f>
        <v>548640.07999999996</v>
      </c>
      <c r="G372" s="48">
        <f>[1]!BexGetData("DP_2","DL719O2RYNEBZX0HTMQQ0BY0J","17","E","13041061E101","2067141021")</f>
        <v>548640.07999999996</v>
      </c>
      <c r="H372" s="48">
        <f>[1]!BexGetData("DP_2","DL719O2RYNGN1RZRS91K7M4TV","17","E","13041061E101","2067141021")</f>
        <v>548640.07999999996</v>
      </c>
      <c r="I372" s="48">
        <f>[1]!BexGetData("DP_2","DL719O2RYNIY3MZ1QVCEEWBN7","17","E","13041061E101","2067141021")</f>
        <v>0</v>
      </c>
    </row>
    <row r="373" spans="1:9" x14ac:dyDescent="0.2">
      <c r="A373" s="46" t="s">
        <v>32</v>
      </c>
      <c r="B373" s="46" t="s">
        <v>32</v>
      </c>
      <c r="C373" s="46" t="s">
        <v>32</v>
      </c>
      <c r="D373" s="46" t="s">
        <v>32</v>
      </c>
      <c r="E373" s="46" t="s">
        <v>32</v>
      </c>
      <c r="F373" s="47">
        <f>[1]!BexGetData("DP_2","DL719O2RYNC0Y217V0FVT1R77","17","E","13041061E101","2067143011")</f>
        <v>259204.92</v>
      </c>
      <c r="G373" s="48">
        <f>[1]!BexGetData("DP_2","DL719O2RYNEBZX0HTMQQ0BY0J","17","E","13041061E101","2067143011")</f>
        <v>259204.92</v>
      </c>
      <c r="H373" s="48">
        <f>[1]!BexGetData("DP_2","DL719O2RYNGN1RZRS91K7M4TV","17","E","13041061E101","2067143011")</f>
        <v>259204.92</v>
      </c>
      <c r="I373" s="48">
        <f>[1]!BexGetData("DP_2","DL719O2RYNIY3MZ1QVCEEWBN7","17","E","13041061E101","2067143011")</f>
        <v>0</v>
      </c>
    </row>
    <row r="374" spans="1:9" x14ac:dyDescent="0.2">
      <c r="A374" s="46" t="s">
        <v>32</v>
      </c>
      <c r="B374" s="46" t="s">
        <v>32</v>
      </c>
      <c r="C374" s="46" t="s">
        <v>32</v>
      </c>
      <c r="D374" s="46" t="s">
        <v>32</v>
      </c>
      <c r="E374" s="46" t="s">
        <v>32</v>
      </c>
      <c r="F374" s="47">
        <f>[1]!BexGetData("DP_2","DL719O2RYNC0Y217V0FVT1R77","17","E","13041061E101","2067151011")</f>
        <v>947214</v>
      </c>
      <c r="G374" s="48">
        <f>[1]!BexGetData("DP_2","DL719O2RYNEBZX0HTMQQ0BY0J","17","E","13041061E101","2067151011")</f>
        <v>947214</v>
      </c>
      <c r="H374" s="48">
        <f>[1]!BexGetData("DP_2","DL719O2RYNGN1RZRS91K7M4TV","17","E","13041061E101","2067151011")</f>
        <v>947214</v>
      </c>
      <c r="I374" s="48">
        <f>[1]!BexGetData("DP_2","DL719O2RYNIY3MZ1QVCEEWBN7","17","E","13041061E101","2067151011")</f>
        <v>0</v>
      </c>
    </row>
    <row r="375" spans="1:9" x14ac:dyDescent="0.2">
      <c r="A375" s="46" t="s">
        <v>32</v>
      </c>
      <c r="B375" s="46" t="s">
        <v>32</v>
      </c>
      <c r="C375" s="46" t="s">
        <v>32</v>
      </c>
      <c r="D375" s="46" t="s">
        <v>32</v>
      </c>
      <c r="E375" s="46" t="s">
        <v>32</v>
      </c>
      <c r="F375" s="47">
        <f>[1]!BexGetData("DP_2","DL719O2RYNC0Y217V0FVT1R77","17","E","13041061E101","2067154011")</f>
        <v>3721545.11</v>
      </c>
      <c r="G375" s="48">
        <f>[1]!BexGetData("DP_2","DL719O2RYNEBZX0HTMQQ0BY0J","17","E","13041061E101","2067154011")</f>
        <v>3721545.11</v>
      </c>
      <c r="H375" s="48">
        <f>[1]!BexGetData("DP_2","DL719O2RYNGN1RZRS91K7M4TV","17","E","13041061E101","2067154011")</f>
        <v>3721545.11</v>
      </c>
      <c r="I375" s="48">
        <f>[1]!BexGetData("DP_2","DL719O2RYNIY3MZ1QVCEEWBN7","17","E","13041061E101","2067154011")</f>
        <v>1.0000000000000001E-9</v>
      </c>
    </row>
    <row r="376" spans="1:9" x14ac:dyDescent="0.2">
      <c r="A376" s="46" t="s">
        <v>32</v>
      </c>
      <c r="B376" s="46" t="s">
        <v>32</v>
      </c>
      <c r="C376" s="46" t="s">
        <v>32</v>
      </c>
      <c r="D376" s="46" t="s">
        <v>32</v>
      </c>
      <c r="E376" s="46" t="s">
        <v>32</v>
      </c>
      <c r="F376" s="47">
        <f>[1]!BexGetData("DP_2","DL719O2RYNC0Y217V0FVT1R77","17","E","13041061E101","2067211011")</f>
        <v>224912.02</v>
      </c>
      <c r="G376" s="48">
        <f>[1]!BexGetData("DP_2","DL719O2RYNEBZX0HTMQQ0BY0J","17","E","13041061E101","2067211011")</f>
        <v>224912.02</v>
      </c>
      <c r="H376" s="48">
        <f>[1]!BexGetData("DP_2","DL719O2RYNGN1RZRS91K7M4TV","17","E","13041061E101","2067211011")</f>
        <v>221101.26</v>
      </c>
      <c r="I376" s="48">
        <f>[1]!BexGetData("DP_2","DL719O2RYNIY3MZ1QVCEEWBN7","17","E","13041061E101","2067211011")</f>
        <v>0</v>
      </c>
    </row>
    <row r="377" spans="1:9" x14ac:dyDescent="0.2">
      <c r="A377" s="46" t="s">
        <v>32</v>
      </c>
      <c r="B377" s="46" t="s">
        <v>32</v>
      </c>
      <c r="C377" s="46" t="s">
        <v>32</v>
      </c>
      <c r="D377" s="46" t="s">
        <v>32</v>
      </c>
      <c r="E377" s="46" t="s">
        <v>32</v>
      </c>
      <c r="F377" s="47">
        <f>[1]!BexGetData("DP_2","DL719O2RYNC0Y217V0FVT1R77","17","E","13041061E101","2067211021")</f>
        <v>82323.039999999994</v>
      </c>
      <c r="G377" s="48">
        <f>[1]!BexGetData("DP_2","DL719O2RYNEBZX0HTMQQ0BY0J","17","E","13041061E101","2067211021")</f>
        <v>82323.039999999994</v>
      </c>
      <c r="H377" s="48">
        <f>[1]!BexGetData("DP_2","DL719O2RYNGN1RZRS91K7M4TV","17","E","13041061E101","2067211021")</f>
        <v>82323.039999999994</v>
      </c>
      <c r="I377" s="48">
        <f>[1]!BexGetData("DP_2","DL719O2RYNIY3MZ1QVCEEWBN7","17","E","13041061E101","2067211021")</f>
        <v>0</v>
      </c>
    </row>
    <row r="378" spans="1:9" x14ac:dyDescent="0.2">
      <c r="A378" s="46" t="s">
        <v>32</v>
      </c>
      <c r="B378" s="46" t="s">
        <v>32</v>
      </c>
      <c r="C378" s="46" t="s">
        <v>32</v>
      </c>
      <c r="D378" s="46" t="s">
        <v>32</v>
      </c>
      <c r="E378" s="46" t="s">
        <v>32</v>
      </c>
      <c r="F378" s="47">
        <f>[1]!BexGetData("DP_2","DL719O2RYNC0Y217V0FVT1R77","17","E","13041061E101","2067214011")</f>
        <v>107033.92</v>
      </c>
      <c r="G378" s="48">
        <f>[1]!BexGetData("DP_2","DL719O2RYNEBZX0HTMQQ0BY0J","17","E","13041061E101","2067214011")</f>
        <v>107033.92</v>
      </c>
      <c r="H378" s="48">
        <f>[1]!BexGetData("DP_2","DL719O2RYNGN1RZRS91K7M4TV","17","E","13041061E101","2067214011")</f>
        <v>107033.87</v>
      </c>
      <c r="I378" s="48">
        <f>[1]!BexGetData("DP_2","DL719O2RYNIY3MZ1QVCEEWBN7","17","E","13041061E101","2067214011")</f>
        <v>0</v>
      </c>
    </row>
    <row r="379" spans="1:9" x14ac:dyDescent="0.2">
      <c r="A379" s="46" t="s">
        <v>32</v>
      </c>
      <c r="B379" s="46" t="s">
        <v>32</v>
      </c>
      <c r="C379" s="46" t="s">
        <v>32</v>
      </c>
      <c r="D379" s="46" t="s">
        <v>32</v>
      </c>
      <c r="E379" s="46" t="s">
        <v>32</v>
      </c>
      <c r="F379" s="47">
        <f>[1]!BexGetData("DP_2","DL719O2RYNC0Y217V0FVT1R77","17","E","13041061E101","2067214021")</f>
        <v>7083.54</v>
      </c>
      <c r="G379" s="48">
        <f>[1]!BexGetData("DP_2","DL719O2RYNEBZX0HTMQQ0BY0J","17","E","13041061E101","2067214021")</f>
        <v>7083.54</v>
      </c>
      <c r="H379" s="48">
        <f>[1]!BexGetData("DP_2","DL719O2RYNGN1RZRS91K7M4TV","17","E","13041061E101","2067214021")</f>
        <v>7083.54</v>
      </c>
      <c r="I379" s="48">
        <f>[1]!BexGetData("DP_2","DL719O2RYNIY3MZ1QVCEEWBN7","17","E","13041061E101","2067214021")</f>
        <v>0</v>
      </c>
    </row>
    <row r="380" spans="1:9" x14ac:dyDescent="0.2">
      <c r="A380" s="46" t="s">
        <v>32</v>
      </c>
      <c r="B380" s="46" t="s">
        <v>32</v>
      </c>
      <c r="C380" s="46" t="s">
        <v>32</v>
      </c>
      <c r="D380" s="46" t="s">
        <v>32</v>
      </c>
      <c r="E380" s="46" t="s">
        <v>32</v>
      </c>
      <c r="F380" s="47">
        <f>[1]!BexGetData("DP_2","DL719O2RYNC0Y217V0FVT1R77","17","E","13041061E101","2067214031")</f>
        <v>2918.01</v>
      </c>
      <c r="G380" s="48">
        <f>[1]!BexGetData("DP_2","DL719O2RYNEBZX0HTMQQ0BY0J","17","E","13041061E101","2067214031")</f>
        <v>2918.01</v>
      </c>
      <c r="H380" s="48">
        <f>[1]!BexGetData("DP_2","DL719O2RYNGN1RZRS91K7M4TV","17","E","13041061E101","2067214031")</f>
        <v>2918.01</v>
      </c>
      <c r="I380" s="48">
        <f>[1]!BexGetData("DP_2","DL719O2RYNIY3MZ1QVCEEWBN7","17","E","13041061E101","2067214031")</f>
        <v>0</v>
      </c>
    </row>
    <row r="381" spans="1:9" x14ac:dyDescent="0.2">
      <c r="A381" s="46" t="s">
        <v>32</v>
      </c>
      <c r="B381" s="46" t="s">
        <v>32</v>
      </c>
      <c r="C381" s="46" t="s">
        <v>32</v>
      </c>
      <c r="D381" s="46" t="s">
        <v>32</v>
      </c>
      <c r="E381" s="46" t="s">
        <v>32</v>
      </c>
      <c r="F381" s="47">
        <f>[1]!BexGetData("DP_2","DL719O2RYNC0Y217V0FVT1R77","17","E","13041061E101","2067215011")</f>
        <v>652</v>
      </c>
      <c r="G381" s="48">
        <f>[1]!BexGetData("DP_2","DL719O2RYNEBZX0HTMQQ0BY0J","17","E","13041061E101","2067215011")</f>
        <v>652</v>
      </c>
      <c r="H381" s="48">
        <f>[1]!BexGetData("DP_2","DL719O2RYNGN1RZRS91K7M4TV","17","E","13041061E101","2067215011")</f>
        <v>202</v>
      </c>
      <c r="I381" s="48">
        <f>[1]!BexGetData("DP_2","DL719O2RYNIY3MZ1QVCEEWBN7","17","E","13041061E101","2067215011")</f>
        <v>0</v>
      </c>
    </row>
    <row r="382" spans="1:9" x14ac:dyDescent="0.2">
      <c r="A382" s="46" t="s">
        <v>32</v>
      </c>
      <c r="B382" s="46" t="s">
        <v>32</v>
      </c>
      <c r="C382" s="46" t="s">
        <v>32</v>
      </c>
      <c r="D382" s="46" t="s">
        <v>32</v>
      </c>
      <c r="E382" s="46" t="s">
        <v>32</v>
      </c>
      <c r="F382" s="47">
        <f>[1]!BexGetData("DP_2","DL719O2RYNC0Y217V0FVT1R77","17","E","13041061E101","2067216011")</f>
        <v>249700.13</v>
      </c>
      <c r="G382" s="48">
        <f>[1]!BexGetData("DP_2","DL719O2RYNEBZX0HTMQQ0BY0J","17","E","13041061E101","2067216011")</f>
        <v>249700.13</v>
      </c>
      <c r="H382" s="48">
        <f>[1]!BexGetData("DP_2","DL719O2RYNGN1RZRS91K7M4TV","17","E","13041061E101","2067216011")</f>
        <v>249700.13</v>
      </c>
      <c r="I382" s="48">
        <f>[1]!BexGetData("DP_2","DL719O2RYNIY3MZ1QVCEEWBN7","17","E","13041061E101","2067216011")</f>
        <v>0</v>
      </c>
    </row>
    <row r="383" spans="1:9" x14ac:dyDescent="0.2">
      <c r="A383" s="46" t="s">
        <v>32</v>
      </c>
      <c r="B383" s="46" t="s">
        <v>32</v>
      </c>
      <c r="C383" s="46" t="s">
        <v>32</v>
      </c>
      <c r="D383" s="46" t="s">
        <v>32</v>
      </c>
      <c r="E383" s="46" t="s">
        <v>32</v>
      </c>
      <c r="F383" s="47">
        <f>[1]!BexGetData("DP_2","DL719O2RYNC0Y217V0FVT1R77","17","E","13041061E101","2067217011")</f>
        <v>272.44</v>
      </c>
      <c r="G383" s="48">
        <f>[1]!BexGetData("DP_2","DL719O2RYNEBZX0HTMQQ0BY0J","17","E","13041061E101","2067217011")</f>
        <v>272.44</v>
      </c>
      <c r="H383" s="48">
        <f>[1]!BexGetData("DP_2","DL719O2RYNGN1RZRS91K7M4TV","17","E","13041061E101","2067217011")</f>
        <v>162.47999999999999</v>
      </c>
      <c r="I383" s="48">
        <f>[1]!BexGetData("DP_2","DL719O2RYNIY3MZ1QVCEEWBN7","17","E","13041061E101","2067217011")</f>
        <v>0</v>
      </c>
    </row>
    <row r="384" spans="1:9" x14ac:dyDescent="0.2">
      <c r="A384" s="46" t="s">
        <v>32</v>
      </c>
      <c r="B384" s="46" t="s">
        <v>32</v>
      </c>
      <c r="C384" s="46" t="s">
        <v>32</v>
      </c>
      <c r="D384" s="46" t="s">
        <v>32</v>
      </c>
      <c r="E384" s="46" t="s">
        <v>32</v>
      </c>
      <c r="F384" s="47">
        <f>[1]!BexGetData("DP_2","DL719O2RYNC0Y217V0FVT1R77","17","E","13041061E101","2067221011")</f>
        <v>54566.720000000001</v>
      </c>
      <c r="G384" s="48">
        <f>[1]!BexGetData("DP_2","DL719O2RYNEBZX0HTMQQ0BY0J","17","E","13041061E101","2067221011")</f>
        <v>54566.720000000001</v>
      </c>
      <c r="H384" s="48">
        <f>[1]!BexGetData("DP_2","DL719O2RYNGN1RZRS91K7M4TV","17","E","13041061E101","2067221011")</f>
        <v>54566.720000000001</v>
      </c>
      <c r="I384" s="48">
        <f>[1]!BexGetData("DP_2","DL719O2RYNIY3MZ1QVCEEWBN7","17","E","13041061E101","2067221011")</f>
        <v>0</v>
      </c>
    </row>
    <row r="385" spans="1:9" x14ac:dyDescent="0.2">
      <c r="A385" s="46" t="s">
        <v>32</v>
      </c>
      <c r="B385" s="46" t="s">
        <v>32</v>
      </c>
      <c r="C385" s="46" t="s">
        <v>32</v>
      </c>
      <c r="D385" s="46" t="s">
        <v>32</v>
      </c>
      <c r="E385" s="46" t="s">
        <v>32</v>
      </c>
      <c r="F385" s="47">
        <f>[1]!BexGetData("DP_2","DL719O2RYNC0Y217V0FVT1R77","17","E","13041061E101","2067221021")</f>
        <v>71478.600000000006</v>
      </c>
      <c r="G385" s="48">
        <f>[1]!BexGetData("DP_2","DL719O2RYNEBZX0HTMQQ0BY0J","17","E","13041061E101","2067221021")</f>
        <v>71478.600000000006</v>
      </c>
      <c r="H385" s="48">
        <f>[1]!BexGetData("DP_2","DL719O2RYNGN1RZRS91K7M4TV","17","E","13041061E101","2067221021")</f>
        <v>71478.53</v>
      </c>
      <c r="I385" s="48">
        <f>[1]!BexGetData("DP_2","DL719O2RYNIY3MZ1QVCEEWBN7","17","E","13041061E101","2067221021")</f>
        <v>0</v>
      </c>
    </row>
    <row r="386" spans="1:9" x14ac:dyDescent="0.2">
      <c r="A386" s="46" t="s">
        <v>32</v>
      </c>
      <c r="B386" s="46" t="s">
        <v>32</v>
      </c>
      <c r="C386" s="46" t="s">
        <v>32</v>
      </c>
      <c r="D386" s="46" t="s">
        <v>32</v>
      </c>
      <c r="E386" s="46" t="s">
        <v>32</v>
      </c>
      <c r="F386" s="47">
        <f>[1]!BexGetData("DP_2","DL719O2RYNC0Y217V0FVT1R77","17","E","13041061E101","2067221031")</f>
        <v>14593.2</v>
      </c>
      <c r="G386" s="48">
        <f>[1]!BexGetData("DP_2","DL719O2RYNEBZX0HTMQQ0BY0J","17","E","13041061E101","2067221031")</f>
        <v>14593.2</v>
      </c>
      <c r="H386" s="48">
        <f>[1]!BexGetData("DP_2","DL719O2RYNGN1RZRS91K7M4TV","17","E","13041061E101","2067221031")</f>
        <v>14593.2</v>
      </c>
      <c r="I386" s="48">
        <f>[1]!BexGetData("DP_2","DL719O2RYNIY3MZ1QVCEEWBN7","17","E","13041061E101","2067221031")</f>
        <v>0</v>
      </c>
    </row>
    <row r="387" spans="1:9" x14ac:dyDescent="0.2">
      <c r="A387" s="46" t="s">
        <v>32</v>
      </c>
      <c r="B387" s="46" t="s">
        <v>32</v>
      </c>
      <c r="C387" s="46" t="s">
        <v>32</v>
      </c>
      <c r="D387" s="46" t="s">
        <v>32</v>
      </c>
      <c r="E387" s="46" t="s">
        <v>32</v>
      </c>
      <c r="F387" s="47">
        <f>[1]!BexGetData("DP_2","DL719O2RYNC0Y217V0FVT1R77","17","E","13041061E101","2067223011")</f>
        <v>1797.3</v>
      </c>
      <c r="G387" s="48">
        <f>[1]!BexGetData("DP_2","DL719O2RYNEBZX0HTMQQ0BY0J","17","E","13041061E101","2067223011")</f>
        <v>1797.3</v>
      </c>
      <c r="H387" s="48">
        <f>[1]!BexGetData("DP_2","DL719O2RYNGN1RZRS91K7M4TV","17","E","13041061E101","2067223011")</f>
        <v>1797.3</v>
      </c>
      <c r="I387" s="48">
        <f>[1]!BexGetData("DP_2","DL719O2RYNIY3MZ1QVCEEWBN7","17","E","13041061E101","2067223011")</f>
        <v>0</v>
      </c>
    </row>
    <row r="388" spans="1:9" x14ac:dyDescent="0.2">
      <c r="A388" s="46" t="s">
        <v>32</v>
      </c>
      <c r="B388" s="46" t="s">
        <v>32</v>
      </c>
      <c r="C388" s="46" t="s">
        <v>32</v>
      </c>
      <c r="D388" s="46" t="s">
        <v>32</v>
      </c>
      <c r="E388" s="46" t="s">
        <v>32</v>
      </c>
      <c r="F388" s="47">
        <f>[1]!BexGetData("DP_2","DL719O2RYNC0Y217V0FVT1R77","17","E","13041061E101","2067241011")</f>
        <v>572</v>
      </c>
      <c r="G388" s="48">
        <f>[1]!BexGetData("DP_2","DL719O2RYNEBZX0HTMQQ0BY0J","17","E","13041061E101","2067241011")</f>
        <v>572</v>
      </c>
      <c r="H388" s="48">
        <f>[1]!BexGetData("DP_2","DL719O2RYNGN1RZRS91K7M4TV","17","E","13041061E101","2067241011")</f>
        <v>572</v>
      </c>
      <c r="I388" s="48">
        <f>[1]!BexGetData("DP_2","DL719O2RYNIY3MZ1QVCEEWBN7","17","E","13041061E101","2067241011")</f>
        <v>0</v>
      </c>
    </row>
    <row r="389" spans="1:9" x14ac:dyDescent="0.2">
      <c r="A389" s="46" t="s">
        <v>32</v>
      </c>
      <c r="B389" s="46" t="s">
        <v>32</v>
      </c>
      <c r="C389" s="46" t="s">
        <v>32</v>
      </c>
      <c r="D389" s="46" t="s">
        <v>32</v>
      </c>
      <c r="E389" s="46" t="s">
        <v>32</v>
      </c>
      <c r="F389" s="47">
        <f>[1]!BexGetData("DP_2","DL719O2RYNC0Y217V0FVT1R77","17","E","13041061E101","2067244011")</f>
        <v>4886.38</v>
      </c>
      <c r="G389" s="48">
        <f>[1]!BexGetData("DP_2","DL719O2RYNEBZX0HTMQQ0BY0J","17","E","13041061E101","2067244011")</f>
        <v>4886.38</v>
      </c>
      <c r="H389" s="48">
        <f>[1]!BexGetData("DP_2","DL719O2RYNGN1RZRS91K7M4TV","17","E","13041061E101","2067244011")</f>
        <v>0</v>
      </c>
      <c r="I389" s="48">
        <f>[1]!BexGetData("DP_2","DL719O2RYNIY3MZ1QVCEEWBN7","17","E","13041061E101","2067244011")</f>
        <v>0</v>
      </c>
    </row>
    <row r="390" spans="1:9" x14ac:dyDescent="0.2">
      <c r="A390" s="46" t="s">
        <v>32</v>
      </c>
      <c r="B390" s="46" t="s">
        <v>32</v>
      </c>
      <c r="C390" s="46" t="s">
        <v>32</v>
      </c>
      <c r="D390" s="46" t="s">
        <v>32</v>
      </c>
      <c r="E390" s="46" t="s">
        <v>32</v>
      </c>
      <c r="F390" s="47">
        <f>[1]!BexGetData("DP_2","DL719O2RYNC0Y217V0FVT1R77","17","E","13041061E101","2067246011")</f>
        <v>9333.84</v>
      </c>
      <c r="G390" s="48">
        <f>[1]!BexGetData("DP_2","DL719O2RYNEBZX0HTMQQ0BY0J","17","E","13041061E101","2067246011")</f>
        <v>9333.84</v>
      </c>
      <c r="H390" s="48">
        <f>[1]!BexGetData("DP_2","DL719O2RYNGN1RZRS91K7M4TV","17","E","13041061E101","2067246011")</f>
        <v>9333.83</v>
      </c>
      <c r="I390" s="48">
        <f>[1]!BexGetData("DP_2","DL719O2RYNIY3MZ1QVCEEWBN7","17","E","13041061E101","2067246011")</f>
        <v>0</v>
      </c>
    </row>
    <row r="391" spans="1:9" x14ac:dyDescent="0.2">
      <c r="A391" s="46" t="s">
        <v>32</v>
      </c>
      <c r="B391" s="46" t="s">
        <v>32</v>
      </c>
      <c r="C391" s="46" t="s">
        <v>32</v>
      </c>
      <c r="D391" s="46" t="s">
        <v>32</v>
      </c>
      <c r="E391" s="46" t="s">
        <v>32</v>
      </c>
      <c r="F391" s="47">
        <f>[1]!BexGetData("DP_2","DL719O2RYNC0Y217V0FVT1R77","17","E","13041061E101","2067247011")</f>
        <v>899.92</v>
      </c>
      <c r="G391" s="48">
        <f>[1]!BexGetData("DP_2","DL719O2RYNEBZX0HTMQQ0BY0J","17","E","13041061E101","2067247011")</f>
        <v>899.92</v>
      </c>
      <c r="H391" s="48">
        <f>[1]!BexGetData("DP_2","DL719O2RYNGN1RZRS91K7M4TV","17","E","13041061E101","2067247011")</f>
        <v>821.1</v>
      </c>
      <c r="I391" s="48">
        <f>[1]!BexGetData("DP_2","DL719O2RYNIY3MZ1QVCEEWBN7","17","E","13041061E101","2067247011")</f>
        <v>0</v>
      </c>
    </row>
    <row r="392" spans="1:9" x14ac:dyDescent="0.2">
      <c r="A392" s="46" t="s">
        <v>32</v>
      </c>
      <c r="B392" s="46" t="s">
        <v>32</v>
      </c>
      <c r="C392" s="46" t="s">
        <v>32</v>
      </c>
      <c r="D392" s="46" t="s">
        <v>32</v>
      </c>
      <c r="E392" s="46" t="s">
        <v>32</v>
      </c>
      <c r="F392" s="47">
        <f>[1]!BexGetData("DP_2","DL719O2RYNC0Y217V0FVT1R77","17","E","13041061E101","2067248011")</f>
        <v>17886</v>
      </c>
      <c r="G392" s="48">
        <f>[1]!BexGetData("DP_2","DL719O2RYNEBZX0HTMQQ0BY0J","17","E","13041061E101","2067248011")</f>
        <v>17886</v>
      </c>
      <c r="H392" s="48">
        <f>[1]!BexGetData("DP_2","DL719O2RYNGN1RZRS91K7M4TV","17","E","13041061E101","2067248011")</f>
        <v>6049</v>
      </c>
      <c r="I392" s="48">
        <f>[1]!BexGetData("DP_2","DL719O2RYNIY3MZ1QVCEEWBN7","17","E","13041061E101","2067248011")</f>
        <v>0</v>
      </c>
    </row>
    <row r="393" spans="1:9" x14ac:dyDescent="0.2">
      <c r="A393" s="46" t="s">
        <v>32</v>
      </c>
      <c r="B393" s="46" t="s">
        <v>32</v>
      </c>
      <c r="C393" s="46" t="s">
        <v>32</v>
      </c>
      <c r="D393" s="46" t="s">
        <v>32</v>
      </c>
      <c r="E393" s="46" t="s">
        <v>32</v>
      </c>
      <c r="F393" s="47">
        <f>[1]!BexGetData("DP_2","DL719O2RYNC0Y217V0FVT1R77","17","E","13041061E101","2067249011")</f>
        <v>12018.73</v>
      </c>
      <c r="G393" s="48">
        <f>[1]!BexGetData("DP_2","DL719O2RYNEBZX0HTMQQ0BY0J","17","E","13041061E101","2067249011")</f>
        <v>12018.73</v>
      </c>
      <c r="H393" s="48">
        <f>[1]!BexGetData("DP_2","DL719O2RYNGN1RZRS91K7M4TV","17","E","13041061E101","2067249011")</f>
        <v>12018.73</v>
      </c>
      <c r="I393" s="48">
        <f>[1]!BexGetData("DP_2","DL719O2RYNIY3MZ1QVCEEWBN7","17","E","13041061E101","2067249011")</f>
        <v>0</v>
      </c>
    </row>
    <row r="394" spans="1:9" x14ac:dyDescent="0.2">
      <c r="A394" s="46" t="s">
        <v>32</v>
      </c>
      <c r="B394" s="46" t="s">
        <v>32</v>
      </c>
      <c r="C394" s="46" t="s">
        <v>32</v>
      </c>
      <c r="D394" s="46" t="s">
        <v>32</v>
      </c>
      <c r="E394" s="46" t="s">
        <v>32</v>
      </c>
      <c r="F394" s="47">
        <f>[1]!BexGetData("DP_2","DL719O2RYNC0Y217V0FVT1R77","17","E","13041061E101","2067253021")</f>
        <v>128.75</v>
      </c>
      <c r="G394" s="48">
        <f>[1]!BexGetData("DP_2","DL719O2RYNEBZX0HTMQQ0BY0J","17","E","13041061E101","2067253021")</f>
        <v>128.75</v>
      </c>
      <c r="H394" s="48">
        <f>[1]!BexGetData("DP_2","DL719O2RYNGN1RZRS91K7M4TV","17","E","13041061E101","2067253021")</f>
        <v>128.75</v>
      </c>
      <c r="I394" s="48">
        <f>[1]!BexGetData("DP_2","DL719O2RYNIY3MZ1QVCEEWBN7","17","E","13041061E101","2067253021")</f>
        <v>0</v>
      </c>
    </row>
    <row r="395" spans="1:9" x14ac:dyDescent="0.2">
      <c r="A395" s="46" t="s">
        <v>32</v>
      </c>
      <c r="B395" s="46" t="s">
        <v>32</v>
      </c>
      <c r="C395" s="46" t="s">
        <v>32</v>
      </c>
      <c r="D395" s="46" t="s">
        <v>32</v>
      </c>
      <c r="E395" s="46" t="s">
        <v>32</v>
      </c>
      <c r="F395" s="47">
        <f>[1]!BexGetData("DP_2","DL719O2RYNC0Y217V0FVT1R77","17","E","13041061E101","2067254021")</f>
        <v>12</v>
      </c>
      <c r="G395" s="48">
        <f>[1]!BexGetData("DP_2","DL719O2RYNEBZX0HTMQQ0BY0J","17","E","13041061E101","2067254021")</f>
        <v>12</v>
      </c>
      <c r="H395" s="48">
        <f>[1]!BexGetData("DP_2","DL719O2RYNGN1RZRS91K7M4TV","17","E","13041061E101","2067254021")</f>
        <v>12</v>
      </c>
      <c r="I395" s="48">
        <f>[1]!BexGetData("DP_2","DL719O2RYNIY3MZ1QVCEEWBN7","17","E","13041061E101","2067254021")</f>
        <v>0</v>
      </c>
    </row>
    <row r="396" spans="1:9" x14ac:dyDescent="0.2">
      <c r="A396" s="46" t="s">
        <v>32</v>
      </c>
      <c r="B396" s="46" t="s">
        <v>32</v>
      </c>
      <c r="C396" s="46" t="s">
        <v>32</v>
      </c>
      <c r="D396" s="46" t="s">
        <v>32</v>
      </c>
      <c r="E396" s="46" t="s">
        <v>32</v>
      </c>
      <c r="F396" s="47">
        <f>[1]!BexGetData("DP_2","DL719O2RYNC0Y217V0FVT1R77","17","E","13041061E101","2067256011")</f>
        <v>745</v>
      </c>
      <c r="G396" s="48">
        <f>[1]!BexGetData("DP_2","DL719O2RYNEBZX0HTMQQ0BY0J","17","E","13041061E101","2067256011")</f>
        <v>745</v>
      </c>
      <c r="H396" s="48">
        <f>[1]!BexGetData("DP_2","DL719O2RYNGN1RZRS91K7M4TV","17","E","13041061E101","2067256011")</f>
        <v>0</v>
      </c>
      <c r="I396" s="48">
        <f>[1]!BexGetData("DP_2","DL719O2RYNIY3MZ1QVCEEWBN7","17","E","13041061E101","2067256011")</f>
        <v>0</v>
      </c>
    </row>
    <row r="397" spans="1:9" x14ac:dyDescent="0.2">
      <c r="A397" s="46" t="s">
        <v>32</v>
      </c>
      <c r="B397" s="46" t="s">
        <v>32</v>
      </c>
      <c r="C397" s="46" t="s">
        <v>32</v>
      </c>
      <c r="D397" s="46" t="s">
        <v>32</v>
      </c>
      <c r="E397" s="46" t="s">
        <v>32</v>
      </c>
      <c r="F397" s="47">
        <f>[1]!BexGetData("DP_2","DL719O2RYNC0Y217V0FVT1R77","17","E","13041061E101","2067261011")</f>
        <v>162995.57</v>
      </c>
      <c r="G397" s="48">
        <f>[1]!BexGetData("DP_2","DL719O2RYNEBZX0HTMQQ0BY0J","17","E","13041061E101","2067261011")</f>
        <v>162995.57</v>
      </c>
      <c r="H397" s="48">
        <f>[1]!BexGetData("DP_2","DL719O2RYNGN1RZRS91K7M4TV","17","E","13041061E101","2067261011")</f>
        <v>144995.53</v>
      </c>
      <c r="I397" s="48">
        <f>[1]!BexGetData("DP_2","DL719O2RYNIY3MZ1QVCEEWBN7","17","E","13041061E101","2067261011")</f>
        <v>0</v>
      </c>
    </row>
    <row r="398" spans="1:9" x14ac:dyDescent="0.2">
      <c r="A398" s="46" t="s">
        <v>32</v>
      </c>
      <c r="B398" s="46" t="s">
        <v>32</v>
      </c>
      <c r="C398" s="46" t="s">
        <v>32</v>
      </c>
      <c r="D398" s="46" t="s">
        <v>32</v>
      </c>
      <c r="E398" s="46" t="s">
        <v>32</v>
      </c>
      <c r="F398" s="47">
        <f>[1]!BexGetData("DP_2","DL719O2RYNC0Y217V0FVT1R77","17","E","13041061E101","2067271011")</f>
        <v>3978.8</v>
      </c>
      <c r="G398" s="48">
        <f>[1]!BexGetData("DP_2","DL719O2RYNEBZX0HTMQQ0BY0J","17","E","13041061E101","2067271011")</f>
        <v>3978.8</v>
      </c>
      <c r="H398" s="48">
        <f>[1]!BexGetData("DP_2","DL719O2RYNGN1RZRS91K7M4TV","17","E","13041061E101","2067271011")</f>
        <v>3978.8</v>
      </c>
      <c r="I398" s="48">
        <f>[1]!BexGetData("DP_2","DL719O2RYNIY3MZ1QVCEEWBN7","17","E","13041061E101","2067271011")</f>
        <v>0</v>
      </c>
    </row>
    <row r="399" spans="1:9" x14ac:dyDescent="0.2">
      <c r="A399" s="46" t="s">
        <v>32</v>
      </c>
      <c r="B399" s="46" t="s">
        <v>32</v>
      </c>
      <c r="C399" s="46" t="s">
        <v>32</v>
      </c>
      <c r="D399" s="46" t="s">
        <v>32</v>
      </c>
      <c r="E399" s="46" t="s">
        <v>32</v>
      </c>
      <c r="F399" s="47">
        <f>[1]!BexGetData("DP_2","DL719O2RYNC0Y217V0FVT1R77","17","E","13041061E101","2067272011")</f>
        <v>1485.09</v>
      </c>
      <c r="G399" s="48">
        <f>[1]!BexGetData("DP_2","DL719O2RYNEBZX0HTMQQ0BY0J","17","E","13041061E101","2067272011")</f>
        <v>1485.09</v>
      </c>
      <c r="H399" s="48">
        <f>[1]!BexGetData("DP_2","DL719O2RYNGN1RZRS91K7M4TV","17","E","13041061E101","2067272011")</f>
        <v>1223.29</v>
      </c>
      <c r="I399" s="48">
        <f>[1]!BexGetData("DP_2","DL719O2RYNIY3MZ1QVCEEWBN7","17","E","13041061E101","2067272011")</f>
        <v>0</v>
      </c>
    </row>
    <row r="400" spans="1:9" x14ac:dyDescent="0.2">
      <c r="A400" s="46" t="s">
        <v>32</v>
      </c>
      <c r="B400" s="46" t="s">
        <v>32</v>
      </c>
      <c r="C400" s="46" t="s">
        <v>32</v>
      </c>
      <c r="D400" s="46" t="s">
        <v>32</v>
      </c>
      <c r="E400" s="46" t="s">
        <v>32</v>
      </c>
      <c r="F400" s="47">
        <f>[1]!BexGetData("DP_2","DL719O2RYNC0Y217V0FVT1R77","17","E","13041061E101","2067274011")</f>
        <v>2091.4699999999998</v>
      </c>
      <c r="G400" s="48">
        <f>[1]!BexGetData("DP_2","DL719O2RYNEBZX0HTMQQ0BY0J","17","E","13041061E101","2067274011")</f>
        <v>2091.4699999999998</v>
      </c>
      <c r="H400" s="48">
        <f>[1]!BexGetData("DP_2","DL719O2RYNGN1RZRS91K7M4TV","17","E","13041061E101","2067274011")</f>
        <v>1932.47</v>
      </c>
      <c r="I400" s="48">
        <f>[1]!BexGetData("DP_2","DL719O2RYNIY3MZ1QVCEEWBN7","17","E","13041061E101","2067274011")</f>
        <v>0</v>
      </c>
    </row>
    <row r="401" spans="1:9" x14ac:dyDescent="0.2">
      <c r="A401" s="46" t="s">
        <v>32</v>
      </c>
      <c r="B401" s="46" t="s">
        <v>32</v>
      </c>
      <c r="C401" s="46" t="s">
        <v>32</v>
      </c>
      <c r="D401" s="46" t="s">
        <v>32</v>
      </c>
      <c r="E401" s="46" t="s">
        <v>32</v>
      </c>
      <c r="F401" s="47">
        <f>[1]!BexGetData("DP_2","DL719O2RYNC0Y217V0FVT1R77","17","E","13041061E101","2067291011")</f>
        <v>727.46</v>
      </c>
      <c r="G401" s="48">
        <f>[1]!BexGetData("DP_2","DL719O2RYNEBZX0HTMQQ0BY0J","17","E","13041061E101","2067291011")</f>
        <v>727.46</v>
      </c>
      <c r="H401" s="48">
        <f>[1]!BexGetData("DP_2","DL719O2RYNGN1RZRS91K7M4TV","17","E","13041061E101","2067291011")</f>
        <v>727.46</v>
      </c>
      <c r="I401" s="48">
        <f>[1]!BexGetData("DP_2","DL719O2RYNIY3MZ1QVCEEWBN7","17","E","13041061E101","2067291011")</f>
        <v>0</v>
      </c>
    </row>
    <row r="402" spans="1:9" x14ac:dyDescent="0.2">
      <c r="A402" s="46" t="s">
        <v>32</v>
      </c>
      <c r="B402" s="46" t="s">
        <v>32</v>
      </c>
      <c r="C402" s="46" t="s">
        <v>32</v>
      </c>
      <c r="D402" s="46" t="s">
        <v>32</v>
      </c>
      <c r="E402" s="46" t="s">
        <v>32</v>
      </c>
      <c r="F402" s="47">
        <f>[1]!BexGetData("DP_2","DL719O2RYNC0Y217V0FVT1R77","17","E","13041061E101","2067292011")</f>
        <v>1954.44</v>
      </c>
      <c r="G402" s="48">
        <f>[1]!BexGetData("DP_2","DL719O2RYNEBZX0HTMQQ0BY0J","17","E","13041061E101","2067292011")</f>
        <v>1954.44</v>
      </c>
      <c r="H402" s="48">
        <f>[1]!BexGetData("DP_2","DL719O2RYNGN1RZRS91K7M4TV","17","E","13041061E101","2067292011")</f>
        <v>1954.44</v>
      </c>
      <c r="I402" s="48">
        <f>[1]!BexGetData("DP_2","DL719O2RYNIY3MZ1QVCEEWBN7","17","E","13041061E101","2067292011")</f>
        <v>0</v>
      </c>
    </row>
    <row r="403" spans="1:9" x14ac:dyDescent="0.2">
      <c r="A403" s="46" t="s">
        <v>32</v>
      </c>
      <c r="B403" s="46" t="s">
        <v>32</v>
      </c>
      <c r="C403" s="46" t="s">
        <v>32</v>
      </c>
      <c r="D403" s="46" t="s">
        <v>32</v>
      </c>
      <c r="E403" s="46" t="s">
        <v>32</v>
      </c>
      <c r="F403" s="47">
        <f>[1]!BexGetData("DP_2","DL719O2RYNC0Y217V0FVT1R77","17","E","13041061E101","2067293011")</f>
        <v>0</v>
      </c>
      <c r="G403" s="48">
        <f>[1]!BexGetData("DP_2","DL719O2RYNEBZX0HTMQQ0BY0J","17","E","13041061E101","2067293011")</f>
        <v>0</v>
      </c>
      <c r="H403" s="48">
        <f>[1]!BexGetData("DP_2","DL719O2RYNGN1RZRS91K7M4TV","17","E","13041061E101","2067293011")</f>
        <v>0</v>
      </c>
      <c r="I403" s="48">
        <f>[1]!BexGetData("DP_2","DL719O2RYNIY3MZ1QVCEEWBN7","17","E","13041061E101","2067293011")</f>
        <v>0</v>
      </c>
    </row>
    <row r="404" spans="1:9" x14ac:dyDescent="0.2">
      <c r="A404" s="46" t="s">
        <v>32</v>
      </c>
      <c r="B404" s="46" t="s">
        <v>32</v>
      </c>
      <c r="C404" s="46" t="s">
        <v>32</v>
      </c>
      <c r="D404" s="46" t="s">
        <v>32</v>
      </c>
      <c r="E404" s="46" t="s">
        <v>32</v>
      </c>
      <c r="F404" s="47">
        <f>[1]!BexGetData("DP_2","DL719O2RYNC0Y217V0FVT1R77","17","E","13041061E101","2067293031")</f>
        <v>139</v>
      </c>
      <c r="G404" s="48">
        <f>[1]!BexGetData("DP_2","DL719O2RYNEBZX0HTMQQ0BY0J","17","E","13041061E101","2067293031")</f>
        <v>139</v>
      </c>
      <c r="H404" s="48">
        <f>[1]!BexGetData("DP_2","DL719O2RYNGN1RZRS91K7M4TV","17","E","13041061E101","2067293031")</f>
        <v>139</v>
      </c>
      <c r="I404" s="48">
        <f>[1]!BexGetData("DP_2","DL719O2RYNIY3MZ1QVCEEWBN7","17","E","13041061E101","2067293031")</f>
        <v>0</v>
      </c>
    </row>
    <row r="405" spans="1:9" x14ac:dyDescent="0.2">
      <c r="A405" s="46" t="s">
        <v>32</v>
      </c>
      <c r="B405" s="46" t="s">
        <v>32</v>
      </c>
      <c r="C405" s="46" t="s">
        <v>32</v>
      </c>
      <c r="D405" s="46" t="s">
        <v>32</v>
      </c>
      <c r="E405" s="46" t="s">
        <v>32</v>
      </c>
      <c r="F405" s="47">
        <f>[1]!BexGetData("DP_2","DL719O2RYNC0Y217V0FVT1R77","17","E","13041061E101","2067293041")</f>
        <v>114</v>
      </c>
      <c r="G405" s="48">
        <f>[1]!BexGetData("DP_2","DL719O2RYNEBZX0HTMQQ0BY0J","17","E","13041061E101","2067293041")</f>
        <v>114</v>
      </c>
      <c r="H405" s="48">
        <f>[1]!BexGetData("DP_2","DL719O2RYNGN1RZRS91K7M4TV","17","E","13041061E101","2067293041")</f>
        <v>0</v>
      </c>
      <c r="I405" s="48">
        <f>[1]!BexGetData("DP_2","DL719O2RYNIY3MZ1QVCEEWBN7","17","E","13041061E101","2067293041")</f>
        <v>0</v>
      </c>
    </row>
    <row r="406" spans="1:9" x14ac:dyDescent="0.2">
      <c r="A406" s="46" t="s">
        <v>32</v>
      </c>
      <c r="B406" s="46" t="s">
        <v>32</v>
      </c>
      <c r="C406" s="46" t="s">
        <v>32</v>
      </c>
      <c r="D406" s="46" t="s">
        <v>32</v>
      </c>
      <c r="E406" s="46" t="s">
        <v>32</v>
      </c>
      <c r="F406" s="47">
        <f>[1]!BexGetData("DP_2","DL719O2RYNC0Y217V0FVT1R77","17","E","13041061E101","2067294011")</f>
        <v>36</v>
      </c>
      <c r="G406" s="48">
        <f>[1]!BexGetData("DP_2","DL719O2RYNEBZX0HTMQQ0BY0J","17","E","13041061E101","2067294011")</f>
        <v>36</v>
      </c>
      <c r="H406" s="48">
        <f>[1]!BexGetData("DP_2","DL719O2RYNGN1RZRS91K7M4TV","17","E","13041061E101","2067294011")</f>
        <v>36</v>
      </c>
      <c r="I406" s="48">
        <f>[1]!BexGetData("DP_2","DL719O2RYNIY3MZ1QVCEEWBN7","17","E","13041061E101","2067294011")</f>
        <v>0</v>
      </c>
    </row>
    <row r="407" spans="1:9" x14ac:dyDescent="0.2">
      <c r="A407" s="46" t="s">
        <v>32</v>
      </c>
      <c r="B407" s="46" t="s">
        <v>32</v>
      </c>
      <c r="C407" s="46" t="s">
        <v>32</v>
      </c>
      <c r="D407" s="46" t="s">
        <v>32</v>
      </c>
      <c r="E407" s="46" t="s">
        <v>32</v>
      </c>
      <c r="F407" s="47">
        <f>[1]!BexGetData("DP_2","DL719O2RYNC0Y217V0FVT1R77","17","E","13041061E101","2067296011")</f>
        <v>0</v>
      </c>
      <c r="G407" s="48">
        <f>[1]!BexGetData("DP_2","DL719O2RYNEBZX0HTMQQ0BY0J","17","E","13041061E101","2067296011")</f>
        <v>0</v>
      </c>
      <c r="H407" s="48">
        <f>[1]!BexGetData("DP_2","DL719O2RYNGN1RZRS91K7M4TV","17","E","13041061E101","2067296011")</f>
        <v>0</v>
      </c>
      <c r="I407" s="48">
        <f>[1]!BexGetData("DP_2","DL719O2RYNIY3MZ1QVCEEWBN7","17","E","13041061E101","2067296011")</f>
        <v>0</v>
      </c>
    </row>
    <row r="408" spans="1:9" x14ac:dyDescent="0.2">
      <c r="A408" s="46" t="s">
        <v>32</v>
      </c>
      <c r="B408" s="46" t="s">
        <v>32</v>
      </c>
      <c r="C408" s="46" t="s">
        <v>32</v>
      </c>
      <c r="D408" s="46" t="s">
        <v>32</v>
      </c>
      <c r="E408" s="46" t="s">
        <v>32</v>
      </c>
      <c r="F408" s="47">
        <f>[1]!BexGetData("DP_2","DL719O2RYNC0Y217V0FVT1R77","17","E","13041061E101","2067298071")</f>
        <v>1344</v>
      </c>
      <c r="G408" s="48">
        <f>[1]!BexGetData("DP_2","DL719O2RYNEBZX0HTMQQ0BY0J","17","E","13041061E101","2067298071")</f>
        <v>1344</v>
      </c>
      <c r="H408" s="48">
        <f>[1]!BexGetData("DP_2","DL719O2RYNGN1RZRS91K7M4TV","17","E","13041061E101","2067298071")</f>
        <v>1344</v>
      </c>
      <c r="I408" s="48">
        <f>[1]!BexGetData("DP_2","DL719O2RYNIY3MZ1QVCEEWBN7","17","E","13041061E101","2067298071")</f>
        <v>0</v>
      </c>
    </row>
    <row r="409" spans="1:9" x14ac:dyDescent="0.2">
      <c r="A409" s="46" t="s">
        <v>32</v>
      </c>
      <c r="B409" s="46" t="s">
        <v>32</v>
      </c>
      <c r="C409" s="46" t="s">
        <v>32</v>
      </c>
      <c r="D409" s="46" t="s">
        <v>32</v>
      </c>
      <c r="E409" s="46" t="s">
        <v>32</v>
      </c>
      <c r="F409" s="47">
        <f>[1]!BexGetData("DP_2","DL719O2RYNC0Y217V0FVT1R77","17","E","13041061E101","2067299011")</f>
        <v>408</v>
      </c>
      <c r="G409" s="48">
        <f>[1]!BexGetData("DP_2","DL719O2RYNEBZX0HTMQQ0BY0J","17","E","13041061E101","2067299011")</f>
        <v>408</v>
      </c>
      <c r="H409" s="48">
        <f>[1]!BexGetData("DP_2","DL719O2RYNGN1RZRS91K7M4TV","17","E","13041061E101","2067299011")</f>
        <v>408</v>
      </c>
      <c r="I409" s="48">
        <f>[1]!BexGetData("DP_2","DL719O2RYNIY3MZ1QVCEEWBN7","17","E","13041061E101","2067299011")</f>
        <v>0</v>
      </c>
    </row>
    <row r="410" spans="1:9" x14ac:dyDescent="0.2">
      <c r="A410" s="46" t="s">
        <v>32</v>
      </c>
      <c r="B410" s="46" t="s">
        <v>32</v>
      </c>
      <c r="C410" s="46" t="s">
        <v>32</v>
      </c>
      <c r="D410" s="46" t="s">
        <v>32</v>
      </c>
      <c r="E410" s="46" t="s">
        <v>32</v>
      </c>
      <c r="F410" s="47">
        <f>[1]!BexGetData("DP_2","DL719O2RYNC0Y217V0FVT1R77","17","E","13041061E101","2067311011")</f>
        <v>81566.47</v>
      </c>
      <c r="G410" s="48">
        <f>[1]!BexGetData("DP_2","DL719O2RYNEBZX0HTMQQ0BY0J","17","E","13041061E101","2067311011")</f>
        <v>81566.47</v>
      </c>
      <c r="H410" s="48">
        <f>[1]!BexGetData("DP_2","DL719O2RYNGN1RZRS91K7M4TV","17","E","13041061E101","2067311011")</f>
        <v>79534.47</v>
      </c>
      <c r="I410" s="48">
        <f>[1]!BexGetData("DP_2","DL719O2RYNIY3MZ1QVCEEWBN7","17","E","13041061E101","2067311011")</f>
        <v>0</v>
      </c>
    </row>
    <row r="411" spans="1:9" x14ac:dyDescent="0.2">
      <c r="A411" s="46" t="s">
        <v>32</v>
      </c>
      <c r="B411" s="46" t="s">
        <v>32</v>
      </c>
      <c r="C411" s="46" t="s">
        <v>32</v>
      </c>
      <c r="D411" s="46" t="s">
        <v>32</v>
      </c>
      <c r="E411" s="46" t="s">
        <v>32</v>
      </c>
      <c r="F411" s="47">
        <f>[1]!BexGetData("DP_2","DL719O2RYNC0Y217V0FVT1R77","17","E","13041061E101","2067313011")</f>
        <v>8713</v>
      </c>
      <c r="G411" s="48">
        <f>[1]!BexGetData("DP_2","DL719O2RYNEBZX0HTMQQ0BY0J","17","E","13041061E101","2067313011")</f>
        <v>8713</v>
      </c>
      <c r="H411" s="48">
        <f>[1]!BexGetData("DP_2","DL719O2RYNGN1RZRS91K7M4TV","17","E","13041061E101","2067313011")</f>
        <v>8713</v>
      </c>
      <c r="I411" s="48">
        <f>[1]!BexGetData("DP_2","DL719O2RYNIY3MZ1QVCEEWBN7","17","E","13041061E101","2067313011")</f>
        <v>0</v>
      </c>
    </row>
    <row r="412" spans="1:9" x14ac:dyDescent="0.2">
      <c r="A412" s="46" t="s">
        <v>32</v>
      </c>
      <c r="B412" s="46" t="s">
        <v>32</v>
      </c>
      <c r="C412" s="46" t="s">
        <v>32</v>
      </c>
      <c r="D412" s="46" t="s">
        <v>32</v>
      </c>
      <c r="E412" s="46" t="s">
        <v>32</v>
      </c>
      <c r="F412" s="47">
        <f>[1]!BexGetData("DP_2","DL719O2RYNC0Y217V0FVT1R77","17","E","13041061E101","2067314011")</f>
        <v>59888.97</v>
      </c>
      <c r="G412" s="48">
        <f>[1]!BexGetData("DP_2","DL719O2RYNEBZX0HTMQQ0BY0J","17","E","13041061E101","2067314011")</f>
        <v>59888.97</v>
      </c>
      <c r="H412" s="48">
        <f>[1]!BexGetData("DP_2","DL719O2RYNGN1RZRS91K7M4TV","17","E","13041061E101","2067314011")</f>
        <v>59888.97</v>
      </c>
      <c r="I412" s="48">
        <f>[1]!BexGetData("DP_2","DL719O2RYNIY3MZ1QVCEEWBN7","17","E","13041061E101","2067314011")</f>
        <v>0</v>
      </c>
    </row>
    <row r="413" spans="1:9" x14ac:dyDescent="0.2">
      <c r="A413" s="46" t="s">
        <v>32</v>
      </c>
      <c r="B413" s="46" t="s">
        <v>32</v>
      </c>
      <c r="C413" s="46" t="s">
        <v>32</v>
      </c>
      <c r="D413" s="46" t="s">
        <v>32</v>
      </c>
      <c r="E413" s="46" t="s">
        <v>32</v>
      </c>
      <c r="F413" s="47">
        <f>[1]!BexGetData("DP_2","DL719O2RYNC0Y217V0FVT1R77","17","E","13041061E101","2067315011")</f>
        <v>0</v>
      </c>
      <c r="G413" s="48">
        <f>[1]!BexGetData("DP_2","DL719O2RYNEBZX0HTMQQ0BY0J","17","E","13041061E101","2067315011")</f>
        <v>0</v>
      </c>
      <c r="H413" s="48">
        <f>[1]!BexGetData("DP_2","DL719O2RYNGN1RZRS91K7M4TV","17","E","13041061E101","2067315011")</f>
        <v>0</v>
      </c>
      <c r="I413" s="48">
        <f>[1]!BexGetData("DP_2","DL719O2RYNIY3MZ1QVCEEWBN7","17","E","13041061E101","2067315011")</f>
        <v>0</v>
      </c>
    </row>
    <row r="414" spans="1:9" x14ac:dyDescent="0.2">
      <c r="A414" s="46" t="s">
        <v>32</v>
      </c>
      <c r="B414" s="46" t="s">
        <v>32</v>
      </c>
      <c r="C414" s="46" t="s">
        <v>32</v>
      </c>
      <c r="D414" s="46" t="s">
        <v>32</v>
      </c>
      <c r="E414" s="46" t="s">
        <v>32</v>
      </c>
      <c r="F414" s="47">
        <f>[1]!BexGetData("DP_2","DL719O2RYNC0Y217V0FVT1R77","17","E","13041061E101","2067318011")</f>
        <v>1428</v>
      </c>
      <c r="G414" s="48">
        <f>[1]!BexGetData("DP_2","DL719O2RYNEBZX0HTMQQ0BY0J","17","E","13041061E101","2067318011")</f>
        <v>1428</v>
      </c>
      <c r="H414" s="48">
        <f>[1]!BexGetData("DP_2","DL719O2RYNGN1RZRS91K7M4TV","17","E","13041061E101","2067318011")</f>
        <v>1428</v>
      </c>
      <c r="I414" s="48">
        <f>[1]!BexGetData("DP_2","DL719O2RYNIY3MZ1QVCEEWBN7","17","E","13041061E101","2067318011")</f>
        <v>0</v>
      </c>
    </row>
    <row r="415" spans="1:9" x14ac:dyDescent="0.2">
      <c r="A415" s="46" t="s">
        <v>32</v>
      </c>
      <c r="B415" s="46" t="s">
        <v>32</v>
      </c>
      <c r="C415" s="46" t="s">
        <v>32</v>
      </c>
      <c r="D415" s="46" t="s">
        <v>32</v>
      </c>
      <c r="E415" s="46" t="s">
        <v>32</v>
      </c>
      <c r="F415" s="47">
        <f>[1]!BexGetData("DP_2","DL719O2RYNC0Y217V0FVT1R77","17","E","13041061E101","2067321011")</f>
        <v>0</v>
      </c>
      <c r="G415" s="48">
        <f>[1]!BexGetData("DP_2","DL719O2RYNEBZX0HTMQQ0BY0J","17","E","13041061E101","2067321011")</f>
        <v>0</v>
      </c>
      <c r="H415" s="48">
        <f>[1]!BexGetData("DP_2","DL719O2RYNGN1RZRS91K7M4TV","17","E","13041061E101","2067321011")</f>
        <v>0</v>
      </c>
      <c r="I415" s="48">
        <f>[1]!BexGetData("DP_2","DL719O2RYNIY3MZ1QVCEEWBN7","17","E","13041061E101","2067321011")</f>
        <v>0</v>
      </c>
    </row>
    <row r="416" spans="1:9" x14ac:dyDescent="0.2">
      <c r="A416" s="46" t="s">
        <v>32</v>
      </c>
      <c r="B416" s="46" t="s">
        <v>32</v>
      </c>
      <c r="C416" s="46" t="s">
        <v>32</v>
      </c>
      <c r="D416" s="46" t="s">
        <v>32</v>
      </c>
      <c r="E416" s="46" t="s">
        <v>32</v>
      </c>
      <c r="F416" s="47">
        <f>[1]!BexGetData("DP_2","DL719O2RYNC0Y217V0FVT1R77","17","E","13041061E101","2067322011")</f>
        <v>1195788.32</v>
      </c>
      <c r="G416" s="48">
        <f>[1]!BexGetData("DP_2","DL719O2RYNEBZX0HTMQQ0BY0J","17","E","13041061E101","2067322011")</f>
        <v>1195788.32</v>
      </c>
      <c r="H416" s="48">
        <f>[1]!BexGetData("DP_2","DL719O2RYNGN1RZRS91K7M4TV","17","E","13041061E101","2067322011")</f>
        <v>1118855.96</v>
      </c>
      <c r="I416" s="48">
        <f>[1]!BexGetData("DP_2","DL719O2RYNIY3MZ1QVCEEWBN7","17","E","13041061E101","2067322011")</f>
        <v>0</v>
      </c>
    </row>
    <row r="417" spans="1:9" x14ac:dyDescent="0.2">
      <c r="A417" s="46" t="s">
        <v>32</v>
      </c>
      <c r="B417" s="46" t="s">
        <v>32</v>
      </c>
      <c r="C417" s="46" t="s">
        <v>32</v>
      </c>
      <c r="D417" s="46" t="s">
        <v>32</v>
      </c>
      <c r="E417" s="46" t="s">
        <v>32</v>
      </c>
      <c r="F417" s="47">
        <f>[1]!BexGetData("DP_2","DL719O2RYNC0Y217V0FVT1R77","17","E","13041061E101","2067325011")</f>
        <v>3480</v>
      </c>
      <c r="G417" s="48">
        <f>[1]!BexGetData("DP_2","DL719O2RYNEBZX0HTMQQ0BY0J","17","E","13041061E101","2067325011")</f>
        <v>3480</v>
      </c>
      <c r="H417" s="48">
        <f>[1]!BexGetData("DP_2","DL719O2RYNGN1RZRS91K7M4TV","17","E","13041061E101","2067325011")</f>
        <v>3480</v>
      </c>
      <c r="I417" s="48">
        <f>[1]!BexGetData("DP_2","DL719O2RYNIY3MZ1QVCEEWBN7","17","E","13041061E101","2067325011")</f>
        <v>0</v>
      </c>
    </row>
    <row r="418" spans="1:9" x14ac:dyDescent="0.2">
      <c r="A418" s="46" t="s">
        <v>32</v>
      </c>
      <c r="B418" s="46" t="s">
        <v>32</v>
      </c>
      <c r="C418" s="46" t="s">
        <v>32</v>
      </c>
      <c r="D418" s="46" t="s">
        <v>32</v>
      </c>
      <c r="E418" s="46" t="s">
        <v>32</v>
      </c>
      <c r="F418" s="47">
        <f>[1]!BexGetData("DP_2","DL719O2RYNC0Y217V0FVT1R77","17","E","13041061E101","2067329011")</f>
        <v>48530</v>
      </c>
      <c r="G418" s="48">
        <f>[1]!BexGetData("DP_2","DL719O2RYNEBZX0HTMQQ0BY0J","17","E","13041061E101","2067329011")</f>
        <v>48530</v>
      </c>
      <c r="H418" s="48">
        <f>[1]!BexGetData("DP_2","DL719O2RYNGN1RZRS91K7M4TV","17","E","13041061E101","2067329011")</f>
        <v>46442</v>
      </c>
      <c r="I418" s="48">
        <f>[1]!BexGetData("DP_2","DL719O2RYNIY3MZ1QVCEEWBN7","17","E","13041061E101","2067329011")</f>
        <v>0</v>
      </c>
    </row>
    <row r="419" spans="1:9" x14ac:dyDescent="0.2">
      <c r="A419" s="46" t="s">
        <v>32</v>
      </c>
      <c r="B419" s="46" t="s">
        <v>32</v>
      </c>
      <c r="C419" s="46" t="s">
        <v>32</v>
      </c>
      <c r="D419" s="46" t="s">
        <v>32</v>
      </c>
      <c r="E419" s="46" t="s">
        <v>32</v>
      </c>
      <c r="F419" s="47">
        <f>[1]!BexGetData("DP_2","DL719O2RYNC0Y217V0FVT1R77","17","E","13041061E101","2067336011")</f>
        <v>147568.98000000001</v>
      </c>
      <c r="G419" s="48">
        <f>[1]!BexGetData("DP_2","DL719O2RYNEBZX0HTMQQ0BY0J","17","E","13041061E101","2067336011")</f>
        <v>147568.98000000001</v>
      </c>
      <c r="H419" s="48">
        <f>[1]!BexGetData("DP_2","DL719O2RYNGN1RZRS91K7M4TV","17","E","13041061E101","2067336011")</f>
        <v>102439.38</v>
      </c>
      <c r="I419" s="48">
        <f>[1]!BexGetData("DP_2","DL719O2RYNIY3MZ1QVCEEWBN7","17","E","13041061E101","2067336011")</f>
        <v>0</v>
      </c>
    </row>
    <row r="420" spans="1:9" x14ac:dyDescent="0.2">
      <c r="A420" s="46" t="s">
        <v>32</v>
      </c>
      <c r="B420" s="46" t="s">
        <v>32</v>
      </c>
      <c r="C420" s="46" t="s">
        <v>32</v>
      </c>
      <c r="D420" s="46" t="s">
        <v>32</v>
      </c>
      <c r="E420" s="46" t="s">
        <v>32</v>
      </c>
      <c r="F420" s="47">
        <f>[1]!BexGetData("DP_2","DL719O2RYNC0Y217V0FVT1R77","17","E","13041061E101","2067339021")</f>
        <v>0</v>
      </c>
      <c r="G420" s="48">
        <f>[1]!BexGetData("DP_2","DL719O2RYNEBZX0HTMQQ0BY0J","17","E","13041061E101","2067339021")</f>
        <v>0</v>
      </c>
      <c r="H420" s="48">
        <f>[1]!BexGetData("DP_2","DL719O2RYNGN1RZRS91K7M4TV","17","E","13041061E101","2067339021")</f>
        <v>0</v>
      </c>
      <c r="I420" s="48">
        <f>[1]!BexGetData("DP_2","DL719O2RYNIY3MZ1QVCEEWBN7","17","E","13041061E101","2067339021")</f>
        <v>0</v>
      </c>
    </row>
    <row r="421" spans="1:9" x14ac:dyDescent="0.2">
      <c r="A421" s="46" t="s">
        <v>32</v>
      </c>
      <c r="B421" s="46" t="s">
        <v>32</v>
      </c>
      <c r="C421" s="46" t="s">
        <v>32</v>
      </c>
      <c r="D421" s="46" t="s">
        <v>32</v>
      </c>
      <c r="E421" s="46" t="s">
        <v>32</v>
      </c>
      <c r="F421" s="47">
        <f>[1]!BexGetData("DP_2","DL719O2RYNC0Y217V0FVT1R77","17","E","13041061E101","2067347011")</f>
        <v>21010.07</v>
      </c>
      <c r="G421" s="48">
        <f>[1]!BexGetData("DP_2","DL719O2RYNEBZX0HTMQQ0BY0J","17","E","13041061E101","2067347011")</f>
        <v>21010.07</v>
      </c>
      <c r="H421" s="48">
        <f>[1]!BexGetData("DP_2","DL719O2RYNGN1RZRS91K7M4TV","17","E","13041061E101","2067347011")</f>
        <v>0</v>
      </c>
      <c r="I421" s="48">
        <f>[1]!BexGetData("DP_2","DL719O2RYNIY3MZ1QVCEEWBN7","17","E","13041061E101","2067347011")</f>
        <v>0</v>
      </c>
    </row>
    <row r="422" spans="1:9" x14ac:dyDescent="0.2">
      <c r="A422" s="46" t="s">
        <v>32</v>
      </c>
      <c r="B422" s="46" t="s">
        <v>32</v>
      </c>
      <c r="C422" s="46" t="s">
        <v>32</v>
      </c>
      <c r="D422" s="46" t="s">
        <v>32</v>
      </c>
      <c r="E422" s="46" t="s">
        <v>32</v>
      </c>
      <c r="F422" s="47">
        <f>[1]!BexGetData("DP_2","DL719O2RYNC0Y217V0FVT1R77","17","E","13041061E101","2067351011")</f>
        <v>0</v>
      </c>
      <c r="G422" s="48">
        <f>[1]!BexGetData("DP_2","DL719O2RYNEBZX0HTMQQ0BY0J","17","E","13041061E101","2067351011")</f>
        <v>0</v>
      </c>
      <c r="H422" s="48">
        <f>[1]!BexGetData("DP_2","DL719O2RYNGN1RZRS91K7M4TV","17","E","13041061E101","2067351011")</f>
        <v>0</v>
      </c>
      <c r="I422" s="48">
        <f>[1]!BexGetData("DP_2","DL719O2RYNIY3MZ1QVCEEWBN7","17","E","13041061E101","2067351011")</f>
        <v>0</v>
      </c>
    </row>
    <row r="423" spans="1:9" x14ac:dyDescent="0.2">
      <c r="A423" s="46" t="s">
        <v>32</v>
      </c>
      <c r="B423" s="46" t="s">
        <v>32</v>
      </c>
      <c r="C423" s="46" t="s">
        <v>32</v>
      </c>
      <c r="D423" s="46" t="s">
        <v>32</v>
      </c>
      <c r="E423" s="46" t="s">
        <v>32</v>
      </c>
      <c r="F423" s="47">
        <f>[1]!BexGetData("DP_2","DL719O2RYNC0Y217V0FVT1R77","17","E","13041061E101","2067352011")</f>
        <v>0</v>
      </c>
      <c r="G423" s="48">
        <f>[1]!BexGetData("DP_2","DL719O2RYNEBZX0HTMQQ0BY0J","17","E","13041061E101","2067352011")</f>
        <v>0</v>
      </c>
      <c r="H423" s="48">
        <f>[1]!BexGetData("DP_2","DL719O2RYNGN1RZRS91K7M4TV","17","E","13041061E101","2067352011")</f>
        <v>0</v>
      </c>
      <c r="I423" s="48">
        <f>[1]!BexGetData("DP_2","DL719O2RYNIY3MZ1QVCEEWBN7","17","E","13041061E101","2067352011")</f>
        <v>0</v>
      </c>
    </row>
    <row r="424" spans="1:9" x14ac:dyDescent="0.2">
      <c r="A424" s="46" t="s">
        <v>32</v>
      </c>
      <c r="B424" s="46" t="s">
        <v>32</v>
      </c>
      <c r="C424" s="46" t="s">
        <v>32</v>
      </c>
      <c r="D424" s="46" t="s">
        <v>32</v>
      </c>
      <c r="E424" s="46" t="s">
        <v>32</v>
      </c>
      <c r="F424" s="47">
        <f>[1]!BexGetData("DP_2","DL719O2RYNC0Y217V0FVT1R77","17","E","13041061E101","2067355011")</f>
        <v>2973.13</v>
      </c>
      <c r="G424" s="48">
        <f>[1]!BexGetData("DP_2","DL719O2RYNEBZX0HTMQQ0BY0J","17","E","13041061E101","2067355011")</f>
        <v>2973.13</v>
      </c>
      <c r="H424" s="48">
        <f>[1]!BexGetData("DP_2","DL719O2RYNGN1RZRS91K7M4TV","17","E","13041061E101","2067355011")</f>
        <v>2973.13</v>
      </c>
      <c r="I424" s="48">
        <f>[1]!BexGetData("DP_2","DL719O2RYNIY3MZ1QVCEEWBN7","17","E","13041061E101","2067355011")</f>
        <v>0</v>
      </c>
    </row>
    <row r="425" spans="1:9" x14ac:dyDescent="0.2">
      <c r="A425" s="46" t="s">
        <v>32</v>
      </c>
      <c r="B425" s="46" t="s">
        <v>32</v>
      </c>
      <c r="C425" s="46" t="s">
        <v>32</v>
      </c>
      <c r="D425" s="46" t="s">
        <v>32</v>
      </c>
      <c r="E425" s="46" t="s">
        <v>32</v>
      </c>
      <c r="F425" s="47">
        <f>[1]!BexGetData("DP_2","DL719O2RYNC0Y217V0FVT1R77","17","E","13041061E101","2067359011")</f>
        <v>0</v>
      </c>
      <c r="G425" s="48">
        <f>[1]!BexGetData("DP_2","DL719O2RYNEBZX0HTMQQ0BY0J","17","E","13041061E101","2067359011")</f>
        <v>0</v>
      </c>
      <c r="H425" s="48">
        <f>[1]!BexGetData("DP_2","DL719O2RYNGN1RZRS91K7M4TV","17","E","13041061E101","2067359011")</f>
        <v>0</v>
      </c>
      <c r="I425" s="48">
        <f>[1]!BexGetData("DP_2","DL719O2RYNIY3MZ1QVCEEWBN7","17","E","13041061E101","2067359011")</f>
        <v>0</v>
      </c>
    </row>
    <row r="426" spans="1:9" x14ac:dyDescent="0.2">
      <c r="A426" s="46" t="s">
        <v>32</v>
      </c>
      <c r="B426" s="46" t="s">
        <v>32</v>
      </c>
      <c r="C426" s="46" t="s">
        <v>32</v>
      </c>
      <c r="D426" s="46" t="s">
        <v>32</v>
      </c>
      <c r="E426" s="46" t="s">
        <v>32</v>
      </c>
      <c r="F426" s="47">
        <f>[1]!BexGetData("DP_2","DL719O2RYNC0Y217V0FVT1R77","17","E","13041061E101","2067361011")</f>
        <v>522</v>
      </c>
      <c r="G426" s="48">
        <f>[1]!BexGetData("DP_2","DL719O2RYNEBZX0HTMQQ0BY0J","17","E","13041061E101","2067361011")</f>
        <v>522</v>
      </c>
      <c r="H426" s="48">
        <f>[1]!BexGetData("DP_2","DL719O2RYNGN1RZRS91K7M4TV","17","E","13041061E101","2067361011")</f>
        <v>522</v>
      </c>
      <c r="I426" s="48">
        <f>[1]!BexGetData("DP_2","DL719O2RYNIY3MZ1QVCEEWBN7","17","E","13041061E101","2067361011")</f>
        <v>0</v>
      </c>
    </row>
    <row r="427" spans="1:9" x14ac:dyDescent="0.2">
      <c r="A427" s="46" t="s">
        <v>32</v>
      </c>
      <c r="B427" s="46" t="s">
        <v>32</v>
      </c>
      <c r="C427" s="46" t="s">
        <v>32</v>
      </c>
      <c r="D427" s="46" t="s">
        <v>32</v>
      </c>
      <c r="E427" s="46" t="s">
        <v>32</v>
      </c>
      <c r="F427" s="47">
        <f>[1]!BexGetData("DP_2","DL719O2RYNC0Y217V0FVT1R77","17","E","13041061E101","2067371011")</f>
        <v>0</v>
      </c>
      <c r="G427" s="48">
        <f>[1]!BexGetData("DP_2","DL719O2RYNEBZX0HTMQQ0BY0J","17","E","13041061E101","2067371011")</f>
        <v>0</v>
      </c>
      <c r="H427" s="48">
        <f>[1]!BexGetData("DP_2","DL719O2RYNGN1RZRS91K7M4TV","17","E","13041061E101","2067371011")</f>
        <v>0</v>
      </c>
      <c r="I427" s="48">
        <f>[1]!BexGetData("DP_2","DL719O2RYNIY3MZ1QVCEEWBN7","17","E","13041061E101","2067371011")</f>
        <v>0</v>
      </c>
    </row>
    <row r="428" spans="1:9" x14ac:dyDescent="0.2">
      <c r="A428" s="46" t="s">
        <v>32</v>
      </c>
      <c r="B428" s="46" t="s">
        <v>32</v>
      </c>
      <c r="C428" s="46" t="s">
        <v>32</v>
      </c>
      <c r="D428" s="46" t="s">
        <v>32</v>
      </c>
      <c r="E428" s="46" t="s">
        <v>32</v>
      </c>
      <c r="F428" s="47">
        <f>[1]!BexGetData("DP_2","DL719O2RYNC0Y217V0FVT1R77","17","E","13041061E101","2067371021")</f>
        <v>11837</v>
      </c>
      <c r="G428" s="48">
        <f>[1]!BexGetData("DP_2","DL719O2RYNEBZX0HTMQQ0BY0J","17","E","13041061E101","2067371021")</f>
        <v>11837</v>
      </c>
      <c r="H428" s="48">
        <f>[1]!BexGetData("DP_2","DL719O2RYNGN1RZRS91K7M4TV","17","E","13041061E101","2067371021")</f>
        <v>0</v>
      </c>
      <c r="I428" s="48">
        <f>[1]!BexGetData("DP_2","DL719O2RYNIY3MZ1QVCEEWBN7","17","E","13041061E101","2067371021")</f>
        <v>0</v>
      </c>
    </row>
    <row r="429" spans="1:9" x14ac:dyDescent="0.2">
      <c r="A429" s="46" t="s">
        <v>32</v>
      </c>
      <c r="B429" s="46" t="s">
        <v>32</v>
      </c>
      <c r="C429" s="46" t="s">
        <v>32</v>
      </c>
      <c r="D429" s="46" t="s">
        <v>32</v>
      </c>
      <c r="E429" s="46" t="s">
        <v>32</v>
      </c>
      <c r="F429" s="47">
        <f>[1]!BexGetData("DP_2","DL719O2RYNC0Y217V0FVT1R77","17","E","13041061E101","2067372011")</f>
        <v>30319</v>
      </c>
      <c r="G429" s="48">
        <f>[1]!BexGetData("DP_2","DL719O2RYNEBZX0HTMQQ0BY0J","17","E","13041061E101","2067372011")</f>
        <v>30319</v>
      </c>
      <c r="H429" s="48">
        <f>[1]!BexGetData("DP_2","DL719O2RYNGN1RZRS91K7M4TV","17","E","13041061E101","2067372011")</f>
        <v>30318.95</v>
      </c>
      <c r="I429" s="48">
        <f>[1]!BexGetData("DP_2","DL719O2RYNIY3MZ1QVCEEWBN7","17","E","13041061E101","2067372011")</f>
        <v>0</v>
      </c>
    </row>
    <row r="430" spans="1:9" x14ac:dyDescent="0.2">
      <c r="A430" s="46" t="s">
        <v>32</v>
      </c>
      <c r="B430" s="46" t="s">
        <v>32</v>
      </c>
      <c r="C430" s="46" t="s">
        <v>32</v>
      </c>
      <c r="D430" s="46" t="s">
        <v>32</v>
      </c>
      <c r="E430" s="46" t="s">
        <v>32</v>
      </c>
      <c r="F430" s="47">
        <f>[1]!BexGetData("DP_2","DL719O2RYNC0Y217V0FVT1R77","17","E","13041061E101","2067375011")</f>
        <v>20419.009999999998</v>
      </c>
      <c r="G430" s="48">
        <f>[1]!BexGetData("DP_2","DL719O2RYNEBZX0HTMQQ0BY0J","17","E","13041061E101","2067375011")</f>
        <v>20419.009999999998</v>
      </c>
      <c r="H430" s="48">
        <f>[1]!BexGetData("DP_2","DL719O2RYNGN1RZRS91K7M4TV","17","E","13041061E101","2067375011")</f>
        <v>16750.009999999998</v>
      </c>
      <c r="I430" s="48">
        <f>[1]!BexGetData("DP_2","DL719O2RYNIY3MZ1QVCEEWBN7","17","E","13041061E101","2067375011")</f>
        <v>0</v>
      </c>
    </row>
    <row r="431" spans="1:9" x14ac:dyDescent="0.2">
      <c r="A431" s="46" t="s">
        <v>32</v>
      </c>
      <c r="B431" s="46" t="s">
        <v>32</v>
      </c>
      <c r="C431" s="46" t="s">
        <v>32</v>
      </c>
      <c r="D431" s="46" t="s">
        <v>32</v>
      </c>
      <c r="E431" s="46" t="s">
        <v>32</v>
      </c>
      <c r="F431" s="47">
        <f>[1]!BexGetData("DP_2","DL719O2RYNC0Y217V0FVT1R77","17","E","13041061E101","2067376011")</f>
        <v>44998.83</v>
      </c>
      <c r="G431" s="48">
        <f>[1]!BexGetData("DP_2","DL719O2RYNEBZX0HTMQQ0BY0J","17","E","13041061E101","2067376011")</f>
        <v>44998.83</v>
      </c>
      <c r="H431" s="48">
        <f>[1]!BexGetData("DP_2","DL719O2RYNGN1RZRS91K7M4TV","17","E","13041061E101","2067376011")</f>
        <v>44998.83</v>
      </c>
      <c r="I431" s="48">
        <f>[1]!BexGetData("DP_2","DL719O2RYNIY3MZ1QVCEEWBN7","17","E","13041061E101","2067376011")</f>
        <v>0</v>
      </c>
    </row>
    <row r="432" spans="1:9" x14ac:dyDescent="0.2">
      <c r="A432" s="46" t="s">
        <v>32</v>
      </c>
      <c r="B432" s="46" t="s">
        <v>32</v>
      </c>
      <c r="C432" s="46" t="s">
        <v>32</v>
      </c>
      <c r="D432" s="46" t="s">
        <v>32</v>
      </c>
      <c r="E432" s="46" t="s">
        <v>32</v>
      </c>
      <c r="F432" s="47">
        <f>[1]!BexGetData("DP_2","DL719O2RYNC0Y217V0FVT1R77","17","E","13041061E101","2067379011")</f>
        <v>0</v>
      </c>
      <c r="G432" s="48">
        <f>[1]!BexGetData("DP_2","DL719O2RYNEBZX0HTMQQ0BY0J","17","E","13041061E101","2067379011")</f>
        <v>0</v>
      </c>
      <c r="H432" s="48">
        <f>[1]!BexGetData("DP_2","DL719O2RYNGN1RZRS91K7M4TV","17","E","13041061E101","2067379011")</f>
        <v>0</v>
      </c>
      <c r="I432" s="48">
        <f>[1]!BexGetData("DP_2","DL719O2RYNIY3MZ1QVCEEWBN7","17","E","13041061E101","2067379011")</f>
        <v>0</v>
      </c>
    </row>
    <row r="433" spans="1:9" x14ac:dyDescent="0.2">
      <c r="A433" s="46" t="s">
        <v>32</v>
      </c>
      <c r="B433" s="46" t="s">
        <v>32</v>
      </c>
      <c r="C433" s="46" t="s">
        <v>32</v>
      </c>
      <c r="D433" s="46" t="s">
        <v>32</v>
      </c>
      <c r="E433" s="46" t="s">
        <v>32</v>
      </c>
      <c r="F433" s="47">
        <f>[1]!BexGetData("DP_2","DL719O2RYNC0Y217V0FVT1R77","17","E","13041061E101","2067381011")</f>
        <v>0</v>
      </c>
      <c r="G433" s="48">
        <f>[1]!BexGetData("DP_2","DL719O2RYNEBZX0HTMQQ0BY0J","17","E","13041061E101","2067381011")</f>
        <v>0</v>
      </c>
      <c r="H433" s="48">
        <f>[1]!BexGetData("DP_2","DL719O2RYNGN1RZRS91K7M4TV","17","E","13041061E101","2067381011")</f>
        <v>0</v>
      </c>
      <c r="I433" s="48">
        <f>[1]!BexGetData("DP_2","DL719O2RYNIY3MZ1QVCEEWBN7","17","E","13041061E101","2067381011")</f>
        <v>0</v>
      </c>
    </row>
    <row r="434" spans="1:9" x14ac:dyDescent="0.2">
      <c r="A434" s="46" t="s">
        <v>32</v>
      </c>
      <c r="B434" s="46" t="s">
        <v>32</v>
      </c>
      <c r="C434" s="46" t="s">
        <v>32</v>
      </c>
      <c r="D434" s="46" t="s">
        <v>32</v>
      </c>
      <c r="E434" s="46" t="s">
        <v>32</v>
      </c>
      <c r="F434" s="47">
        <f>[1]!BexGetData("DP_2","DL719O2RYNC0Y217V0FVT1R77","17","E","13041061E101","2067382021")</f>
        <v>133319.71</v>
      </c>
      <c r="G434" s="48">
        <f>[1]!BexGetData("DP_2","DL719O2RYNEBZX0HTMQQ0BY0J","17","E","13041061E101","2067382021")</f>
        <v>133319.71</v>
      </c>
      <c r="H434" s="48">
        <f>[1]!BexGetData("DP_2","DL719O2RYNGN1RZRS91K7M4TV","17","E","13041061E101","2067382021")</f>
        <v>74779.710000000006</v>
      </c>
      <c r="I434" s="48">
        <f>[1]!BexGetData("DP_2","DL719O2RYNIY3MZ1QVCEEWBN7","17","E","13041061E101","2067382021")</f>
        <v>0</v>
      </c>
    </row>
    <row r="435" spans="1:9" x14ac:dyDescent="0.2">
      <c r="A435" s="46" t="s">
        <v>32</v>
      </c>
      <c r="B435" s="46" t="s">
        <v>32</v>
      </c>
      <c r="C435" s="46" t="s">
        <v>32</v>
      </c>
      <c r="D435" s="46" t="s">
        <v>32</v>
      </c>
      <c r="E435" s="46" t="s">
        <v>32</v>
      </c>
      <c r="F435" s="47">
        <f>[1]!BexGetData("DP_2","DL719O2RYNC0Y217V0FVT1R77","17","E","13041061E101","2067392011")</f>
        <v>140.80000000000001</v>
      </c>
      <c r="G435" s="48">
        <f>[1]!BexGetData("DP_2","DL719O2RYNEBZX0HTMQQ0BY0J","17","E","13041061E101","2067392011")</f>
        <v>140.80000000000001</v>
      </c>
      <c r="H435" s="48">
        <f>[1]!BexGetData("DP_2","DL719O2RYNGN1RZRS91K7M4TV","17","E","13041061E101","2067392011")</f>
        <v>140.80000000000001</v>
      </c>
      <c r="I435" s="48">
        <f>[1]!BexGetData("DP_2","DL719O2RYNIY3MZ1QVCEEWBN7","17","E","13041061E101","2067392011")</f>
        <v>0</v>
      </c>
    </row>
    <row r="436" spans="1:9" x14ac:dyDescent="0.2">
      <c r="A436" s="46" t="s">
        <v>32</v>
      </c>
      <c r="B436" s="46" t="s">
        <v>32</v>
      </c>
      <c r="C436" s="46" t="s">
        <v>32</v>
      </c>
      <c r="D436" s="46" t="s">
        <v>32</v>
      </c>
      <c r="E436" s="46" t="s">
        <v>32</v>
      </c>
      <c r="F436" s="47">
        <f>[1]!BexGetData("DP_2","DL719O2RYNC0Y217V0FVT1R77","17","E","13041061E101","2067399031")</f>
        <v>696</v>
      </c>
      <c r="G436" s="48">
        <f>[1]!BexGetData("DP_2","DL719O2RYNEBZX0HTMQQ0BY0J","17","E","13041061E101","2067399031")</f>
        <v>696</v>
      </c>
      <c r="H436" s="48">
        <f>[1]!BexGetData("DP_2","DL719O2RYNGN1RZRS91K7M4TV","17","E","13041061E101","2067399031")</f>
        <v>696</v>
      </c>
      <c r="I436" s="48">
        <f>[1]!BexGetData("DP_2","DL719O2RYNIY3MZ1QVCEEWBN7","17","E","13041061E101","2067399031")</f>
        <v>0</v>
      </c>
    </row>
    <row r="437" spans="1:9" x14ac:dyDescent="0.2">
      <c r="A437" s="46" t="s">
        <v>32</v>
      </c>
      <c r="B437" s="46" t="s">
        <v>32</v>
      </c>
      <c r="C437" s="46" t="s">
        <v>32</v>
      </c>
      <c r="D437" s="46" t="s">
        <v>32</v>
      </c>
      <c r="E437" s="46" t="s">
        <v>32</v>
      </c>
      <c r="F437" s="47">
        <f>[1]!BexGetData("DP_2","DL719O2RYNC0Y217V0FVT1R77","17","E","13041061E101","2067511012")</f>
        <v>15995.82</v>
      </c>
      <c r="G437" s="48">
        <f>[1]!BexGetData("DP_2","DL719O2RYNEBZX0HTMQQ0BY0J","17","E","13041061E101","2067511012")</f>
        <v>15995.82</v>
      </c>
      <c r="H437" s="48">
        <f>[1]!BexGetData("DP_2","DL719O2RYNGN1RZRS91K7M4TV","17","E","13041061E101","2067511012")</f>
        <v>15995.82</v>
      </c>
      <c r="I437" s="48">
        <f>[1]!BexGetData("DP_2","DL719O2RYNIY3MZ1QVCEEWBN7","17","E","13041061E101","2067511012")</f>
        <v>0</v>
      </c>
    </row>
    <row r="438" spans="1:9" x14ac:dyDescent="0.2">
      <c r="A438" s="46" t="s">
        <v>32</v>
      </c>
      <c r="B438" s="46" t="s">
        <v>32</v>
      </c>
      <c r="C438" s="46" t="s">
        <v>32</v>
      </c>
      <c r="D438" s="46" t="s">
        <v>32</v>
      </c>
      <c r="E438" s="46" t="s">
        <v>32</v>
      </c>
      <c r="F438" s="47">
        <f>[1]!BexGetData("DP_2","DL719O2RYNC0Y217V0FVT1R77","17","E","13041061E101","2067515012")</f>
        <v>44574.45</v>
      </c>
      <c r="G438" s="48">
        <f>[1]!BexGetData("DP_2","DL719O2RYNEBZX0HTMQQ0BY0J","17","E","13041061E101","2067515012")</f>
        <v>44574.45</v>
      </c>
      <c r="H438" s="48">
        <f>[1]!BexGetData("DP_2","DL719O2RYNGN1RZRS91K7M4TV","17","E","13041061E101","2067515012")</f>
        <v>44574.45</v>
      </c>
      <c r="I438" s="48">
        <f>[1]!BexGetData("DP_2","DL719O2RYNIY3MZ1QVCEEWBN7","17","E","13041061E101","2067515012")</f>
        <v>0</v>
      </c>
    </row>
    <row r="439" spans="1:9" x14ac:dyDescent="0.2">
      <c r="A439" s="46" t="s">
        <v>32</v>
      </c>
      <c r="B439" s="46" t="s">
        <v>32</v>
      </c>
      <c r="C439" s="46" t="s">
        <v>89</v>
      </c>
      <c r="D439" s="46" t="s">
        <v>90</v>
      </c>
      <c r="E439" s="46" t="s">
        <v>32</v>
      </c>
      <c r="F439" s="47">
        <f>[1]!BexGetData("DP_2","DL719O2RYNC0Y217V0FVT1R77","17","E","13041061E1E1","2067122011")</f>
        <v>15280.05</v>
      </c>
      <c r="G439" s="48">
        <f>[1]!BexGetData("DP_2","DL719O2RYNEBZX0HTMQQ0BY0J","17","E","13041061E1E1","2067122011")</f>
        <v>15280.05</v>
      </c>
      <c r="H439" s="48">
        <f>[1]!BexGetData("DP_2","DL719O2RYNGN1RZRS91K7M4TV","17","E","13041061E1E1","2067122011")</f>
        <v>15280.05</v>
      </c>
      <c r="I439" s="48">
        <f>[1]!BexGetData("DP_2","DL719O2RYNIY3MZ1QVCEEWBN7","17","E","13041061E1E1","2067122011")</f>
        <v>0</v>
      </c>
    </row>
    <row r="440" spans="1:9" x14ac:dyDescent="0.2">
      <c r="A440" s="46" t="s">
        <v>32</v>
      </c>
      <c r="B440" s="46" t="s">
        <v>32</v>
      </c>
      <c r="C440" s="46" t="s">
        <v>91</v>
      </c>
      <c r="D440" s="46" t="s">
        <v>91</v>
      </c>
      <c r="E440" s="46" t="s">
        <v>32</v>
      </c>
      <c r="F440" s="47">
        <f>[1]!BexGetData("DP_2","DL719O2RYNC0Y217V0FVT1R77","17","E","13041071E102","2067113011")</f>
        <v>1730666.09</v>
      </c>
      <c r="G440" s="48">
        <f>[1]!BexGetData("DP_2","DL719O2RYNEBZX0HTMQQ0BY0J","17","E","13041071E102","2067113011")</f>
        <v>1730666.09</v>
      </c>
      <c r="H440" s="48">
        <f>[1]!BexGetData("DP_2","DL719O2RYNGN1RZRS91K7M4TV","17","E","13041071E102","2067113011")</f>
        <v>1730666.09</v>
      </c>
      <c r="I440" s="48">
        <f>[1]!BexGetData("DP_2","DL719O2RYNIY3MZ1QVCEEWBN7","17","E","13041071E102","2067113011")</f>
        <v>0</v>
      </c>
    </row>
    <row r="441" spans="1:9" x14ac:dyDescent="0.2">
      <c r="A441" s="46" t="s">
        <v>32</v>
      </c>
      <c r="B441" s="46" t="s">
        <v>32</v>
      </c>
      <c r="C441" s="46" t="s">
        <v>32</v>
      </c>
      <c r="D441" s="46" t="s">
        <v>32</v>
      </c>
      <c r="E441" s="46" t="s">
        <v>32</v>
      </c>
      <c r="F441" s="47">
        <f>[1]!BexGetData("DP_2","DL719O2RYNC0Y217V0FVT1R77","17","E","13041071E102","2067113021")</f>
        <v>1992629.06</v>
      </c>
      <c r="G441" s="48">
        <f>[1]!BexGetData("DP_2","DL719O2RYNEBZX0HTMQQ0BY0J","17","E","13041071E102","2067113021")</f>
        <v>1992629.06</v>
      </c>
      <c r="H441" s="48">
        <f>[1]!BexGetData("DP_2","DL719O2RYNGN1RZRS91K7M4TV","17","E","13041071E102","2067113021")</f>
        <v>1992629.06</v>
      </c>
      <c r="I441" s="48">
        <f>[1]!BexGetData("DP_2","DL719O2RYNIY3MZ1QVCEEWBN7","17","E","13041071E102","2067113021")</f>
        <v>0</v>
      </c>
    </row>
    <row r="442" spans="1:9" x14ac:dyDescent="0.2">
      <c r="A442" s="46" t="s">
        <v>32</v>
      </c>
      <c r="B442" s="46" t="s">
        <v>32</v>
      </c>
      <c r="C442" s="46" t="s">
        <v>32</v>
      </c>
      <c r="D442" s="46" t="s">
        <v>32</v>
      </c>
      <c r="E442" s="46" t="s">
        <v>32</v>
      </c>
      <c r="F442" s="47">
        <f>[1]!BexGetData("DP_2","DL719O2RYNC0Y217V0FVT1R77","17","E","13041071E102","2067122011")</f>
        <v>329793.53000000003</v>
      </c>
      <c r="G442" s="48">
        <f>[1]!BexGetData("DP_2","DL719O2RYNEBZX0HTMQQ0BY0J","17","E","13041071E102","2067122011")</f>
        <v>329793.53000000003</v>
      </c>
      <c r="H442" s="48">
        <f>[1]!BexGetData("DP_2","DL719O2RYNGN1RZRS91K7M4TV","17","E","13041071E102","2067122011")</f>
        <v>329793.53000000003</v>
      </c>
      <c r="I442" s="48">
        <f>[1]!BexGetData("DP_2","DL719O2RYNIY3MZ1QVCEEWBN7","17","E","13041071E102","2067122011")</f>
        <v>0</v>
      </c>
    </row>
    <row r="443" spans="1:9" x14ac:dyDescent="0.2">
      <c r="A443" s="46" t="s">
        <v>32</v>
      </c>
      <c r="B443" s="46" t="s">
        <v>32</v>
      </c>
      <c r="C443" s="46" t="s">
        <v>32</v>
      </c>
      <c r="D443" s="46" t="s">
        <v>32</v>
      </c>
      <c r="E443" s="46" t="s">
        <v>32</v>
      </c>
      <c r="F443" s="47">
        <f>[1]!BexGetData("DP_2","DL719O2RYNC0Y217V0FVT1R77","17","E","13041071E102","2067131011")</f>
        <v>210133.46</v>
      </c>
      <c r="G443" s="48">
        <f>[1]!BexGetData("DP_2","DL719O2RYNEBZX0HTMQQ0BY0J","17","E","13041071E102","2067131011")</f>
        <v>210133.46</v>
      </c>
      <c r="H443" s="48">
        <f>[1]!BexGetData("DP_2","DL719O2RYNGN1RZRS91K7M4TV","17","E","13041071E102","2067131011")</f>
        <v>210133.46</v>
      </c>
      <c r="I443" s="48">
        <f>[1]!BexGetData("DP_2","DL719O2RYNIY3MZ1QVCEEWBN7","17","E","13041071E102","2067131011")</f>
        <v>0</v>
      </c>
    </row>
    <row r="444" spans="1:9" x14ac:dyDescent="0.2">
      <c r="A444" s="46" t="s">
        <v>32</v>
      </c>
      <c r="B444" s="46" t="s">
        <v>32</v>
      </c>
      <c r="C444" s="46" t="s">
        <v>32</v>
      </c>
      <c r="D444" s="46" t="s">
        <v>32</v>
      </c>
      <c r="E444" s="46" t="s">
        <v>32</v>
      </c>
      <c r="F444" s="47">
        <f>[1]!BexGetData("DP_2","DL719O2RYNC0Y217V0FVT1R77","17","E","13041071E102","2067131021")</f>
        <v>39896.639999999999</v>
      </c>
      <c r="G444" s="48">
        <f>[1]!BexGetData("DP_2","DL719O2RYNEBZX0HTMQQ0BY0J","17","E","13041071E102","2067131021")</f>
        <v>39896.639999999999</v>
      </c>
      <c r="H444" s="48">
        <f>[1]!BexGetData("DP_2","DL719O2RYNGN1RZRS91K7M4TV","17","E","13041071E102","2067131021")</f>
        <v>39896.639999999999</v>
      </c>
      <c r="I444" s="48">
        <f>[1]!BexGetData("DP_2","DL719O2RYNIY3MZ1QVCEEWBN7","17","E","13041071E102","2067131021")</f>
        <v>0</v>
      </c>
    </row>
    <row r="445" spans="1:9" x14ac:dyDescent="0.2">
      <c r="A445" s="46" t="s">
        <v>32</v>
      </c>
      <c r="B445" s="46" t="s">
        <v>32</v>
      </c>
      <c r="C445" s="46" t="s">
        <v>32</v>
      </c>
      <c r="D445" s="46" t="s">
        <v>32</v>
      </c>
      <c r="E445" s="46" t="s">
        <v>32</v>
      </c>
      <c r="F445" s="47">
        <f>[1]!BexGetData("DP_2","DL719O2RYNC0Y217V0FVT1R77","17","E","13041071E102","2067132011")</f>
        <v>167551.16</v>
      </c>
      <c r="G445" s="48">
        <f>[1]!BexGetData("DP_2","DL719O2RYNEBZX0HTMQQ0BY0J","17","E","13041071E102","2067132011")</f>
        <v>167551.16</v>
      </c>
      <c r="H445" s="48">
        <f>[1]!BexGetData("DP_2","DL719O2RYNGN1RZRS91K7M4TV","17","E","13041071E102","2067132011")</f>
        <v>167551.16</v>
      </c>
      <c r="I445" s="48">
        <f>[1]!BexGetData("DP_2","DL719O2RYNIY3MZ1QVCEEWBN7","17","E","13041071E102","2067132011")</f>
        <v>0</v>
      </c>
    </row>
    <row r="446" spans="1:9" x14ac:dyDescent="0.2">
      <c r="A446" s="46" t="s">
        <v>32</v>
      </c>
      <c r="B446" s="46" t="s">
        <v>32</v>
      </c>
      <c r="C446" s="46" t="s">
        <v>32</v>
      </c>
      <c r="D446" s="46" t="s">
        <v>32</v>
      </c>
      <c r="E446" s="46" t="s">
        <v>32</v>
      </c>
      <c r="F446" s="47">
        <f>[1]!BexGetData("DP_2","DL719O2RYNC0Y217V0FVT1R77","17","E","13041071E102","2067132021")</f>
        <v>805402.09</v>
      </c>
      <c r="G446" s="48">
        <f>[1]!BexGetData("DP_2","DL719O2RYNEBZX0HTMQQ0BY0J","17","E","13041071E102","2067132021")</f>
        <v>805402.09</v>
      </c>
      <c r="H446" s="48">
        <f>[1]!BexGetData("DP_2","DL719O2RYNGN1RZRS91K7M4TV","17","E","13041071E102","2067132021")</f>
        <v>805402.09</v>
      </c>
      <c r="I446" s="48">
        <f>[1]!BexGetData("DP_2","DL719O2RYNIY3MZ1QVCEEWBN7","17","E","13041071E102","2067132021")</f>
        <v>0</v>
      </c>
    </row>
    <row r="447" spans="1:9" x14ac:dyDescent="0.2">
      <c r="A447" s="46" t="s">
        <v>32</v>
      </c>
      <c r="B447" s="46" t="s">
        <v>32</v>
      </c>
      <c r="C447" s="46" t="s">
        <v>32</v>
      </c>
      <c r="D447" s="46" t="s">
        <v>32</v>
      </c>
      <c r="E447" s="46" t="s">
        <v>32</v>
      </c>
      <c r="F447" s="47">
        <f>[1]!BexGetData("DP_2","DL719O2RYNC0Y217V0FVT1R77","17","E","13041071E102","2067134011")</f>
        <v>2336939.96</v>
      </c>
      <c r="G447" s="48">
        <f>[1]!BexGetData("DP_2","DL719O2RYNEBZX0HTMQQ0BY0J","17","E","13041071E102","2067134011")</f>
        <v>2336939.96</v>
      </c>
      <c r="H447" s="48">
        <f>[1]!BexGetData("DP_2","DL719O2RYNGN1RZRS91K7M4TV","17","E","13041071E102","2067134011")</f>
        <v>2374643.9</v>
      </c>
      <c r="I447" s="48">
        <f>[1]!BexGetData("DP_2","DL719O2RYNIY3MZ1QVCEEWBN7","17","E","13041071E102","2067134011")</f>
        <v>-1.0000000000000001E-9</v>
      </c>
    </row>
    <row r="448" spans="1:9" x14ac:dyDescent="0.2">
      <c r="A448" s="46" t="s">
        <v>32</v>
      </c>
      <c r="B448" s="46" t="s">
        <v>32</v>
      </c>
      <c r="C448" s="46" t="s">
        <v>32</v>
      </c>
      <c r="D448" s="46" t="s">
        <v>32</v>
      </c>
      <c r="E448" s="46" t="s">
        <v>32</v>
      </c>
      <c r="F448" s="47">
        <f>[1]!BexGetData("DP_2","DL719O2RYNC0Y217V0FVT1R77","17","E","13041071E102","2067134021")</f>
        <v>2226172.06</v>
      </c>
      <c r="G448" s="48">
        <f>[1]!BexGetData("DP_2","DL719O2RYNEBZX0HTMQQ0BY0J","17","E","13041071E102","2067134021")</f>
        <v>2226172.06</v>
      </c>
      <c r="H448" s="48">
        <f>[1]!BexGetData("DP_2","DL719O2RYNGN1RZRS91K7M4TV","17","E","13041071E102","2067134021")</f>
        <v>2226172.06</v>
      </c>
      <c r="I448" s="48">
        <f>[1]!BexGetData("DP_2","DL719O2RYNIY3MZ1QVCEEWBN7","17","E","13041071E102","2067134021")</f>
        <v>0</v>
      </c>
    </row>
    <row r="449" spans="1:9" x14ac:dyDescent="0.2">
      <c r="A449" s="46" t="s">
        <v>32</v>
      </c>
      <c r="B449" s="46" t="s">
        <v>32</v>
      </c>
      <c r="C449" s="46" t="s">
        <v>32</v>
      </c>
      <c r="D449" s="46" t="s">
        <v>32</v>
      </c>
      <c r="E449" s="46" t="s">
        <v>32</v>
      </c>
      <c r="F449" s="47">
        <f>[1]!BexGetData("DP_2","DL719O2RYNC0Y217V0FVT1R77","17","E","13041071E102","2067141011")</f>
        <v>752616.61</v>
      </c>
      <c r="G449" s="48">
        <f>[1]!BexGetData("DP_2","DL719O2RYNEBZX0HTMQQ0BY0J","17","E","13041071E102","2067141011")</f>
        <v>752616.61</v>
      </c>
      <c r="H449" s="48">
        <f>[1]!BexGetData("DP_2","DL719O2RYNGN1RZRS91K7M4TV","17","E","13041071E102","2067141011")</f>
        <v>752616.61</v>
      </c>
      <c r="I449" s="48">
        <f>[1]!BexGetData("DP_2","DL719O2RYNIY3MZ1QVCEEWBN7","17","E","13041071E102","2067141011")</f>
        <v>0</v>
      </c>
    </row>
    <row r="450" spans="1:9" x14ac:dyDescent="0.2">
      <c r="A450" s="46" t="s">
        <v>32</v>
      </c>
      <c r="B450" s="46" t="s">
        <v>32</v>
      </c>
      <c r="C450" s="46" t="s">
        <v>32</v>
      </c>
      <c r="D450" s="46" t="s">
        <v>32</v>
      </c>
      <c r="E450" s="46" t="s">
        <v>32</v>
      </c>
      <c r="F450" s="47">
        <f>[1]!BexGetData("DP_2","DL719O2RYNC0Y217V0FVT1R77","17","E","13041071E102","2067141021")</f>
        <v>239041.73</v>
      </c>
      <c r="G450" s="48">
        <f>[1]!BexGetData("DP_2","DL719O2RYNEBZX0HTMQQ0BY0J","17","E","13041071E102","2067141021")</f>
        <v>239041.73</v>
      </c>
      <c r="H450" s="48">
        <f>[1]!BexGetData("DP_2","DL719O2RYNGN1RZRS91K7M4TV","17","E","13041071E102","2067141021")</f>
        <v>239041.73</v>
      </c>
      <c r="I450" s="48">
        <f>[1]!BexGetData("DP_2","DL719O2RYNIY3MZ1QVCEEWBN7","17","E","13041071E102","2067141021")</f>
        <v>0</v>
      </c>
    </row>
    <row r="451" spans="1:9" x14ac:dyDescent="0.2">
      <c r="A451" s="46" t="s">
        <v>32</v>
      </c>
      <c r="B451" s="46" t="s">
        <v>32</v>
      </c>
      <c r="C451" s="46" t="s">
        <v>32</v>
      </c>
      <c r="D451" s="46" t="s">
        <v>32</v>
      </c>
      <c r="E451" s="46" t="s">
        <v>32</v>
      </c>
      <c r="F451" s="47">
        <f>[1]!BexGetData("DP_2","DL719O2RYNC0Y217V0FVT1R77","17","E","13041071E102","2067143011")</f>
        <v>112658.2</v>
      </c>
      <c r="G451" s="48">
        <f>[1]!BexGetData("DP_2","DL719O2RYNEBZX0HTMQQ0BY0J","17","E","13041071E102","2067143011")</f>
        <v>112658.2</v>
      </c>
      <c r="H451" s="48">
        <f>[1]!BexGetData("DP_2","DL719O2RYNGN1RZRS91K7M4TV","17","E","13041071E102","2067143011")</f>
        <v>112658.2</v>
      </c>
      <c r="I451" s="48">
        <f>[1]!BexGetData("DP_2","DL719O2RYNIY3MZ1QVCEEWBN7","17","E","13041071E102","2067143011")</f>
        <v>0</v>
      </c>
    </row>
    <row r="452" spans="1:9" x14ac:dyDescent="0.2">
      <c r="A452" s="46" t="s">
        <v>32</v>
      </c>
      <c r="B452" s="46" t="s">
        <v>32</v>
      </c>
      <c r="C452" s="46" t="s">
        <v>32</v>
      </c>
      <c r="D452" s="46" t="s">
        <v>32</v>
      </c>
      <c r="E452" s="46" t="s">
        <v>32</v>
      </c>
      <c r="F452" s="47">
        <f>[1]!BexGetData("DP_2","DL719O2RYNC0Y217V0FVT1R77","17","E","13041071E102","2067151011")</f>
        <v>447369.24</v>
      </c>
      <c r="G452" s="48">
        <f>[1]!BexGetData("DP_2","DL719O2RYNEBZX0HTMQQ0BY0J","17","E","13041071E102","2067151011")</f>
        <v>447369.24</v>
      </c>
      <c r="H452" s="48">
        <f>[1]!BexGetData("DP_2","DL719O2RYNGN1RZRS91K7M4TV","17","E","13041071E102","2067151011")</f>
        <v>447369.24</v>
      </c>
      <c r="I452" s="48">
        <f>[1]!BexGetData("DP_2","DL719O2RYNIY3MZ1QVCEEWBN7","17","E","13041071E102","2067151011")</f>
        <v>0</v>
      </c>
    </row>
    <row r="453" spans="1:9" x14ac:dyDescent="0.2">
      <c r="A453" s="46" t="s">
        <v>32</v>
      </c>
      <c r="B453" s="46" t="s">
        <v>32</v>
      </c>
      <c r="C453" s="46" t="s">
        <v>32</v>
      </c>
      <c r="D453" s="46" t="s">
        <v>32</v>
      </c>
      <c r="E453" s="46" t="s">
        <v>32</v>
      </c>
      <c r="F453" s="47">
        <f>[1]!BexGetData("DP_2","DL719O2RYNC0Y217V0FVT1R77","17","E","13041071E102","2067154011")</f>
        <v>1783612.03</v>
      </c>
      <c r="G453" s="48">
        <f>[1]!BexGetData("DP_2","DL719O2RYNEBZX0HTMQQ0BY0J","17","E","13041071E102","2067154011")</f>
        <v>1783612.03</v>
      </c>
      <c r="H453" s="48">
        <f>[1]!BexGetData("DP_2","DL719O2RYNGN1RZRS91K7M4TV","17","E","13041071E102","2067154011")</f>
        <v>1768852.03</v>
      </c>
      <c r="I453" s="48">
        <f>[1]!BexGetData("DP_2","DL719O2RYNIY3MZ1QVCEEWBN7","17","E","13041071E102","2067154011")</f>
        <v>0</v>
      </c>
    </row>
    <row r="454" spans="1:9" x14ac:dyDescent="0.2">
      <c r="A454" s="46" t="s">
        <v>32</v>
      </c>
      <c r="B454" s="46" t="s">
        <v>32</v>
      </c>
      <c r="C454" s="46" t="s">
        <v>32</v>
      </c>
      <c r="D454" s="46" t="s">
        <v>32</v>
      </c>
      <c r="E454" s="46" t="s">
        <v>32</v>
      </c>
      <c r="F454" s="47">
        <f>[1]!BexGetData("DP_2","DL719O2RYNC0Y217V0FVT1R77","17","E","13041071E102","2067211011")</f>
        <v>54734.45</v>
      </c>
      <c r="G454" s="48">
        <f>[1]!BexGetData("DP_2","DL719O2RYNEBZX0HTMQQ0BY0J","17","E","13041071E102","2067211011")</f>
        <v>54734.45</v>
      </c>
      <c r="H454" s="48">
        <f>[1]!BexGetData("DP_2","DL719O2RYNGN1RZRS91K7M4TV","17","E","13041071E102","2067211011")</f>
        <v>51724.25</v>
      </c>
      <c r="I454" s="48">
        <f>[1]!BexGetData("DP_2","DL719O2RYNIY3MZ1QVCEEWBN7","17","E","13041071E102","2067211011")</f>
        <v>0</v>
      </c>
    </row>
    <row r="455" spans="1:9" x14ac:dyDescent="0.2">
      <c r="A455" s="46" t="s">
        <v>32</v>
      </c>
      <c r="B455" s="46" t="s">
        <v>32</v>
      </c>
      <c r="C455" s="46" t="s">
        <v>32</v>
      </c>
      <c r="D455" s="46" t="s">
        <v>32</v>
      </c>
      <c r="E455" s="46" t="s">
        <v>32</v>
      </c>
      <c r="F455" s="47">
        <f>[1]!BexGetData("DP_2","DL719O2RYNC0Y217V0FVT1R77","17","E","13041071E102","2067211021")</f>
        <v>17280.95</v>
      </c>
      <c r="G455" s="48">
        <f>[1]!BexGetData("DP_2","DL719O2RYNEBZX0HTMQQ0BY0J","17","E","13041071E102","2067211021")</f>
        <v>17280.95</v>
      </c>
      <c r="H455" s="48">
        <f>[1]!BexGetData("DP_2","DL719O2RYNGN1RZRS91K7M4TV","17","E","13041071E102","2067211021")</f>
        <v>17280.95</v>
      </c>
      <c r="I455" s="48">
        <f>[1]!BexGetData("DP_2","DL719O2RYNIY3MZ1QVCEEWBN7","17","E","13041071E102","2067211021")</f>
        <v>0</v>
      </c>
    </row>
    <row r="456" spans="1:9" x14ac:dyDescent="0.2">
      <c r="A456" s="46" t="s">
        <v>32</v>
      </c>
      <c r="B456" s="46" t="s">
        <v>32</v>
      </c>
      <c r="C456" s="46" t="s">
        <v>32</v>
      </c>
      <c r="D456" s="46" t="s">
        <v>32</v>
      </c>
      <c r="E456" s="46" t="s">
        <v>32</v>
      </c>
      <c r="F456" s="47">
        <f>[1]!BexGetData("DP_2","DL719O2RYNC0Y217V0FVT1R77","17","E","13041071E102","2067214011")</f>
        <v>35320.01</v>
      </c>
      <c r="G456" s="48">
        <f>[1]!BexGetData("DP_2","DL719O2RYNEBZX0HTMQQ0BY0J","17","E","13041071E102","2067214011")</f>
        <v>35320.01</v>
      </c>
      <c r="H456" s="48">
        <f>[1]!BexGetData("DP_2","DL719O2RYNGN1RZRS91K7M4TV","17","E","13041071E102","2067214011")</f>
        <v>35319.910000000003</v>
      </c>
      <c r="I456" s="48">
        <f>[1]!BexGetData("DP_2","DL719O2RYNIY3MZ1QVCEEWBN7","17","E","13041071E102","2067214011")</f>
        <v>0</v>
      </c>
    </row>
    <row r="457" spans="1:9" x14ac:dyDescent="0.2">
      <c r="A457" s="46" t="s">
        <v>32</v>
      </c>
      <c r="B457" s="46" t="s">
        <v>32</v>
      </c>
      <c r="C457" s="46" t="s">
        <v>32</v>
      </c>
      <c r="D457" s="46" t="s">
        <v>32</v>
      </c>
      <c r="E457" s="46" t="s">
        <v>32</v>
      </c>
      <c r="F457" s="47">
        <f>[1]!BexGetData("DP_2","DL719O2RYNC0Y217V0FVT1R77","17","E","13041071E102","2067215021")</f>
        <v>5220</v>
      </c>
      <c r="G457" s="48">
        <f>[1]!BexGetData("DP_2","DL719O2RYNEBZX0HTMQQ0BY0J","17","E","13041071E102","2067215021")</f>
        <v>5220</v>
      </c>
      <c r="H457" s="48">
        <f>[1]!BexGetData("DP_2","DL719O2RYNGN1RZRS91K7M4TV","17","E","13041071E102","2067215021")</f>
        <v>5220</v>
      </c>
      <c r="I457" s="48">
        <f>[1]!BexGetData("DP_2","DL719O2RYNIY3MZ1QVCEEWBN7","17","E","13041071E102","2067215021")</f>
        <v>0</v>
      </c>
    </row>
    <row r="458" spans="1:9" x14ac:dyDescent="0.2">
      <c r="A458" s="46" t="s">
        <v>32</v>
      </c>
      <c r="B458" s="46" t="s">
        <v>32</v>
      </c>
      <c r="C458" s="46" t="s">
        <v>32</v>
      </c>
      <c r="D458" s="46" t="s">
        <v>32</v>
      </c>
      <c r="E458" s="46" t="s">
        <v>32</v>
      </c>
      <c r="F458" s="47">
        <f>[1]!BexGetData("DP_2","DL719O2RYNC0Y217V0FVT1R77","17","E","13041071E102","2067216011")</f>
        <v>48495.63</v>
      </c>
      <c r="G458" s="48">
        <f>[1]!BexGetData("DP_2","DL719O2RYNEBZX0HTMQQ0BY0J","17","E","13041071E102","2067216011")</f>
        <v>48495.63</v>
      </c>
      <c r="H458" s="48">
        <f>[1]!BexGetData("DP_2","DL719O2RYNGN1RZRS91K7M4TV","17","E","13041071E102","2067216011")</f>
        <v>48495.63</v>
      </c>
      <c r="I458" s="48">
        <f>[1]!BexGetData("DP_2","DL719O2RYNIY3MZ1QVCEEWBN7","17","E","13041071E102","2067216011")</f>
        <v>0</v>
      </c>
    </row>
    <row r="459" spans="1:9" x14ac:dyDescent="0.2">
      <c r="A459" s="46" t="s">
        <v>32</v>
      </c>
      <c r="B459" s="46" t="s">
        <v>32</v>
      </c>
      <c r="C459" s="46" t="s">
        <v>32</v>
      </c>
      <c r="D459" s="46" t="s">
        <v>32</v>
      </c>
      <c r="E459" s="46" t="s">
        <v>32</v>
      </c>
      <c r="F459" s="47">
        <f>[1]!BexGetData("DP_2","DL719O2RYNC0Y217V0FVT1R77","17","E","13041071E102","2067217011")</f>
        <v>30</v>
      </c>
      <c r="G459" s="48">
        <f>[1]!BexGetData("DP_2","DL719O2RYNEBZX0HTMQQ0BY0J","17","E","13041071E102","2067217011")</f>
        <v>30</v>
      </c>
      <c r="H459" s="48">
        <f>[1]!BexGetData("DP_2","DL719O2RYNGN1RZRS91K7M4TV","17","E","13041071E102","2067217011")</f>
        <v>30</v>
      </c>
      <c r="I459" s="48">
        <f>[1]!BexGetData("DP_2","DL719O2RYNIY3MZ1QVCEEWBN7","17","E","13041071E102","2067217011")</f>
        <v>0</v>
      </c>
    </row>
    <row r="460" spans="1:9" x14ac:dyDescent="0.2">
      <c r="A460" s="46" t="s">
        <v>32</v>
      </c>
      <c r="B460" s="46" t="s">
        <v>32</v>
      </c>
      <c r="C460" s="46" t="s">
        <v>32</v>
      </c>
      <c r="D460" s="46" t="s">
        <v>32</v>
      </c>
      <c r="E460" s="46" t="s">
        <v>32</v>
      </c>
      <c r="F460" s="47">
        <f>[1]!BexGetData("DP_2","DL719O2RYNC0Y217V0FVT1R77","17","E","13041071E102","2067221011")</f>
        <v>19554.41</v>
      </c>
      <c r="G460" s="48">
        <f>[1]!BexGetData("DP_2","DL719O2RYNEBZX0HTMQQ0BY0J","17","E","13041071E102","2067221011")</f>
        <v>19554.41</v>
      </c>
      <c r="H460" s="48">
        <f>[1]!BexGetData("DP_2","DL719O2RYNGN1RZRS91K7M4TV","17","E","13041071E102","2067221011")</f>
        <v>19554.400000000001</v>
      </c>
      <c r="I460" s="48">
        <f>[1]!BexGetData("DP_2","DL719O2RYNIY3MZ1QVCEEWBN7","17","E","13041071E102","2067221011")</f>
        <v>0</v>
      </c>
    </row>
    <row r="461" spans="1:9" x14ac:dyDescent="0.2">
      <c r="A461" s="46" t="s">
        <v>32</v>
      </c>
      <c r="B461" s="46" t="s">
        <v>32</v>
      </c>
      <c r="C461" s="46" t="s">
        <v>32</v>
      </c>
      <c r="D461" s="46" t="s">
        <v>32</v>
      </c>
      <c r="E461" s="46" t="s">
        <v>32</v>
      </c>
      <c r="F461" s="47">
        <f>[1]!BexGetData("DP_2","DL719O2RYNC0Y217V0FVT1R77","17","E","13041071E102","2067221021")</f>
        <v>21610</v>
      </c>
      <c r="G461" s="48">
        <f>[1]!BexGetData("DP_2","DL719O2RYNEBZX0HTMQQ0BY0J","17","E","13041071E102","2067221021")</f>
        <v>21610</v>
      </c>
      <c r="H461" s="48">
        <f>[1]!BexGetData("DP_2","DL719O2RYNGN1RZRS91K7M4TV","17","E","13041071E102","2067221021")</f>
        <v>21609.97</v>
      </c>
      <c r="I461" s="48">
        <f>[1]!BexGetData("DP_2","DL719O2RYNIY3MZ1QVCEEWBN7","17","E","13041071E102","2067221021")</f>
        <v>0</v>
      </c>
    </row>
    <row r="462" spans="1:9" x14ac:dyDescent="0.2">
      <c r="A462" s="46" t="s">
        <v>32</v>
      </c>
      <c r="B462" s="46" t="s">
        <v>32</v>
      </c>
      <c r="C462" s="46" t="s">
        <v>32</v>
      </c>
      <c r="D462" s="46" t="s">
        <v>32</v>
      </c>
      <c r="E462" s="46" t="s">
        <v>32</v>
      </c>
      <c r="F462" s="47">
        <f>[1]!BexGetData("DP_2","DL719O2RYNC0Y217V0FVT1R77","17","E","13041071E102","2067221031")</f>
        <v>1074.33</v>
      </c>
      <c r="G462" s="48">
        <f>[1]!BexGetData("DP_2","DL719O2RYNEBZX0HTMQQ0BY0J","17","E","13041071E102","2067221031")</f>
        <v>1074.33</v>
      </c>
      <c r="H462" s="48">
        <f>[1]!BexGetData("DP_2","DL719O2RYNGN1RZRS91K7M4TV","17","E","13041071E102","2067221031")</f>
        <v>1074.33</v>
      </c>
      <c r="I462" s="48">
        <f>[1]!BexGetData("DP_2","DL719O2RYNIY3MZ1QVCEEWBN7","17","E","13041071E102","2067221031")</f>
        <v>0</v>
      </c>
    </row>
    <row r="463" spans="1:9" x14ac:dyDescent="0.2">
      <c r="A463" s="46" t="s">
        <v>32</v>
      </c>
      <c r="B463" s="46" t="s">
        <v>32</v>
      </c>
      <c r="C463" s="46" t="s">
        <v>32</v>
      </c>
      <c r="D463" s="46" t="s">
        <v>32</v>
      </c>
      <c r="E463" s="46" t="s">
        <v>32</v>
      </c>
      <c r="F463" s="47">
        <f>[1]!BexGetData("DP_2","DL719O2RYNC0Y217V0FVT1R77","17","E","13041071E102","2067246011")</f>
        <v>437</v>
      </c>
      <c r="G463" s="48">
        <f>[1]!BexGetData("DP_2","DL719O2RYNEBZX0HTMQQ0BY0J","17","E","13041071E102","2067246011")</f>
        <v>437</v>
      </c>
      <c r="H463" s="48">
        <f>[1]!BexGetData("DP_2","DL719O2RYNGN1RZRS91K7M4TV","17","E","13041071E102","2067246011")</f>
        <v>437</v>
      </c>
      <c r="I463" s="48">
        <f>[1]!BexGetData("DP_2","DL719O2RYNIY3MZ1QVCEEWBN7","17","E","13041071E102","2067246011")</f>
        <v>0</v>
      </c>
    </row>
    <row r="464" spans="1:9" x14ac:dyDescent="0.2">
      <c r="A464" s="46" t="s">
        <v>32</v>
      </c>
      <c r="B464" s="46" t="s">
        <v>32</v>
      </c>
      <c r="C464" s="46" t="s">
        <v>32</v>
      </c>
      <c r="D464" s="46" t="s">
        <v>32</v>
      </c>
      <c r="E464" s="46" t="s">
        <v>32</v>
      </c>
      <c r="F464" s="47">
        <f>[1]!BexGetData("DP_2","DL719O2RYNC0Y217V0FVT1R77","17","E","13041071E102","2067249011")</f>
        <v>94.79</v>
      </c>
      <c r="G464" s="48">
        <f>[1]!BexGetData("DP_2","DL719O2RYNEBZX0HTMQQ0BY0J","17","E","13041071E102","2067249011")</f>
        <v>94.79</v>
      </c>
      <c r="H464" s="48">
        <f>[1]!BexGetData("DP_2","DL719O2RYNGN1RZRS91K7M4TV","17","E","13041071E102","2067249011")</f>
        <v>94.79</v>
      </c>
      <c r="I464" s="48">
        <f>[1]!BexGetData("DP_2","DL719O2RYNIY3MZ1QVCEEWBN7","17","E","13041071E102","2067249011")</f>
        <v>0</v>
      </c>
    </row>
    <row r="465" spans="1:9" x14ac:dyDescent="0.2">
      <c r="A465" s="46" t="s">
        <v>32</v>
      </c>
      <c r="B465" s="46" t="s">
        <v>32</v>
      </c>
      <c r="C465" s="46" t="s">
        <v>32</v>
      </c>
      <c r="D465" s="46" t="s">
        <v>32</v>
      </c>
      <c r="E465" s="46" t="s">
        <v>32</v>
      </c>
      <c r="F465" s="47">
        <f>[1]!BexGetData("DP_2","DL719O2RYNC0Y217V0FVT1R77","17","E","13041071E102","2067256011")</f>
        <v>9792.08</v>
      </c>
      <c r="G465" s="48">
        <f>[1]!BexGetData("DP_2","DL719O2RYNEBZX0HTMQQ0BY0J","17","E","13041071E102","2067256011")</f>
        <v>9792.08</v>
      </c>
      <c r="H465" s="48">
        <f>[1]!BexGetData("DP_2","DL719O2RYNGN1RZRS91K7M4TV","17","E","13041071E102","2067256011")</f>
        <v>9792.08</v>
      </c>
      <c r="I465" s="48">
        <f>[1]!BexGetData("DP_2","DL719O2RYNIY3MZ1QVCEEWBN7","17","E","13041071E102","2067256011")</f>
        <v>0</v>
      </c>
    </row>
    <row r="466" spans="1:9" x14ac:dyDescent="0.2">
      <c r="A466" s="46" t="s">
        <v>32</v>
      </c>
      <c r="B466" s="46" t="s">
        <v>32</v>
      </c>
      <c r="C466" s="46" t="s">
        <v>32</v>
      </c>
      <c r="D466" s="46" t="s">
        <v>32</v>
      </c>
      <c r="E466" s="46" t="s">
        <v>32</v>
      </c>
      <c r="F466" s="47">
        <f>[1]!BexGetData("DP_2","DL719O2RYNC0Y217V0FVT1R77","17","E","13041071E102","2067294011")</f>
        <v>3116.7</v>
      </c>
      <c r="G466" s="48">
        <f>[1]!BexGetData("DP_2","DL719O2RYNEBZX0HTMQQ0BY0J","17","E","13041071E102","2067294011")</f>
        <v>3116.7</v>
      </c>
      <c r="H466" s="48">
        <f>[1]!BexGetData("DP_2","DL719O2RYNGN1RZRS91K7M4TV","17","E","13041071E102","2067294011")</f>
        <v>3116.7</v>
      </c>
      <c r="I466" s="48">
        <f>[1]!BexGetData("DP_2","DL719O2RYNIY3MZ1QVCEEWBN7","17","E","13041071E102","2067294011")</f>
        <v>0</v>
      </c>
    </row>
    <row r="467" spans="1:9" x14ac:dyDescent="0.2">
      <c r="A467" s="46" t="s">
        <v>32</v>
      </c>
      <c r="B467" s="46" t="s">
        <v>32</v>
      </c>
      <c r="C467" s="46" t="s">
        <v>32</v>
      </c>
      <c r="D467" s="46" t="s">
        <v>32</v>
      </c>
      <c r="E467" s="46" t="s">
        <v>32</v>
      </c>
      <c r="F467" s="47">
        <f>[1]!BexGetData("DP_2","DL719O2RYNC0Y217V0FVT1R77","17","E","13041071E102","2067311011")</f>
        <v>10995</v>
      </c>
      <c r="G467" s="48">
        <f>[1]!BexGetData("DP_2","DL719O2RYNEBZX0HTMQQ0BY0J","17","E","13041071E102","2067311011")</f>
        <v>10995</v>
      </c>
      <c r="H467" s="48">
        <f>[1]!BexGetData("DP_2","DL719O2RYNGN1RZRS91K7M4TV","17","E","13041071E102","2067311011")</f>
        <v>9103</v>
      </c>
      <c r="I467" s="48">
        <f>[1]!BexGetData("DP_2","DL719O2RYNIY3MZ1QVCEEWBN7","17","E","13041071E102","2067311011")</f>
        <v>0</v>
      </c>
    </row>
    <row r="468" spans="1:9" x14ac:dyDescent="0.2">
      <c r="A468" s="46" t="s">
        <v>32</v>
      </c>
      <c r="B468" s="46" t="s">
        <v>32</v>
      </c>
      <c r="C468" s="46" t="s">
        <v>32</v>
      </c>
      <c r="D468" s="46" t="s">
        <v>32</v>
      </c>
      <c r="E468" s="46" t="s">
        <v>32</v>
      </c>
      <c r="F468" s="47">
        <f>[1]!BexGetData("DP_2","DL719O2RYNC0Y217V0FVT1R77","17","E","13041071E102","2067313011")</f>
        <v>2001</v>
      </c>
      <c r="G468" s="48">
        <f>[1]!BexGetData("DP_2","DL719O2RYNEBZX0HTMQQ0BY0J","17","E","13041071E102","2067313011")</f>
        <v>2001</v>
      </c>
      <c r="H468" s="48">
        <f>[1]!BexGetData("DP_2","DL719O2RYNGN1RZRS91K7M4TV","17","E","13041071E102","2067313011")</f>
        <v>2001</v>
      </c>
      <c r="I468" s="48">
        <f>[1]!BexGetData("DP_2","DL719O2RYNIY3MZ1QVCEEWBN7","17","E","13041071E102","2067313011")</f>
        <v>0</v>
      </c>
    </row>
    <row r="469" spans="1:9" x14ac:dyDescent="0.2">
      <c r="A469" s="46" t="s">
        <v>32</v>
      </c>
      <c r="B469" s="46" t="s">
        <v>32</v>
      </c>
      <c r="C469" s="46" t="s">
        <v>32</v>
      </c>
      <c r="D469" s="46" t="s">
        <v>32</v>
      </c>
      <c r="E469" s="46" t="s">
        <v>32</v>
      </c>
      <c r="F469" s="47">
        <f>[1]!BexGetData("DP_2","DL719O2RYNC0Y217V0FVT1R77","17","E","13041071E102","2067314011")</f>
        <v>21699.61</v>
      </c>
      <c r="G469" s="48">
        <f>[1]!BexGetData("DP_2","DL719O2RYNEBZX0HTMQQ0BY0J","17","E","13041071E102","2067314011")</f>
        <v>21699.61</v>
      </c>
      <c r="H469" s="48">
        <f>[1]!BexGetData("DP_2","DL719O2RYNGN1RZRS91K7M4TV","17","E","13041071E102","2067314011")</f>
        <v>21699.61</v>
      </c>
      <c r="I469" s="48">
        <f>[1]!BexGetData("DP_2","DL719O2RYNIY3MZ1QVCEEWBN7","17","E","13041071E102","2067314011")</f>
        <v>0</v>
      </c>
    </row>
    <row r="470" spans="1:9" x14ac:dyDescent="0.2">
      <c r="A470" s="46" t="s">
        <v>32</v>
      </c>
      <c r="B470" s="46" t="s">
        <v>32</v>
      </c>
      <c r="C470" s="46" t="s">
        <v>32</v>
      </c>
      <c r="D470" s="46" t="s">
        <v>32</v>
      </c>
      <c r="E470" s="46" t="s">
        <v>32</v>
      </c>
      <c r="F470" s="47">
        <f>[1]!BexGetData("DP_2","DL719O2RYNC0Y217V0FVT1R77","17","E","13041071E102","2067318011")</f>
        <v>4610</v>
      </c>
      <c r="G470" s="48">
        <f>[1]!BexGetData("DP_2","DL719O2RYNEBZX0HTMQQ0BY0J","17","E","13041071E102","2067318011")</f>
        <v>4610</v>
      </c>
      <c r="H470" s="48">
        <f>[1]!BexGetData("DP_2","DL719O2RYNGN1RZRS91K7M4TV","17","E","13041071E102","2067318011")</f>
        <v>4609.9799999999996</v>
      </c>
      <c r="I470" s="48">
        <f>[1]!BexGetData("DP_2","DL719O2RYNIY3MZ1QVCEEWBN7","17","E","13041071E102","2067318011")</f>
        <v>0</v>
      </c>
    </row>
    <row r="471" spans="1:9" x14ac:dyDescent="0.2">
      <c r="A471" s="46" t="s">
        <v>32</v>
      </c>
      <c r="B471" s="46" t="s">
        <v>32</v>
      </c>
      <c r="C471" s="46" t="s">
        <v>32</v>
      </c>
      <c r="D471" s="46" t="s">
        <v>32</v>
      </c>
      <c r="E471" s="46" t="s">
        <v>32</v>
      </c>
      <c r="F471" s="47">
        <f>[1]!BexGetData("DP_2","DL719O2RYNC0Y217V0FVT1R77","17","E","13041071E102","2067322011")</f>
        <v>167244.75</v>
      </c>
      <c r="G471" s="48">
        <f>[1]!BexGetData("DP_2","DL719O2RYNEBZX0HTMQQ0BY0J","17","E","13041071E102","2067322011")</f>
        <v>167244.75</v>
      </c>
      <c r="H471" s="48">
        <f>[1]!BexGetData("DP_2","DL719O2RYNGN1RZRS91K7M4TV","17","E","13041071E102","2067322011")</f>
        <v>153324.75</v>
      </c>
      <c r="I471" s="48">
        <f>[1]!BexGetData("DP_2","DL719O2RYNIY3MZ1QVCEEWBN7","17","E","13041071E102","2067322011")</f>
        <v>0</v>
      </c>
    </row>
    <row r="472" spans="1:9" x14ac:dyDescent="0.2">
      <c r="A472" s="46" t="s">
        <v>32</v>
      </c>
      <c r="B472" s="46" t="s">
        <v>32</v>
      </c>
      <c r="C472" s="46" t="s">
        <v>32</v>
      </c>
      <c r="D472" s="46" t="s">
        <v>32</v>
      </c>
      <c r="E472" s="46" t="s">
        <v>32</v>
      </c>
      <c r="F472" s="47">
        <f>[1]!BexGetData("DP_2","DL719O2RYNC0Y217V0FVT1R77","17","E","13041071E102","2067331011")</f>
        <v>1500</v>
      </c>
      <c r="G472" s="48">
        <f>[1]!BexGetData("DP_2","DL719O2RYNEBZX0HTMQQ0BY0J","17","E","13041071E102","2067331011")</f>
        <v>1500</v>
      </c>
      <c r="H472" s="48">
        <f>[1]!BexGetData("DP_2","DL719O2RYNGN1RZRS91K7M4TV","17","E","13041071E102","2067331011")</f>
        <v>1500</v>
      </c>
      <c r="I472" s="48">
        <f>[1]!BexGetData("DP_2","DL719O2RYNIY3MZ1QVCEEWBN7","17","E","13041071E102","2067331011")</f>
        <v>0</v>
      </c>
    </row>
    <row r="473" spans="1:9" x14ac:dyDescent="0.2">
      <c r="A473" s="46" t="s">
        <v>32</v>
      </c>
      <c r="B473" s="46" t="s">
        <v>32</v>
      </c>
      <c r="C473" s="46" t="s">
        <v>32</v>
      </c>
      <c r="D473" s="46" t="s">
        <v>32</v>
      </c>
      <c r="E473" s="46" t="s">
        <v>32</v>
      </c>
      <c r="F473" s="47">
        <f>[1]!BexGetData("DP_2","DL719O2RYNC0Y217V0FVT1R77","17","E","13041071E102","2067336011")</f>
        <v>40421.07</v>
      </c>
      <c r="G473" s="48">
        <f>[1]!BexGetData("DP_2","DL719O2RYNEBZX0HTMQQ0BY0J","17","E","13041071E102","2067336011")</f>
        <v>40421.07</v>
      </c>
      <c r="H473" s="48">
        <f>[1]!BexGetData("DP_2","DL719O2RYNGN1RZRS91K7M4TV","17","E","13041071E102","2067336011")</f>
        <v>34899.47</v>
      </c>
      <c r="I473" s="48">
        <f>[1]!BexGetData("DP_2","DL719O2RYNIY3MZ1QVCEEWBN7","17","E","13041071E102","2067336011")</f>
        <v>0</v>
      </c>
    </row>
    <row r="474" spans="1:9" x14ac:dyDescent="0.2">
      <c r="A474" s="46" t="s">
        <v>32</v>
      </c>
      <c r="B474" s="46" t="s">
        <v>32</v>
      </c>
      <c r="C474" s="46" t="s">
        <v>32</v>
      </c>
      <c r="D474" s="46" t="s">
        <v>32</v>
      </c>
      <c r="E474" s="46" t="s">
        <v>32</v>
      </c>
      <c r="F474" s="47">
        <f>[1]!BexGetData("DP_2","DL719O2RYNC0Y217V0FVT1R77","17","E","13041071E102","2067347011")</f>
        <v>2900</v>
      </c>
      <c r="G474" s="48">
        <f>[1]!BexGetData("DP_2","DL719O2RYNEBZX0HTMQQ0BY0J","17","E","13041071E102","2067347011")</f>
        <v>2900</v>
      </c>
      <c r="H474" s="48">
        <f>[1]!BexGetData("DP_2","DL719O2RYNGN1RZRS91K7M4TV","17","E","13041071E102","2067347011")</f>
        <v>2900</v>
      </c>
      <c r="I474" s="48">
        <f>[1]!BexGetData("DP_2","DL719O2RYNIY3MZ1QVCEEWBN7","17","E","13041071E102","2067347011")</f>
        <v>0</v>
      </c>
    </row>
    <row r="475" spans="1:9" x14ac:dyDescent="0.2">
      <c r="A475" s="46" t="s">
        <v>32</v>
      </c>
      <c r="B475" s="46" t="s">
        <v>32</v>
      </c>
      <c r="C475" s="46" t="s">
        <v>32</v>
      </c>
      <c r="D475" s="46" t="s">
        <v>32</v>
      </c>
      <c r="E475" s="46" t="s">
        <v>32</v>
      </c>
      <c r="F475" s="47">
        <f>[1]!BexGetData("DP_2","DL719O2RYNC0Y217V0FVT1R77","17","E","13041071E102","2067371011")</f>
        <v>6799.92</v>
      </c>
      <c r="G475" s="48">
        <f>[1]!BexGetData("DP_2","DL719O2RYNEBZX0HTMQQ0BY0J","17","E","13041071E102","2067371011")</f>
        <v>6799.92</v>
      </c>
      <c r="H475" s="48">
        <f>[1]!BexGetData("DP_2","DL719O2RYNGN1RZRS91K7M4TV","17","E","13041071E102","2067371011")</f>
        <v>6799.92</v>
      </c>
      <c r="I475" s="48">
        <f>[1]!BexGetData("DP_2","DL719O2RYNIY3MZ1QVCEEWBN7","17","E","13041071E102","2067371011")</f>
        <v>0</v>
      </c>
    </row>
    <row r="476" spans="1:9" x14ac:dyDescent="0.2">
      <c r="A476" s="46" t="s">
        <v>32</v>
      </c>
      <c r="B476" s="46" t="s">
        <v>32</v>
      </c>
      <c r="C476" s="46" t="s">
        <v>32</v>
      </c>
      <c r="D476" s="46" t="s">
        <v>32</v>
      </c>
      <c r="E476" s="46" t="s">
        <v>32</v>
      </c>
      <c r="F476" s="47">
        <f>[1]!BexGetData("DP_2","DL719O2RYNC0Y217V0FVT1R77","17","E","13041071E102","2067372011")</f>
        <v>17413</v>
      </c>
      <c r="G476" s="48">
        <f>[1]!BexGetData("DP_2","DL719O2RYNEBZX0HTMQQ0BY0J","17","E","13041071E102","2067372011")</f>
        <v>17413</v>
      </c>
      <c r="H476" s="48">
        <f>[1]!BexGetData("DP_2","DL719O2RYNGN1RZRS91K7M4TV","17","E","13041071E102","2067372011")</f>
        <v>17412.900000000001</v>
      </c>
      <c r="I476" s="48">
        <f>[1]!BexGetData("DP_2","DL719O2RYNIY3MZ1QVCEEWBN7","17","E","13041071E102","2067372011")</f>
        <v>0</v>
      </c>
    </row>
    <row r="477" spans="1:9" x14ac:dyDescent="0.2">
      <c r="A477" s="46" t="s">
        <v>32</v>
      </c>
      <c r="B477" s="46" t="s">
        <v>32</v>
      </c>
      <c r="C477" s="46" t="s">
        <v>32</v>
      </c>
      <c r="D477" s="46" t="s">
        <v>32</v>
      </c>
      <c r="E477" s="46" t="s">
        <v>32</v>
      </c>
      <c r="F477" s="47">
        <f>[1]!BexGetData("DP_2","DL719O2RYNC0Y217V0FVT1R77","17","E","13041071E102","2067375011")</f>
        <v>3000</v>
      </c>
      <c r="G477" s="48">
        <f>[1]!BexGetData("DP_2","DL719O2RYNEBZX0HTMQQ0BY0J","17","E","13041071E102","2067375011")</f>
        <v>3000</v>
      </c>
      <c r="H477" s="48">
        <f>[1]!BexGetData("DP_2","DL719O2RYNGN1RZRS91K7M4TV","17","E","13041071E102","2067375011")</f>
        <v>3000</v>
      </c>
      <c r="I477" s="48">
        <f>[1]!BexGetData("DP_2","DL719O2RYNIY3MZ1QVCEEWBN7","17","E","13041071E102","2067375011")</f>
        <v>0</v>
      </c>
    </row>
    <row r="478" spans="1:9" x14ac:dyDescent="0.2">
      <c r="A478" s="46" t="s">
        <v>32</v>
      </c>
      <c r="B478" s="46" t="s">
        <v>32</v>
      </c>
      <c r="C478" s="46" t="s">
        <v>32</v>
      </c>
      <c r="D478" s="46" t="s">
        <v>32</v>
      </c>
      <c r="E478" s="46" t="s">
        <v>32</v>
      </c>
      <c r="F478" s="47">
        <f>[1]!BexGetData("DP_2","DL719O2RYNC0Y217V0FVT1R77","17","E","13041071E102","2067376011")</f>
        <v>51570</v>
      </c>
      <c r="G478" s="48">
        <f>[1]!BexGetData("DP_2","DL719O2RYNEBZX0HTMQQ0BY0J","17","E","13041071E102","2067376011")</f>
        <v>51570</v>
      </c>
      <c r="H478" s="48">
        <f>[1]!BexGetData("DP_2","DL719O2RYNGN1RZRS91K7M4TV","17","E","13041071E102","2067376011")</f>
        <v>51570</v>
      </c>
      <c r="I478" s="48">
        <f>[1]!BexGetData("DP_2","DL719O2RYNIY3MZ1QVCEEWBN7","17","E","13041071E102","2067376011")</f>
        <v>0</v>
      </c>
    </row>
    <row r="479" spans="1:9" x14ac:dyDescent="0.2">
      <c r="A479" s="46" t="s">
        <v>32</v>
      </c>
      <c r="B479" s="46" t="s">
        <v>32</v>
      </c>
      <c r="C479" s="46" t="s">
        <v>32</v>
      </c>
      <c r="D479" s="46" t="s">
        <v>32</v>
      </c>
      <c r="E479" s="46" t="s">
        <v>32</v>
      </c>
      <c r="F479" s="47">
        <f>[1]!BexGetData("DP_2","DL719O2RYNC0Y217V0FVT1R77","17","E","13041071E102","2067511012")</f>
        <v>26896.92</v>
      </c>
      <c r="G479" s="48">
        <f>[1]!BexGetData("DP_2","DL719O2RYNEBZX0HTMQQ0BY0J","17","E","13041071E102","2067511012")</f>
        <v>26896.92</v>
      </c>
      <c r="H479" s="48">
        <f>[1]!BexGetData("DP_2","DL719O2RYNGN1RZRS91K7M4TV","17","E","13041071E102","2067511012")</f>
        <v>26896.92</v>
      </c>
      <c r="I479" s="48">
        <f>[1]!BexGetData("DP_2","DL719O2RYNIY3MZ1QVCEEWBN7","17","E","13041071E102","2067511012")</f>
        <v>0</v>
      </c>
    </row>
    <row r="480" spans="1:9" x14ac:dyDescent="0.2">
      <c r="A480" s="46" t="s">
        <v>32</v>
      </c>
      <c r="B480" s="46" t="s">
        <v>32</v>
      </c>
      <c r="C480" s="46" t="s">
        <v>32</v>
      </c>
      <c r="D480" s="46" t="s">
        <v>32</v>
      </c>
      <c r="E480" s="46" t="s">
        <v>32</v>
      </c>
      <c r="F480" s="47">
        <f>[1]!BexGetData("DP_2","DL719O2RYNC0Y217V0FVT1R77","17","E","13041071E102","2067515012")</f>
        <v>69600</v>
      </c>
      <c r="G480" s="48">
        <f>[1]!BexGetData("DP_2","DL719O2RYNEBZX0HTMQQ0BY0J","17","E","13041071E102","2067515012")</f>
        <v>69600</v>
      </c>
      <c r="H480" s="48">
        <f>[1]!BexGetData("DP_2","DL719O2RYNGN1RZRS91K7M4TV","17","E","13041071E102","2067515012")</f>
        <v>69600</v>
      </c>
      <c r="I480" s="48">
        <f>[1]!BexGetData("DP_2","DL719O2RYNIY3MZ1QVCEEWBN7","17","E","13041071E102","2067515012")</f>
        <v>0</v>
      </c>
    </row>
    <row r="481" spans="1:9" x14ac:dyDescent="0.2">
      <c r="A481" s="46" t="s">
        <v>32</v>
      </c>
      <c r="B481" s="46" t="s">
        <v>32</v>
      </c>
      <c r="C481" s="46" t="s">
        <v>92</v>
      </c>
      <c r="D481" s="46" t="s">
        <v>92</v>
      </c>
      <c r="E481" s="46" t="s">
        <v>32</v>
      </c>
      <c r="F481" s="47">
        <f>[1]!BexGetData("DP_2","DL719O2RYNC0Y217V0FVT1R77","17","E","13041071E209","2067113011")</f>
        <v>1620366.42</v>
      </c>
      <c r="G481" s="48">
        <f>[1]!BexGetData("DP_2","DL719O2RYNEBZX0HTMQQ0BY0J","17","E","13041071E209","2067113011")</f>
        <v>1620366.42</v>
      </c>
      <c r="H481" s="48">
        <f>[1]!BexGetData("DP_2","DL719O2RYNGN1RZRS91K7M4TV","17","E","13041071E209","2067113011")</f>
        <v>1620366.42</v>
      </c>
      <c r="I481" s="48">
        <f>[1]!BexGetData("DP_2","DL719O2RYNIY3MZ1QVCEEWBN7","17","E","13041071E209","2067113011")</f>
        <v>0</v>
      </c>
    </row>
    <row r="482" spans="1:9" x14ac:dyDescent="0.2">
      <c r="A482" s="46" t="s">
        <v>32</v>
      </c>
      <c r="B482" s="46" t="s">
        <v>32</v>
      </c>
      <c r="C482" s="46" t="s">
        <v>32</v>
      </c>
      <c r="D482" s="46" t="s">
        <v>32</v>
      </c>
      <c r="E482" s="46" t="s">
        <v>32</v>
      </c>
      <c r="F482" s="47">
        <f>[1]!BexGetData("DP_2","DL719O2RYNC0Y217V0FVT1R77","17","E","13041071E209","2067113021")</f>
        <v>2422653.48</v>
      </c>
      <c r="G482" s="48">
        <f>[1]!BexGetData("DP_2","DL719O2RYNEBZX0HTMQQ0BY0J","17","E","13041071E209","2067113021")</f>
        <v>2422653.48</v>
      </c>
      <c r="H482" s="48">
        <f>[1]!BexGetData("DP_2","DL719O2RYNGN1RZRS91K7M4TV","17","E","13041071E209","2067113021")</f>
        <v>2422653.48</v>
      </c>
      <c r="I482" s="48">
        <f>[1]!BexGetData("DP_2","DL719O2RYNIY3MZ1QVCEEWBN7","17","E","13041071E209","2067113021")</f>
        <v>0</v>
      </c>
    </row>
    <row r="483" spans="1:9" x14ac:dyDescent="0.2">
      <c r="A483" s="46" t="s">
        <v>32</v>
      </c>
      <c r="B483" s="46" t="s">
        <v>32</v>
      </c>
      <c r="C483" s="46" t="s">
        <v>32</v>
      </c>
      <c r="D483" s="46" t="s">
        <v>32</v>
      </c>
      <c r="E483" s="46" t="s">
        <v>32</v>
      </c>
      <c r="F483" s="47">
        <f>[1]!BexGetData("DP_2","DL719O2RYNC0Y217V0FVT1R77","17","E","13041071E209","2067121011")</f>
        <v>24113.81</v>
      </c>
      <c r="G483" s="48">
        <f>[1]!BexGetData("DP_2","DL719O2RYNEBZX0HTMQQ0BY0J","17","E","13041071E209","2067121011")</f>
        <v>24113.81</v>
      </c>
      <c r="H483" s="48">
        <f>[1]!BexGetData("DP_2","DL719O2RYNGN1RZRS91K7M4TV","17","E","13041071E209","2067121011")</f>
        <v>24113.81</v>
      </c>
      <c r="I483" s="48">
        <f>[1]!BexGetData("DP_2","DL719O2RYNIY3MZ1QVCEEWBN7","17","E","13041071E209","2067121011")</f>
        <v>0</v>
      </c>
    </row>
    <row r="484" spans="1:9" x14ac:dyDescent="0.2">
      <c r="A484" s="46" t="s">
        <v>32</v>
      </c>
      <c r="B484" s="46" t="s">
        <v>32</v>
      </c>
      <c r="C484" s="46" t="s">
        <v>32</v>
      </c>
      <c r="D484" s="46" t="s">
        <v>32</v>
      </c>
      <c r="E484" s="46" t="s">
        <v>32</v>
      </c>
      <c r="F484" s="47">
        <f>[1]!BexGetData("DP_2","DL719O2RYNC0Y217V0FVT1R77","17","E","13041071E209","2067122011")</f>
        <v>4979296.49</v>
      </c>
      <c r="G484" s="48">
        <f>[1]!BexGetData("DP_2","DL719O2RYNEBZX0HTMQQ0BY0J","17","E","13041071E209","2067122011")</f>
        <v>4979296.49</v>
      </c>
      <c r="H484" s="48">
        <f>[1]!BexGetData("DP_2","DL719O2RYNGN1RZRS91K7M4TV","17","E","13041071E209","2067122011")</f>
        <v>4979296.49</v>
      </c>
      <c r="I484" s="48">
        <f>[1]!BexGetData("DP_2","DL719O2RYNIY3MZ1QVCEEWBN7","17","E","13041071E209","2067122011")</f>
        <v>0</v>
      </c>
    </row>
    <row r="485" spans="1:9" x14ac:dyDescent="0.2">
      <c r="A485" s="46" t="s">
        <v>32</v>
      </c>
      <c r="B485" s="46" t="s">
        <v>32</v>
      </c>
      <c r="C485" s="46" t="s">
        <v>32</v>
      </c>
      <c r="D485" s="46" t="s">
        <v>32</v>
      </c>
      <c r="E485" s="46" t="s">
        <v>32</v>
      </c>
      <c r="F485" s="47">
        <f>[1]!BexGetData("DP_2","DL719O2RYNC0Y217V0FVT1R77","17","E","13041071E209","2067131011")</f>
        <v>263156.28000000003</v>
      </c>
      <c r="G485" s="48">
        <f>[1]!BexGetData("DP_2","DL719O2RYNEBZX0HTMQQ0BY0J","17","E","13041071E209","2067131011")</f>
        <v>263156.28000000003</v>
      </c>
      <c r="H485" s="48">
        <f>[1]!BexGetData("DP_2","DL719O2RYNGN1RZRS91K7M4TV","17","E","13041071E209","2067131011")</f>
        <v>263156.28000000003</v>
      </c>
      <c r="I485" s="48">
        <f>[1]!BexGetData("DP_2","DL719O2RYNIY3MZ1QVCEEWBN7","17","E","13041071E209","2067131011")</f>
        <v>0</v>
      </c>
    </row>
    <row r="486" spans="1:9" x14ac:dyDescent="0.2">
      <c r="A486" s="46" t="s">
        <v>32</v>
      </c>
      <c r="B486" s="46" t="s">
        <v>32</v>
      </c>
      <c r="C486" s="46" t="s">
        <v>32</v>
      </c>
      <c r="D486" s="46" t="s">
        <v>32</v>
      </c>
      <c r="E486" s="46" t="s">
        <v>32</v>
      </c>
      <c r="F486" s="47">
        <f>[1]!BexGetData("DP_2","DL719O2RYNC0Y217V0FVT1R77","17","E","13041071E209","2067131021")</f>
        <v>10041.83</v>
      </c>
      <c r="G486" s="48">
        <f>[1]!BexGetData("DP_2","DL719O2RYNEBZX0HTMQQ0BY0J","17","E","13041071E209","2067131021")</f>
        <v>10041.83</v>
      </c>
      <c r="H486" s="48">
        <f>[1]!BexGetData("DP_2","DL719O2RYNGN1RZRS91K7M4TV","17","E","13041071E209","2067131021")</f>
        <v>10041.83</v>
      </c>
      <c r="I486" s="48">
        <f>[1]!BexGetData("DP_2","DL719O2RYNIY3MZ1QVCEEWBN7","17","E","13041071E209","2067131021")</f>
        <v>0</v>
      </c>
    </row>
    <row r="487" spans="1:9" x14ac:dyDescent="0.2">
      <c r="A487" s="46" t="s">
        <v>32</v>
      </c>
      <c r="B487" s="46" t="s">
        <v>32</v>
      </c>
      <c r="C487" s="46" t="s">
        <v>32</v>
      </c>
      <c r="D487" s="46" t="s">
        <v>32</v>
      </c>
      <c r="E487" s="46" t="s">
        <v>32</v>
      </c>
      <c r="F487" s="47">
        <f>[1]!BexGetData("DP_2","DL719O2RYNC0Y217V0FVT1R77","17","E","13041071E209","2067132011")</f>
        <v>165403.56</v>
      </c>
      <c r="G487" s="48">
        <f>[1]!BexGetData("DP_2","DL719O2RYNEBZX0HTMQQ0BY0J","17","E","13041071E209","2067132011")</f>
        <v>165403.56</v>
      </c>
      <c r="H487" s="48">
        <f>[1]!BexGetData("DP_2","DL719O2RYNGN1RZRS91K7M4TV","17","E","13041071E209","2067132011")</f>
        <v>165403.56</v>
      </c>
      <c r="I487" s="48">
        <f>[1]!BexGetData("DP_2","DL719O2RYNIY3MZ1QVCEEWBN7","17","E","13041071E209","2067132011")</f>
        <v>0</v>
      </c>
    </row>
    <row r="488" spans="1:9" x14ac:dyDescent="0.2">
      <c r="A488" s="46" t="s">
        <v>32</v>
      </c>
      <c r="B488" s="46" t="s">
        <v>32</v>
      </c>
      <c r="C488" s="46" t="s">
        <v>32</v>
      </c>
      <c r="D488" s="46" t="s">
        <v>32</v>
      </c>
      <c r="E488" s="46" t="s">
        <v>32</v>
      </c>
      <c r="F488" s="47">
        <f>[1]!BexGetData("DP_2","DL719O2RYNC0Y217V0FVT1R77","17","E","13041071E209","2067132021")</f>
        <v>1065644.75</v>
      </c>
      <c r="G488" s="48">
        <f>[1]!BexGetData("DP_2","DL719O2RYNEBZX0HTMQQ0BY0J","17","E","13041071E209","2067132021")</f>
        <v>1065644.75</v>
      </c>
      <c r="H488" s="48">
        <f>[1]!BexGetData("DP_2","DL719O2RYNGN1RZRS91K7M4TV","17","E","13041071E209","2067132021")</f>
        <v>1065644.75</v>
      </c>
      <c r="I488" s="48">
        <f>[1]!BexGetData("DP_2","DL719O2RYNIY3MZ1QVCEEWBN7","17","E","13041071E209","2067132021")</f>
        <v>0</v>
      </c>
    </row>
    <row r="489" spans="1:9" x14ac:dyDescent="0.2">
      <c r="A489" s="46" t="s">
        <v>32</v>
      </c>
      <c r="B489" s="46" t="s">
        <v>32</v>
      </c>
      <c r="C489" s="46" t="s">
        <v>32</v>
      </c>
      <c r="D489" s="46" t="s">
        <v>32</v>
      </c>
      <c r="E489" s="46" t="s">
        <v>32</v>
      </c>
      <c r="F489" s="47">
        <f>[1]!BexGetData("DP_2","DL719O2RYNC0Y217V0FVT1R77","17","E","13041071E209","2067134011")</f>
        <v>19091334.059999999</v>
      </c>
      <c r="G489" s="48">
        <f>[1]!BexGetData("DP_2","DL719O2RYNEBZX0HTMQQ0BY0J","17","E","13041071E209","2067134011")</f>
        <v>19091334.059999999</v>
      </c>
      <c r="H489" s="48">
        <f>[1]!BexGetData("DP_2","DL719O2RYNGN1RZRS91K7M4TV","17","E","13041071E209","2067134011")</f>
        <v>18591580.989999998</v>
      </c>
      <c r="I489" s="48">
        <f>[1]!BexGetData("DP_2","DL719O2RYNIY3MZ1QVCEEWBN7","17","E","13041071E209","2067134011")</f>
        <v>0</v>
      </c>
    </row>
    <row r="490" spans="1:9" x14ac:dyDescent="0.2">
      <c r="A490" s="46" t="s">
        <v>32</v>
      </c>
      <c r="B490" s="46" t="s">
        <v>32</v>
      </c>
      <c r="C490" s="46" t="s">
        <v>32</v>
      </c>
      <c r="D490" s="46" t="s">
        <v>32</v>
      </c>
      <c r="E490" s="46" t="s">
        <v>32</v>
      </c>
      <c r="F490" s="47">
        <f>[1]!BexGetData("DP_2","DL719O2RYNC0Y217V0FVT1R77","17","E","13041071E209","2067134021")</f>
        <v>7068400.3399999999</v>
      </c>
      <c r="G490" s="48">
        <f>[1]!BexGetData("DP_2","DL719O2RYNEBZX0HTMQQ0BY0J","17","E","13041071E209","2067134021")</f>
        <v>7068400.3399999999</v>
      </c>
      <c r="H490" s="48">
        <f>[1]!BexGetData("DP_2","DL719O2RYNGN1RZRS91K7M4TV","17","E","13041071E209","2067134021")</f>
        <v>7068400.3399999999</v>
      </c>
      <c r="I490" s="48">
        <f>[1]!BexGetData("DP_2","DL719O2RYNIY3MZ1QVCEEWBN7","17","E","13041071E209","2067134021")</f>
        <v>-1.0000000000000001E-9</v>
      </c>
    </row>
    <row r="491" spans="1:9" x14ac:dyDescent="0.2">
      <c r="A491" s="46" t="s">
        <v>32</v>
      </c>
      <c r="B491" s="46" t="s">
        <v>32</v>
      </c>
      <c r="C491" s="46" t="s">
        <v>32</v>
      </c>
      <c r="D491" s="46" t="s">
        <v>32</v>
      </c>
      <c r="E491" s="46" t="s">
        <v>32</v>
      </c>
      <c r="F491" s="47">
        <f>[1]!BexGetData("DP_2","DL719O2RYNC0Y217V0FVT1R77","17","E","13041071E209","2067141011")</f>
        <v>1459829.22</v>
      </c>
      <c r="G491" s="48">
        <f>[1]!BexGetData("DP_2","DL719O2RYNEBZX0HTMQQ0BY0J","17","E","13041071E209","2067141011")</f>
        <v>1459829.22</v>
      </c>
      <c r="H491" s="48">
        <f>[1]!BexGetData("DP_2","DL719O2RYNGN1RZRS91K7M4TV","17","E","13041071E209","2067141011")</f>
        <v>1459829.22</v>
      </c>
      <c r="I491" s="48">
        <f>[1]!BexGetData("DP_2","DL719O2RYNIY3MZ1QVCEEWBN7","17","E","13041071E209","2067141011")</f>
        <v>0</v>
      </c>
    </row>
    <row r="492" spans="1:9" x14ac:dyDescent="0.2">
      <c r="A492" s="46" t="s">
        <v>32</v>
      </c>
      <c r="B492" s="46" t="s">
        <v>32</v>
      </c>
      <c r="C492" s="46" t="s">
        <v>32</v>
      </c>
      <c r="D492" s="46" t="s">
        <v>32</v>
      </c>
      <c r="E492" s="46" t="s">
        <v>32</v>
      </c>
      <c r="F492" s="47">
        <f>[1]!BexGetData("DP_2","DL719O2RYNC0Y217V0FVT1R77","17","E","13041071E209","2067141021")</f>
        <v>469283.06</v>
      </c>
      <c r="G492" s="48">
        <f>[1]!BexGetData("DP_2","DL719O2RYNEBZX0HTMQQ0BY0J","17","E","13041071E209","2067141021")</f>
        <v>469283.06</v>
      </c>
      <c r="H492" s="48">
        <f>[1]!BexGetData("DP_2","DL719O2RYNGN1RZRS91K7M4TV","17","E","13041071E209","2067141021")</f>
        <v>469283.06</v>
      </c>
      <c r="I492" s="48">
        <f>[1]!BexGetData("DP_2","DL719O2RYNIY3MZ1QVCEEWBN7","17","E","13041071E209","2067141021")</f>
        <v>0</v>
      </c>
    </row>
    <row r="493" spans="1:9" x14ac:dyDescent="0.2">
      <c r="A493" s="46" t="s">
        <v>32</v>
      </c>
      <c r="B493" s="46" t="s">
        <v>32</v>
      </c>
      <c r="C493" s="46" t="s">
        <v>32</v>
      </c>
      <c r="D493" s="46" t="s">
        <v>32</v>
      </c>
      <c r="E493" s="46" t="s">
        <v>32</v>
      </c>
      <c r="F493" s="47">
        <f>[1]!BexGetData("DP_2","DL719O2RYNC0Y217V0FVT1R77","17","E","13041071E209","2067143011")</f>
        <v>221871.12</v>
      </c>
      <c r="G493" s="48">
        <f>[1]!BexGetData("DP_2","DL719O2RYNEBZX0HTMQQ0BY0J","17","E","13041071E209","2067143011")</f>
        <v>221871.12</v>
      </c>
      <c r="H493" s="48">
        <f>[1]!BexGetData("DP_2","DL719O2RYNGN1RZRS91K7M4TV","17","E","13041071E209","2067143011")</f>
        <v>221871.12</v>
      </c>
      <c r="I493" s="48">
        <f>[1]!BexGetData("DP_2","DL719O2RYNIY3MZ1QVCEEWBN7","17","E","13041071E209","2067143011")</f>
        <v>0</v>
      </c>
    </row>
    <row r="494" spans="1:9" x14ac:dyDescent="0.2">
      <c r="A494" s="46" t="s">
        <v>32</v>
      </c>
      <c r="B494" s="46" t="s">
        <v>32</v>
      </c>
      <c r="C494" s="46" t="s">
        <v>32</v>
      </c>
      <c r="D494" s="46" t="s">
        <v>32</v>
      </c>
      <c r="E494" s="46" t="s">
        <v>32</v>
      </c>
      <c r="F494" s="47">
        <f>[1]!BexGetData("DP_2","DL719O2RYNC0Y217V0FVT1R77","17","E","13041071E209","2067151011")</f>
        <v>341453.88</v>
      </c>
      <c r="G494" s="48">
        <f>[1]!BexGetData("DP_2","DL719O2RYNEBZX0HTMQQ0BY0J","17","E","13041071E209","2067151011")</f>
        <v>341453.88</v>
      </c>
      <c r="H494" s="48">
        <f>[1]!BexGetData("DP_2","DL719O2RYNGN1RZRS91K7M4TV","17","E","13041071E209","2067151011")</f>
        <v>341453.88</v>
      </c>
      <c r="I494" s="48">
        <f>[1]!BexGetData("DP_2","DL719O2RYNIY3MZ1QVCEEWBN7","17","E","13041071E209","2067151011")</f>
        <v>0</v>
      </c>
    </row>
    <row r="495" spans="1:9" x14ac:dyDescent="0.2">
      <c r="A495" s="46" t="s">
        <v>32</v>
      </c>
      <c r="B495" s="46" t="s">
        <v>32</v>
      </c>
      <c r="C495" s="46" t="s">
        <v>32</v>
      </c>
      <c r="D495" s="46" t="s">
        <v>32</v>
      </c>
      <c r="E495" s="46" t="s">
        <v>32</v>
      </c>
      <c r="F495" s="47">
        <f>[1]!BexGetData("DP_2","DL719O2RYNC0Y217V0FVT1R77","17","E","13041071E209","2067154011")</f>
        <v>1772036.15</v>
      </c>
      <c r="G495" s="48">
        <f>[1]!BexGetData("DP_2","DL719O2RYNEBZX0HTMQQ0BY0J","17","E","13041071E209","2067154011")</f>
        <v>1772036.15</v>
      </c>
      <c r="H495" s="48">
        <f>[1]!BexGetData("DP_2","DL719O2RYNGN1RZRS91K7M4TV","17","E","13041071E209","2067154011")</f>
        <v>1770086.15</v>
      </c>
      <c r="I495" s="48">
        <f>[1]!BexGetData("DP_2","DL719O2RYNIY3MZ1QVCEEWBN7","17","E","13041071E209","2067154011")</f>
        <v>0</v>
      </c>
    </row>
    <row r="496" spans="1:9" x14ac:dyDescent="0.2">
      <c r="A496" s="46" t="s">
        <v>32</v>
      </c>
      <c r="B496" s="46" t="s">
        <v>32</v>
      </c>
      <c r="C496" s="46" t="s">
        <v>32</v>
      </c>
      <c r="D496" s="46" t="s">
        <v>32</v>
      </c>
      <c r="E496" s="46" t="s">
        <v>32</v>
      </c>
      <c r="F496" s="47">
        <f>[1]!BexGetData("DP_2","DL719O2RYNC0Y217V0FVT1R77","17","E","13041071E209","2067211011")</f>
        <v>90216.78</v>
      </c>
      <c r="G496" s="48">
        <f>[1]!BexGetData("DP_2","DL719O2RYNEBZX0HTMQQ0BY0J","17","E","13041071E209","2067211011")</f>
        <v>90216.78</v>
      </c>
      <c r="H496" s="48">
        <f>[1]!BexGetData("DP_2","DL719O2RYNGN1RZRS91K7M4TV","17","E","13041071E209","2067211011")</f>
        <v>89277.18</v>
      </c>
      <c r="I496" s="48">
        <f>[1]!BexGetData("DP_2","DL719O2RYNIY3MZ1QVCEEWBN7","17","E","13041071E209","2067211011")</f>
        <v>0</v>
      </c>
    </row>
    <row r="497" spans="1:9" x14ac:dyDescent="0.2">
      <c r="A497" s="46" t="s">
        <v>32</v>
      </c>
      <c r="B497" s="46" t="s">
        <v>32</v>
      </c>
      <c r="C497" s="46" t="s">
        <v>32</v>
      </c>
      <c r="D497" s="46" t="s">
        <v>32</v>
      </c>
      <c r="E497" s="46" t="s">
        <v>32</v>
      </c>
      <c r="F497" s="47">
        <f>[1]!BexGetData("DP_2","DL719O2RYNC0Y217V0FVT1R77","17","E","13041071E209","2067211021")</f>
        <v>71030.75</v>
      </c>
      <c r="G497" s="48">
        <f>[1]!BexGetData("DP_2","DL719O2RYNEBZX0HTMQQ0BY0J","17","E","13041071E209","2067211021")</f>
        <v>71030.75</v>
      </c>
      <c r="H497" s="48">
        <f>[1]!BexGetData("DP_2","DL719O2RYNGN1RZRS91K7M4TV","17","E","13041071E209","2067211021")</f>
        <v>65713.73</v>
      </c>
      <c r="I497" s="48">
        <f>[1]!BexGetData("DP_2","DL719O2RYNIY3MZ1QVCEEWBN7","17","E","13041071E209","2067211021")</f>
        <v>0</v>
      </c>
    </row>
    <row r="498" spans="1:9" x14ac:dyDescent="0.2">
      <c r="A498" s="46" t="s">
        <v>32</v>
      </c>
      <c r="B498" s="46" t="s">
        <v>32</v>
      </c>
      <c r="C498" s="46" t="s">
        <v>32</v>
      </c>
      <c r="D498" s="46" t="s">
        <v>32</v>
      </c>
      <c r="E498" s="46" t="s">
        <v>32</v>
      </c>
      <c r="F498" s="47">
        <f>[1]!BexGetData("DP_2","DL719O2RYNC0Y217V0FVT1R77","17","E","13041071E209","2067213011")</f>
        <v>355</v>
      </c>
      <c r="G498" s="48">
        <f>[1]!BexGetData("DP_2","DL719O2RYNEBZX0HTMQQ0BY0J","17","E","13041071E209","2067213011")</f>
        <v>355</v>
      </c>
      <c r="H498" s="48">
        <f>[1]!BexGetData("DP_2","DL719O2RYNGN1RZRS91K7M4TV","17","E","13041071E209","2067213011")</f>
        <v>355</v>
      </c>
      <c r="I498" s="48">
        <f>[1]!BexGetData("DP_2","DL719O2RYNIY3MZ1QVCEEWBN7","17","E","13041071E209","2067213011")</f>
        <v>0</v>
      </c>
    </row>
    <row r="499" spans="1:9" x14ac:dyDescent="0.2">
      <c r="A499" s="46" t="s">
        <v>32</v>
      </c>
      <c r="B499" s="46" t="s">
        <v>32</v>
      </c>
      <c r="C499" s="46" t="s">
        <v>32</v>
      </c>
      <c r="D499" s="46" t="s">
        <v>32</v>
      </c>
      <c r="E499" s="46" t="s">
        <v>32</v>
      </c>
      <c r="F499" s="47">
        <f>[1]!BexGetData("DP_2","DL719O2RYNC0Y217V0FVT1R77","17","E","13041071E209","2067214011")</f>
        <v>72589.06</v>
      </c>
      <c r="G499" s="48">
        <f>[1]!BexGetData("DP_2","DL719O2RYNEBZX0HTMQQ0BY0J","17","E","13041071E209","2067214011")</f>
        <v>72589.06</v>
      </c>
      <c r="H499" s="48">
        <f>[1]!BexGetData("DP_2","DL719O2RYNGN1RZRS91K7M4TV","17","E","13041071E209","2067214011")</f>
        <v>67188.100000000006</v>
      </c>
      <c r="I499" s="48">
        <f>[1]!BexGetData("DP_2","DL719O2RYNIY3MZ1QVCEEWBN7","17","E","13041071E209","2067214011")</f>
        <v>0</v>
      </c>
    </row>
    <row r="500" spans="1:9" x14ac:dyDescent="0.2">
      <c r="A500" s="46" t="s">
        <v>32</v>
      </c>
      <c r="B500" s="46" t="s">
        <v>32</v>
      </c>
      <c r="C500" s="46" t="s">
        <v>32</v>
      </c>
      <c r="D500" s="46" t="s">
        <v>32</v>
      </c>
      <c r="E500" s="46" t="s">
        <v>32</v>
      </c>
      <c r="F500" s="47">
        <f>[1]!BexGetData("DP_2","DL719O2RYNC0Y217V0FVT1R77","17","E","13041071E209","2067214021")</f>
        <v>7319.55</v>
      </c>
      <c r="G500" s="48">
        <f>[1]!BexGetData("DP_2","DL719O2RYNEBZX0HTMQQ0BY0J","17","E","13041071E209","2067214021")</f>
        <v>7319.55</v>
      </c>
      <c r="H500" s="48">
        <f>[1]!BexGetData("DP_2","DL719O2RYNGN1RZRS91K7M4TV","17","E","13041071E209","2067214021")</f>
        <v>5492.55</v>
      </c>
      <c r="I500" s="48">
        <f>[1]!BexGetData("DP_2","DL719O2RYNIY3MZ1QVCEEWBN7","17","E","13041071E209","2067214021")</f>
        <v>0</v>
      </c>
    </row>
    <row r="501" spans="1:9" x14ac:dyDescent="0.2">
      <c r="A501" s="46" t="s">
        <v>32</v>
      </c>
      <c r="B501" s="46" t="s">
        <v>32</v>
      </c>
      <c r="C501" s="46" t="s">
        <v>32</v>
      </c>
      <c r="D501" s="46" t="s">
        <v>32</v>
      </c>
      <c r="E501" s="46" t="s">
        <v>32</v>
      </c>
      <c r="F501" s="47">
        <f>[1]!BexGetData("DP_2","DL719O2RYNC0Y217V0FVT1R77","17","E","13041071E209","2067214031")</f>
        <v>2406</v>
      </c>
      <c r="G501" s="48">
        <f>[1]!BexGetData("DP_2","DL719O2RYNEBZX0HTMQQ0BY0J","17","E","13041071E209","2067214031")</f>
        <v>2406</v>
      </c>
      <c r="H501" s="48">
        <f>[1]!BexGetData("DP_2","DL719O2RYNGN1RZRS91K7M4TV","17","E","13041071E209","2067214031")</f>
        <v>2406</v>
      </c>
      <c r="I501" s="48">
        <f>[1]!BexGetData("DP_2","DL719O2RYNIY3MZ1QVCEEWBN7","17","E","13041071E209","2067214031")</f>
        <v>0</v>
      </c>
    </row>
    <row r="502" spans="1:9" x14ac:dyDescent="0.2">
      <c r="A502" s="46" t="s">
        <v>32</v>
      </c>
      <c r="B502" s="46" t="s">
        <v>32</v>
      </c>
      <c r="C502" s="46" t="s">
        <v>32</v>
      </c>
      <c r="D502" s="46" t="s">
        <v>32</v>
      </c>
      <c r="E502" s="46" t="s">
        <v>32</v>
      </c>
      <c r="F502" s="47">
        <f>[1]!BexGetData("DP_2","DL719O2RYNC0Y217V0FVT1R77","17","E","13041071E209","2067215011")</f>
        <v>4758.3</v>
      </c>
      <c r="G502" s="48">
        <f>[1]!BexGetData("DP_2","DL719O2RYNEBZX0HTMQQ0BY0J","17","E","13041071E209","2067215011")</f>
        <v>4758.3</v>
      </c>
      <c r="H502" s="48">
        <f>[1]!BexGetData("DP_2","DL719O2RYNGN1RZRS91K7M4TV","17","E","13041071E209","2067215011")</f>
        <v>4758.3</v>
      </c>
      <c r="I502" s="48">
        <f>[1]!BexGetData("DP_2","DL719O2RYNIY3MZ1QVCEEWBN7","17","E","13041071E209","2067215011")</f>
        <v>0</v>
      </c>
    </row>
    <row r="503" spans="1:9" x14ac:dyDescent="0.2">
      <c r="A503" s="46" t="s">
        <v>32</v>
      </c>
      <c r="B503" s="46" t="s">
        <v>32</v>
      </c>
      <c r="C503" s="46" t="s">
        <v>32</v>
      </c>
      <c r="D503" s="46" t="s">
        <v>32</v>
      </c>
      <c r="E503" s="46" t="s">
        <v>32</v>
      </c>
      <c r="F503" s="47">
        <f>[1]!BexGetData("DP_2","DL719O2RYNC0Y217V0FVT1R77","17","E","13041071E209","2067215021")</f>
        <v>336.4</v>
      </c>
      <c r="G503" s="48">
        <f>[1]!BexGetData("DP_2","DL719O2RYNEBZX0HTMQQ0BY0J","17","E","13041071E209","2067215021")</f>
        <v>336.4</v>
      </c>
      <c r="H503" s="48">
        <f>[1]!BexGetData("DP_2","DL719O2RYNGN1RZRS91K7M4TV","17","E","13041071E209","2067215021")</f>
        <v>336.4</v>
      </c>
      <c r="I503" s="48">
        <f>[1]!BexGetData("DP_2","DL719O2RYNIY3MZ1QVCEEWBN7","17","E","13041071E209","2067215021")</f>
        <v>0</v>
      </c>
    </row>
    <row r="504" spans="1:9" x14ac:dyDescent="0.2">
      <c r="A504" s="46" t="s">
        <v>32</v>
      </c>
      <c r="B504" s="46" t="s">
        <v>32</v>
      </c>
      <c r="C504" s="46" t="s">
        <v>32</v>
      </c>
      <c r="D504" s="46" t="s">
        <v>32</v>
      </c>
      <c r="E504" s="46" t="s">
        <v>32</v>
      </c>
      <c r="F504" s="47">
        <f>[1]!BexGetData("DP_2","DL719O2RYNC0Y217V0FVT1R77","17","E","13041071E209","2067216011")</f>
        <v>3744.69</v>
      </c>
      <c r="G504" s="48">
        <f>[1]!BexGetData("DP_2","DL719O2RYNEBZX0HTMQQ0BY0J","17","E","13041071E209","2067216011")</f>
        <v>3744.69</v>
      </c>
      <c r="H504" s="48">
        <f>[1]!BexGetData("DP_2","DL719O2RYNGN1RZRS91K7M4TV","17","E","13041071E209","2067216011")</f>
        <v>3744.69</v>
      </c>
      <c r="I504" s="48">
        <f>[1]!BexGetData("DP_2","DL719O2RYNIY3MZ1QVCEEWBN7","17","E","13041071E209","2067216011")</f>
        <v>0</v>
      </c>
    </row>
    <row r="505" spans="1:9" x14ac:dyDescent="0.2">
      <c r="A505" s="46" t="s">
        <v>32</v>
      </c>
      <c r="B505" s="46" t="s">
        <v>32</v>
      </c>
      <c r="C505" s="46" t="s">
        <v>32</v>
      </c>
      <c r="D505" s="46" t="s">
        <v>32</v>
      </c>
      <c r="E505" s="46" t="s">
        <v>32</v>
      </c>
      <c r="F505" s="47">
        <f>[1]!BexGetData("DP_2","DL719O2RYNC0Y217V0FVT1R77","17","E","13041071E209","2067217011")</f>
        <v>1227.5899999999999</v>
      </c>
      <c r="G505" s="48">
        <f>[1]!BexGetData("DP_2","DL719O2RYNEBZX0HTMQQ0BY0J","17","E","13041071E209","2067217011")</f>
        <v>1227.5899999999999</v>
      </c>
      <c r="H505" s="48">
        <f>[1]!BexGetData("DP_2","DL719O2RYNGN1RZRS91K7M4TV","17","E","13041071E209","2067217011")</f>
        <v>1227.5899999999999</v>
      </c>
      <c r="I505" s="48">
        <f>[1]!BexGetData("DP_2","DL719O2RYNIY3MZ1QVCEEWBN7","17","E","13041071E209","2067217011")</f>
        <v>0</v>
      </c>
    </row>
    <row r="506" spans="1:9" x14ac:dyDescent="0.2">
      <c r="A506" s="46" t="s">
        <v>32</v>
      </c>
      <c r="B506" s="46" t="s">
        <v>32</v>
      </c>
      <c r="C506" s="46" t="s">
        <v>32</v>
      </c>
      <c r="D506" s="46" t="s">
        <v>32</v>
      </c>
      <c r="E506" s="46" t="s">
        <v>32</v>
      </c>
      <c r="F506" s="47">
        <f>[1]!BexGetData("DP_2","DL719O2RYNC0Y217V0FVT1R77","17","E","13041071E209","2067221011")</f>
        <v>48727.35</v>
      </c>
      <c r="G506" s="48">
        <f>[1]!BexGetData("DP_2","DL719O2RYNEBZX0HTMQQ0BY0J","17","E","13041071E209","2067221011")</f>
        <v>48727.35</v>
      </c>
      <c r="H506" s="48">
        <f>[1]!BexGetData("DP_2","DL719O2RYNGN1RZRS91K7M4TV","17","E","13041071E209","2067221011")</f>
        <v>48727.35</v>
      </c>
      <c r="I506" s="48">
        <f>[1]!BexGetData("DP_2","DL719O2RYNIY3MZ1QVCEEWBN7","17","E","13041071E209","2067221011")</f>
        <v>0</v>
      </c>
    </row>
    <row r="507" spans="1:9" x14ac:dyDescent="0.2">
      <c r="A507" s="46" t="s">
        <v>32</v>
      </c>
      <c r="B507" s="46" t="s">
        <v>32</v>
      </c>
      <c r="C507" s="46" t="s">
        <v>32</v>
      </c>
      <c r="D507" s="46" t="s">
        <v>32</v>
      </c>
      <c r="E507" s="46" t="s">
        <v>32</v>
      </c>
      <c r="F507" s="47">
        <f>[1]!BexGetData("DP_2","DL719O2RYNC0Y217V0FVT1R77","17","E","13041071E209","2067221021")</f>
        <v>29762.5</v>
      </c>
      <c r="G507" s="48">
        <f>[1]!BexGetData("DP_2","DL719O2RYNEBZX0HTMQQ0BY0J","17","E","13041071E209","2067221021")</f>
        <v>29762.5</v>
      </c>
      <c r="H507" s="48">
        <f>[1]!BexGetData("DP_2","DL719O2RYNGN1RZRS91K7M4TV","17","E","13041071E209","2067221021")</f>
        <v>29762.5</v>
      </c>
      <c r="I507" s="48">
        <f>[1]!BexGetData("DP_2","DL719O2RYNIY3MZ1QVCEEWBN7","17","E","13041071E209","2067221021")</f>
        <v>0</v>
      </c>
    </row>
    <row r="508" spans="1:9" x14ac:dyDescent="0.2">
      <c r="A508" s="46" t="s">
        <v>32</v>
      </c>
      <c r="B508" s="46" t="s">
        <v>32</v>
      </c>
      <c r="C508" s="46" t="s">
        <v>32</v>
      </c>
      <c r="D508" s="46" t="s">
        <v>32</v>
      </c>
      <c r="E508" s="46" t="s">
        <v>32</v>
      </c>
      <c r="F508" s="47">
        <f>[1]!BexGetData("DP_2","DL719O2RYNC0Y217V0FVT1R77","17","E","13041071E209","2067221031")</f>
        <v>25325.5</v>
      </c>
      <c r="G508" s="48">
        <f>[1]!BexGetData("DP_2","DL719O2RYNEBZX0HTMQQ0BY0J","17","E","13041071E209","2067221031")</f>
        <v>25325.5</v>
      </c>
      <c r="H508" s="48">
        <f>[1]!BexGetData("DP_2","DL719O2RYNGN1RZRS91K7M4TV","17","E","13041071E209","2067221031")</f>
        <v>25325.5</v>
      </c>
      <c r="I508" s="48">
        <f>[1]!BexGetData("DP_2","DL719O2RYNIY3MZ1QVCEEWBN7","17","E","13041071E209","2067221031")</f>
        <v>0</v>
      </c>
    </row>
    <row r="509" spans="1:9" x14ac:dyDescent="0.2">
      <c r="A509" s="46" t="s">
        <v>32</v>
      </c>
      <c r="B509" s="46" t="s">
        <v>32</v>
      </c>
      <c r="C509" s="46" t="s">
        <v>32</v>
      </c>
      <c r="D509" s="46" t="s">
        <v>32</v>
      </c>
      <c r="E509" s="46" t="s">
        <v>32</v>
      </c>
      <c r="F509" s="47">
        <f>[1]!BexGetData("DP_2","DL719O2RYNC0Y217V0FVT1R77","17","E","13041071E209","2067241011")</f>
        <v>19470.580000000002</v>
      </c>
      <c r="G509" s="48">
        <f>[1]!BexGetData("DP_2","DL719O2RYNEBZX0HTMQQ0BY0J","17","E","13041071E209","2067241011")</f>
        <v>19470.580000000002</v>
      </c>
      <c r="H509" s="48">
        <f>[1]!BexGetData("DP_2","DL719O2RYNGN1RZRS91K7M4TV","17","E","13041071E209","2067241011")</f>
        <v>1602.8</v>
      </c>
      <c r="I509" s="48">
        <f>[1]!BexGetData("DP_2","DL719O2RYNIY3MZ1QVCEEWBN7","17","E","13041071E209","2067241011")</f>
        <v>0</v>
      </c>
    </row>
    <row r="510" spans="1:9" x14ac:dyDescent="0.2">
      <c r="A510" s="46" t="s">
        <v>32</v>
      </c>
      <c r="B510" s="46" t="s">
        <v>32</v>
      </c>
      <c r="C510" s="46" t="s">
        <v>32</v>
      </c>
      <c r="D510" s="46" t="s">
        <v>32</v>
      </c>
      <c r="E510" s="46" t="s">
        <v>32</v>
      </c>
      <c r="F510" s="47">
        <f>[1]!BexGetData("DP_2","DL719O2RYNC0Y217V0FVT1R77","17","E","13041071E209","2067242011")</f>
        <v>120</v>
      </c>
      <c r="G510" s="48">
        <f>[1]!BexGetData("DP_2","DL719O2RYNEBZX0HTMQQ0BY0J","17","E","13041071E209","2067242011")</f>
        <v>120</v>
      </c>
      <c r="H510" s="48">
        <f>[1]!BexGetData("DP_2","DL719O2RYNGN1RZRS91K7M4TV","17","E","13041071E209","2067242011")</f>
        <v>18</v>
      </c>
      <c r="I510" s="48">
        <f>[1]!BexGetData("DP_2","DL719O2RYNIY3MZ1QVCEEWBN7","17","E","13041071E209","2067242011")</f>
        <v>0</v>
      </c>
    </row>
    <row r="511" spans="1:9" x14ac:dyDescent="0.2">
      <c r="A511" s="46" t="s">
        <v>32</v>
      </c>
      <c r="B511" s="46" t="s">
        <v>32</v>
      </c>
      <c r="C511" s="46" t="s">
        <v>32</v>
      </c>
      <c r="D511" s="46" t="s">
        <v>32</v>
      </c>
      <c r="E511" s="46" t="s">
        <v>32</v>
      </c>
      <c r="F511" s="47">
        <f>[1]!BexGetData("DP_2","DL719O2RYNC0Y217V0FVT1R77","17","E","13041071E209","2067246011")</f>
        <v>6031.81</v>
      </c>
      <c r="G511" s="48">
        <f>[1]!BexGetData("DP_2","DL719O2RYNEBZX0HTMQQ0BY0J","17","E","13041071E209","2067246011")</f>
        <v>6031.81</v>
      </c>
      <c r="H511" s="48">
        <f>[1]!BexGetData("DP_2","DL719O2RYNGN1RZRS91K7M4TV","17","E","13041071E209","2067246011")</f>
        <v>5738.22</v>
      </c>
      <c r="I511" s="48">
        <f>[1]!BexGetData("DP_2","DL719O2RYNIY3MZ1QVCEEWBN7","17","E","13041071E209","2067246011")</f>
        <v>0</v>
      </c>
    </row>
    <row r="512" spans="1:9" x14ac:dyDescent="0.2">
      <c r="A512" s="46" t="s">
        <v>32</v>
      </c>
      <c r="B512" s="46" t="s">
        <v>32</v>
      </c>
      <c r="C512" s="46" t="s">
        <v>32</v>
      </c>
      <c r="D512" s="46" t="s">
        <v>32</v>
      </c>
      <c r="E512" s="46" t="s">
        <v>32</v>
      </c>
      <c r="F512" s="47">
        <f>[1]!BexGetData("DP_2","DL719O2RYNC0Y217V0FVT1R77","17","E","13041071E209","2067247011")</f>
        <v>12297.28</v>
      </c>
      <c r="G512" s="48">
        <f>[1]!BexGetData("DP_2","DL719O2RYNEBZX0HTMQQ0BY0J","17","E","13041071E209","2067247011")</f>
        <v>12297.28</v>
      </c>
      <c r="H512" s="48">
        <f>[1]!BexGetData("DP_2","DL719O2RYNGN1RZRS91K7M4TV","17","E","13041071E209","2067247011")</f>
        <v>1662.56</v>
      </c>
      <c r="I512" s="48">
        <f>[1]!BexGetData("DP_2","DL719O2RYNIY3MZ1QVCEEWBN7","17","E","13041071E209","2067247011")</f>
        <v>0</v>
      </c>
    </row>
    <row r="513" spans="1:9" x14ac:dyDescent="0.2">
      <c r="A513" s="46" t="s">
        <v>32</v>
      </c>
      <c r="B513" s="46" t="s">
        <v>32</v>
      </c>
      <c r="C513" s="46" t="s">
        <v>32</v>
      </c>
      <c r="D513" s="46" t="s">
        <v>32</v>
      </c>
      <c r="E513" s="46" t="s">
        <v>32</v>
      </c>
      <c r="F513" s="47">
        <f>[1]!BexGetData("DP_2","DL719O2RYNC0Y217V0FVT1R77","17","E","13041071E209","2067248011")</f>
        <v>7309.25</v>
      </c>
      <c r="G513" s="48">
        <f>[1]!BexGetData("DP_2","DL719O2RYNEBZX0HTMQQ0BY0J","17","E","13041071E209","2067248011")</f>
        <v>7309.25</v>
      </c>
      <c r="H513" s="48">
        <f>[1]!BexGetData("DP_2","DL719O2RYNGN1RZRS91K7M4TV","17","E","13041071E209","2067248011")</f>
        <v>7309.25</v>
      </c>
      <c r="I513" s="48">
        <f>[1]!BexGetData("DP_2","DL719O2RYNIY3MZ1QVCEEWBN7","17","E","13041071E209","2067248011")</f>
        <v>0</v>
      </c>
    </row>
    <row r="514" spans="1:9" x14ac:dyDescent="0.2">
      <c r="A514" s="46" t="s">
        <v>32</v>
      </c>
      <c r="B514" s="46" t="s">
        <v>32</v>
      </c>
      <c r="C514" s="46" t="s">
        <v>32</v>
      </c>
      <c r="D514" s="46" t="s">
        <v>32</v>
      </c>
      <c r="E514" s="46" t="s">
        <v>32</v>
      </c>
      <c r="F514" s="47">
        <f>[1]!BexGetData("DP_2","DL719O2RYNC0Y217V0FVT1R77","17","E","13041071E209","2067249011")</f>
        <v>12969.6</v>
      </c>
      <c r="G514" s="48">
        <f>[1]!BexGetData("DP_2","DL719O2RYNEBZX0HTMQQ0BY0J","17","E","13041071E209","2067249011")</f>
        <v>12969.6</v>
      </c>
      <c r="H514" s="48">
        <f>[1]!BexGetData("DP_2","DL719O2RYNGN1RZRS91K7M4TV","17","E","13041071E209","2067249011")</f>
        <v>4909.33</v>
      </c>
      <c r="I514" s="48">
        <f>[1]!BexGetData("DP_2","DL719O2RYNIY3MZ1QVCEEWBN7","17","E","13041071E209","2067249011")</f>
        <v>0</v>
      </c>
    </row>
    <row r="515" spans="1:9" x14ac:dyDescent="0.2">
      <c r="A515" s="46" t="s">
        <v>32</v>
      </c>
      <c r="B515" s="46" t="s">
        <v>32</v>
      </c>
      <c r="C515" s="46" t="s">
        <v>32</v>
      </c>
      <c r="D515" s="46" t="s">
        <v>32</v>
      </c>
      <c r="E515" s="46" t="s">
        <v>32</v>
      </c>
      <c r="F515" s="47">
        <f>[1]!BexGetData("DP_2","DL719O2RYNC0Y217V0FVT1R77","17","E","13041071E209","2067256011")</f>
        <v>2580.4</v>
      </c>
      <c r="G515" s="48">
        <f>[1]!BexGetData("DP_2","DL719O2RYNEBZX0HTMQQ0BY0J","17","E","13041071E209","2067256011")</f>
        <v>2580.4</v>
      </c>
      <c r="H515" s="48">
        <f>[1]!BexGetData("DP_2","DL719O2RYNGN1RZRS91K7M4TV","17","E","13041071E209","2067256011")</f>
        <v>1393.68</v>
      </c>
      <c r="I515" s="48">
        <f>[1]!BexGetData("DP_2","DL719O2RYNIY3MZ1QVCEEWBN7","17","E","13041071E209","2067256011")</f>
        <v>0</v>
      </c>
    </row>
    <row r="516" spans="1:9" x14ac:dyDescent="0.2">
      <c r="A516" s="46" t="s">
        <v>32</v>
      </c>
      <c r="B516" s="46" t="s">
        <v>32</v>
      </c>
      <c r="C516" s="46" t="s">
        <v>32</v>
      </c>
      <c r="D516" s="46" t="s">
        <v>32</v>
      </c>
      <c r="E516" s="46" t="s">
        <v>32</v>
      </c>
      <c r="F516" s="47">
        <f>[1]!BexGetData("DP_2","DL719O2RYNC0Y217V0FVT1R77","17","E","13041071E209","2067261011")</f>
        <v>0</v>
      </c>
      <c r="G516" s="48">
        <f>[1]!BexGetData("DP_2","DL719O2RYNEBZX0HTMQQ0BY0J","17","E","13041071E209","2067261011")</f>
        <v>0</v>
      </c>
      <c r="H516" s="48">
        <f>[1]!BexGetData("DP_2","DL719O2RYNGN1RZRS91K7M4TV","17","E","13041071E209","2067261011")</f>
        <v>0</v>
      </c>
      <c r="I516" s="48">
        <f>[1]!BexGetData("DP_2","DL719O2RYNIY3MZ1QVCEEWBN7","17","E","13041071E209","2067261011")</f>
        <v>0</v>
      </c>
    </row>
    <row r="517" spans="1:9" x14ac:dyDescent="0.2">
      <c r="A517" s="46" t="s">
        <v>32</v>
      </c>
      <c r="B517" s="46" t="s">
        <v>32</v>
      </c>
      <c r="C517" s="46" t="s">
        <v>32</v>
      </c>
      <c r="D517" s="46" t="s">
        <v>32</v>
      </c>
      <c r="E517" s="46" t="s">
        <v>32</v>
      </c>
      <c r="F517" s="47">
        <f>[1]!BexGetData("DP_2","DL719O2RYNC0Y217V0FVT1R77","17","E","13041071E209","2067272011")</f>
        <v>30276</v>
      </c>
      <c r="G517" s="48">
        <f>[1]!BexGetData("DP_2","DL719O2RYNEBZX0HTMQQ0BY0J","17","E","13041071E209","2067272011")</f>
        <v>30276</v>
      </c>
      <c r="H517" s="48">
        <f>[1]!BexGetData("DP_2","DL719O2RYNGN1RZRS91K7M4TV","17","E","13041071E209","2067272011")</f>
        <v>0</v>
      </c>
      <c r="I517" s="48">
        <f>[1]!BexGetData("DP_2","DL719O2RYNIY3MZ1QVCEEWBN7","17","E","13041071E209","2067272011")</f>
        <v>0</v>
      </c>
    </row>
    <row r="518" spans="1:9" x14ac:dyDescent="0.2">
      <c r="A518" s="46" t="s">
        <v>32</v>
      </c>
      <c r="B518" s="46" t="s">
        <v>32</v>
      </c>
      <c r="C518" s="46" t="s">
        <v>32</v>
      </c>
      <c r="D518" s="46" t="s">
        <v>32</v>
      </c>
      <c r="E518" s="46" t="s">
        <v>32</v>
      </c>
      <c r="F518" s="47">
        <f>[1]!BexGetData("DP_2","DL719O2RYNC0Y217V0FVT1R77","17","E","13041071E209","2067274011")</f>
        <v>79</v>
      </c>
      <c r="G518" s="48">
        <f>[1]!BexGetData("DP_2","DL719O2RYNEBZX0HTMQQ0BY0J","17","E","13041071E209","2067274011")</f>
        <v>79</v>
      </c>
      <c r="H518" s="48">
        <f>[1]!BexGetData("DP_2","DL719O2RYNGN1RZRS91K7M4TV","17","E","13041071E209","2067274011")</f>
        <v>79</v>
      </c>
      <c r="I518" s="48">
        <f>[1]!BexGetData("DP_2","DL719O2RYNIY3MZ1QVCEEWBN7","17","E","13041071E209","2067274011")</f>
        <v>0</v>
      </c>
    </row>
    <row r="519" spans="1:9" x14ac:dyDescent="0.2">
      <c r="A519" s="46" t="s">
        <v>32</v>
      </c>
      <c r="B519" s="46" t="s">
        <v>32</v>
      </c>
      <c r="C519" s="46" t="s">
        <v>32</v>
      </c>
      <c r="D519" s="46" t="s">
        <v>32</v>
      </c>
      <c r="E519" s="46" t="s">
        <v>32</v>
      </c>
      <c r="F519" s="47">
        <f>[1]!BexGetData("DP_2","DL719O2RYNC0Y217V0FVT1R77","17","E","13041071E209","2067291011")</f>
        <v>2568</v>
      </c>
      <c r="G519" s="48">
        <f>[1]!BexGetData("DP_2","DL719O2RYNEBZX0HTMQQ0BY0J","17","E","13041071E209","2067291011")</f>
        <v>2568</v>
      </c>
      <c r="H519" s="48">
        <f>[1]!BexGetData("DP_2","DL719O2RYNGN1RZRS91K7M4TV","17","E","13041071E209","2067291011")</f>
        <v>0</v>
      </c>
      <c r="I519" s="48">
        <f>[1]!BexGetData("DP_2","DL719O2RYNIY3MZ1QVCEEWBN7","17","E","13041071E209","2067291011")</f>
        <v>0</v>
      </c>
    </row>
    <row r="520" spans="1:9" x14ac:dyDescent="0.2">
      <c r="A520" s="46" t="s">
        <v>32</v>
      </c>
      <c r="B520" s="46" t="s">
        <v>32</v>
      </c>
      <c r="C520" s="46" t="s">
        <v>32</v>
      </c>
      <c r="D520" s="46" t="s">
        <v>32</v>
      </c>
      <c r="E520" s="46" t="s">
        <v>32</v>
      </c>
      <c r="F520" s="47">
        <f>[1]!BexGetData("DP_2","DL719O2RYNC0Y217V0FVT1R77","17","E","13041071E209","2067292011")</f>
        <v>869.3</v>
      </c>
      <c r="G520" s="48">
        <f>[1]!BexGetData("DP_2","DL719O2RYNEBZX0HTMQQ0BY0J","17","E","13041071E209","2067292011")</f>
        <v>869.3</v>
      </c>
      <c r="H520" s="48">
        <f>[1]!BexGetData("DP_2","DL719O2RYNGN1RZRS91K7M4TV","17","E","13041071E209","2067292011")</f>
        <v>869.3</v>
      </c>
      <c r="I520" s="48">
        <f>[1]!BexGetData("DP_2","DL719O2RYNIY3MZ1QVCEEWBN7","17","E","13041071E209","2067292011")</f>
        <v>0</v>
      </c>
    </row>
    <row r="521" spans="1:9" x14ac:dyDescent="0.2">
      <c r="A521" s="46" t="s">
        <v>32</v>
      </c>
      <c r="B521" s="46" t="s">
        <v>32</v>
      </c>
      <c r="C521" s="46" t="s">
        <v>32</v>
      </c>
      <c r="D521" s="46" t="s">
        <v>32</v>
      </c>
      <c r="E521" s="46" t="s">
        <v>32</v>
      </c>
      <c r="F521" s="47">
        <f>[1]!BexGetData("DP_2","DL719O2RYNC0Y217V0FVT1R77","17","E","13041071E209","2067293011")</f>
        <v>1160</v>
      </c>
      <c r="G521" s="48">
        <f>[1]!BexGetData("DP_2","DL719O2RYNEBZX0HTMQQ0BY0J","17","E","13041071E209","2067293011")</f>
        <v>1160</v>
      </c>
      <c r="H521" s="48">
        <f>[1]!BexGetData("DP_2","DL719O2RYNGN1RZRS91K7M4TV","17","E","13041071E209","2067293011")</f>
        <v>1160</v>
      </c>
      <c r="I521" s="48">
        <f>[1]!BexGetData("DP_2","DL719O2RYNIY3MZ1QVCEEWBN7","17","E","13041071E209","2067293011")</f>
        <v>0</v>
      </c>
    </row>
    <row r="522" spans="1:9" x14ac:dyDescent="0.2">
      <c r="A522" s="46" t="s">
        <v>32</v>
      </c>
      <c r="B522" s="46" t="s">
        <v>32</v>
      </c>
      <c r="C522" s="46" t="s">
        <v>32</v>
      </c>
      <c r="D522" s="46" t="s">
        <v>32</v>
      </c>
      <c r="E522" s="46" t="s">
        <v>32</v>
      </c>
      <c r="F522" s="47">
        <f>[1]!BexGetData("DP_2","DL719O2RYNC0Y217V0FVT1R77","17","E","13041071E209","2067293031")</f>
        <v>2731.53</v>
      </c>
      <c r="G522" s="48">
        <f>[1]!BexGetData("DP_2","DL719O2RYNEBZX0HTMQQ0BY0J","17","E","13041071E209","2067293031")</f>
        <v>2731.53</v>
      </c>
      <c r="H522" s="48">
        <f>[1]!BexGetData("DP_2","DL719O2RYNGN1RZRS91K7M4TV","17","E","13041071E209","2067293031")</f>
        <v>2731.53</v>
      </c>
      <c r="I522" s="48">
        <f>[1]!BexGetData("DP_2","DL719O2RYNIY3MZ1QVCEEWBN7","17","E","13041071E209","2067293031")</f>
        <v>0</v>
      </c>
    </row>
    <row r="523" spans="1:9" x14ac:dyDescent="0.2">
      <c r="A523" s="46" t="s">
        <v>32</v>
      </c>
      <c r="B523" s="46" t="s">
        <v>32</v>
      </c>
      <c r="C523" s="46" t="s">
        <v>32</v>
      </c>
      <c r="D523" s="46" t="s">
        <v>32</v>
      </c>
      <c r="E523" s="46" t="s">
        <v>32</v>
      </c>
      <c r="F523" s="47">
        <f>[1]!BexGetData("DP_2","DL719O2RYNC0Y217V0FVT1R77","17","E","13041071E209","2067294011")</f>
        <v>8749.76</v>
      </c>
      <c r="G523" s="48">
        <f>[1]!BexGetData("DP_2","DL719O2RYNEBZX0HTMQQ0BY0J","17","E","13041071E209","2067294011")</f>
        <v>8749.76</v>
      </c>
      <c r="H523" s="48">
        <f>[1]!BexGetData("DP_2","DL719O2RYNGN1RZRS91K7M4TV","17","E","13041071E209","2067294011")</f>
        <v>8684.9599999999991</v>
      </c>
      <c r="I523" s="48">
        <f>[1]!BexGetData("DP_2","DL719O2RYNIY3MZ1QVCEEWBN7","17","E","13041071E209","2067294011")</f>
        <v>0</v>
      </c>
    </row>
    <row r="524" spans="1:9" x14ac:dyDescent="0.2">
      <c r="A524" s="46" t="s">
        <v>32</v>
      </c>
      <c r="B524" s="46" t="s">
        <v>32</v>
      </c>
      <c r="C524" s="46" t="s">
        <v>32</v>
      </c>
      <c r="D524" s="46" t="s">
        <v>32</v>
      </c>
      <c r="E524" s="46" t="s">
        <v>32</v>
      </c>
      <c r="F524" s="47">
        <f>[1]!BexGetData("DP_2","DL719O2RYNC0Y217V0FVT1R77","17","E","13041071E209","2067311011")</f>
        <v>492</v>
      </c>
      <c r="G524" s="48">
        <f>[1]!BexGetData("DP_2","DL719O2RYNEBZX0HTMQQ0BY0J","17","E","13041071E209","2067311011")</f>
        <v>492</v>
      </c>
      <c r="H524" s="48">
        <f>[1]!BexGetData("DP_2","DL719O2RYNGN1RZRS91K7M4TV","17","E","13041071E209","2067311011")</f>
        <v>492</v>
      </c>
      <c r="I524" s="48">
        <f>[1]!BexGetData("DP_2","DL719O2RYNIY3MZ1QVCEEWBN7","17","E","13041071E209","2067311011")</f>
        <v>0</v>
      </c>
    </row>
    <row r="525" spans="1:9" x14ac:dyDescent="0.2">
      <c r="A525" s="46" t="s">
        <v>32</v>
      </c>
      <c r="B525" s="46" t="s">
        <v>32</v>
      </c>
      <c r="C525" s="46" t="s">
        <v>32</v>
      </c>
      <c r="D525" s="46" t="s">
        <v>32</v>
      </c>
      <c r="E525" s="46" t="s">
        <v>32</v>
      </c>
      <c r="F525" s="47">
        <f>[1]!BexGetData("DP_2","DL719O2RYNC0Y217V0FVT1R77","17","E","13041071E209","2067314011")</f>
        <v>62328.51</v>
      </c>
      <c r="G525" s="48">
        <f>[1]!BexGetData("DP_2","DL719O2RYNEBZX0HTMQQ0BY0J","17","E","13041071E209","2067314011")</f>
        <v>62328.51</v>
      </c>
      <c r="H525" s="48">
        <f>[1]!BexGetData("DP_2","DL719O2RYNGN1RZRS91K7M4TV","17","E","13041071E209","2067314011")</f>
        <v>62328.52</v>
      </c>
      <c r="I525" s="48">
        <f>[1]!BexGetData("DP_2","DL719O2RYNIY3MZ1QVCEEWBN7","17","E","13041071E209","2067314011")</f>
        <v>0</v>
      </c>
    </row>
    <row r="526" spans="1:9" x14ac:dyDescent="0.2">
      <c r="A526" s="46" t="s">
        <v>32</v>
      </c>
      <c r="B526" s="46" t="s">
        <v>32</v>
      </c>
      <c r="C526" s="46" t="s">
        <v>32</v>
      </c>
      <c r="D526" s="46" t="s">
        <v>32</v>
      </c>
      <c r="E526" s="46" t="s">
        <v>32</v>
      </c>
      <c r="F526" s="47">
        <f>[1]!BexGetData("DP_2","DL719O2RYNC0Y217V0FVT1R77","17","E","13041071E209","2067315011")</f>
        <v>0</v>
      </c>
      <c r="G526" s="48">
        <f>[1]!BexGetData("DP_2","DL719O2RYNEBZX0HTMQQ0BY0J","17","E","13041071E209","2067315011")</f>
        <v>0</v>
      </c>
      <c r="H526" s="48">
        <f>[1]!BexGetData("DP_2","DL719O2RYNGN1RZRS91K7M4TV","17","E","13041071E209","2067315011")</f>
        <v>0</v>
      </c>
      <c r="I526" s="48">
        <f>[1]!BexGetData("DP_2","DL719O2RYNIY3MZ1QVCEEWBN7","17","E","13041071E209","2067315011")</f>
        <v>0</v>
      </c>
    </row>
    <row r="527" spans="1:9" x14ac:dyDescent="0.2">
      <c r="A527" s="46" t="s">
        <v>32</v>
      </c>
      <c r="B527" s="46" t="s">
        <v>32</v>
      </c>
      <c r="C527" s="46" t="s">
        <v>32</v>
      </c>
      <c r="D527" s="46" t="s">
        <v>32</v>
      </c>
      <c r="E527" s="46" t="s">
        <v>32</v>
      </c>
      <c r="F527" s="47">
        <f>[1]!BexGetData("DP_2","DL719O2RYNC0Y217V0FVT1R77","17","E","13041071E209","2067317011")</f>
        <v>6689</v>
      </c>
      <c r="G527" s="48">
        <f>[1]!BexGetData("DP_2","DL719O2RYNEBZX0HTMQQ0BY0J","17","E","13041071E209","2067317011")</f>
        <v>6689</v>
      </c>
      <c r="H527" s="48">
        <f>[1]!BexGetData("DP_2","DL719O2RYNGN1RZRS91K7M4TV","17","E","13041071E209","2067317011")</f>
        <v>6689</v>
      </c>
      <c r="I527" s="48">
        <f>[1]!BexGetData("DP_2","DL719O2RYNIY3MZ1QVCEEWBN7","17","E","13041071E209","2067317011")</f>
        <v>0</v>
      </c>
    </row>
    <row r="528" spans="1:9" x14ac:dyDescent="0.2">
      <c r="A528" s="46" t="s">
        <v>32</v>
      </c>
      <c r="B528" s="46" t="s">
        <v>32</v>
      </c>
      <c r="C528" s="46" t="s">
        <v>32</v>
      </c>
      <c r="D528" s="46" t="s">
        <v>32</v>
      </c>
      <c r="E528" s="46" t="s">
        <v>32</v>
      </c>
      <c r="F528" s="47">
        <f>[1]!BexGetData("DP_2","DL719O2RYNC0Y217V0FVT1R77","17","E","13041071E209","2067318011")</f>
        <v>418</v>
      </c>
      <c r="G528" s="48">
        <f>[1]!BexGetData("DP_2","DL719O2RYNEBZX0HTMQQ0BY0J","17","E","13041071E209","2067318011")</f>
        <v>418</v>
      </c>
      <c r="H528" s="48">
        <f>[1]!BexGetData("DP_2","DL719O2RYNGN1RZRS91K7M4TV","17","E","13041071E209","2067318011")</f>
        <v>418</v>
      </c>
      <c r="I528" s="48">
        <f>[1]!BexGetData("DP_2","DL719O2RYNIY3MZ1QVCEEWBN7","17","E","13041071E209","2067318011")</f>
        <v>0</v>
      </c>
    </row>
    <row r="529" spans="1:9" x14ac:dyDescent="0.2">
      <c r="A529" s="46" t="s">
        <v>32</v>
      </c>
      <c r="B529" s="46" t="s">
        <v>32</v>
      </c>
      <c r="C529" s="46" t="s">
        <v>32</v>
      </c>
      <c r="D529" s="46" t="s">
        <v>32</v>
      </c>
      <c r="E529" s="46" t="s">
        <v>32</v>
      </c>
      <c r="F529" s="47">
        <f>[1]!BexGetData("DP_2","DL719O2RYNC0Y217V0FVT1R77","17","E","13041071E209","2067321011")</f>
        <v>0</v>
      </c>
      <c r="G529" s="48">
        <f>[1]!BexGetData("DP_2","DL719O2RYNEBZX0HTMQQ0BY0J","17","E","13041071E209","2067321011")</f>
        <v>0</v>
      </c>
      <c r="H529" s="48">
        <f>[1]!BexGetData("DP_2","DL719O2RYNGN1RZRS91K7M4TV","17","E","13041071E209","2067321011")</f>
        <v>0</v>
      </c>
      <c r="I529" s="48">
        <f>[1]!BexGetData("DP_2","DL719O2RYNIY3MZ1QVCEEWBN7","17","E","13041071E209","2067321011")</f>
        <v>0</v>
      </c>
    </row>
    <row r="530" spans="1:9" x14ac:dyDescent="0.2">
      <c r="A530" s="46" t="s">
        <v>32</v>
      </c>
      <c r="B530" s="46" t="s">
        <v>32</v>
      </c>
      <c r="C530" s="46" t="s">
        <v>32</v>
      </c>
      <c r="D530" s="46" t="s">
        <v>32</v>
      </c>
      <c r="E530" s="46" t="s">
        <v>32</v>
      </c>
      <c r="F530" s="47">
        <f>[1]!BexGetData("DP_2","DL719O2RYNC0Y217V0FVT1R77","17","E","13041071E209","2067329011")</f>
        <v>1026.5999999999999</v>
      </c>
      <c r="G530" s="48">
        <f>[1]!BexGetData("DP_2","DL719O2RYNEBZX0HTMQQ0BY0J","17","E","13041071E209","2067329011")</f>
        <v>1026.5999999999999</v>
      </c>
      <c r="H530" s="48">
        <f>[1]!BexGetData("DP_2","DL719O2RYNGN1RZRS91K7M4TV","17","E","13041071E209","2067329011")</f>
        <v>1026.5999999999999</v>
      </c>
      <c r="I530" s="48">
        <f>[1]!BexGetData("DP_2","DL719O2RYNIY3MZ1QVCEEWBN7","17","E","13041071E209","2067329011")</f>
        <v>0</v>
      </c>
    </row>
    <row r="531" spans="1:9" x14ac:dyDescent="0.2">
      <c r="A531" s="46" t="s">
        <v>32</v>
      </c>
      <c r="B531" s="46" t="s">
        <v>32</v>
      </c>
      <c r="C531" s="46" t="s">
        <v>32</v>
      </c>
      <c r="D531" s="46" t="s">
        <v>32</v>
      </c>
      <c r="E531" s="46" t="s">
        <v>32</v>
      </c>
      <c r="F531" s="47">
        <f>[1]!BexGetData("DP_2","DL719O2RYNC0Y217V0FVT1R77","17","E","13041071E209","2067334011")</f>
        <v>91540.01</v>
      </c>
      <c r="G531" s="48">
        <f>[1]!BexGetData("DP_2","DL719O2RYNEBZX0HTMQQ0BY0J","17","E","13041071E209","2067334011")</f>
        <v>91540.01</v>
      </c>
      <c r="H531" s="48">
        <f>[1]!BexGetData("DP_2","DL719O2RYNGN1RZRS91K7M4TV","17","E","13041071E209","2067334011")</f>
        <v>91540.01</v>
      </c>
      <c r="I531" s="48">
        <f>[1]!BexGetData("DP_2","DL719O2RYNIY3MZ1QVCEEWBN7","17","E","13041071E209","2067334011")</f>
        <v>0</v>
      </c>
    </row>
    <row r="532" spans="1:9" x14ac:dyDescent="0.2">
      <c r="A532" s="46" t="s">
        <v>32</v>
      </c>
      <c r="B532" s="46" t="s">
        <v>32</v>
      </c>
      <c r="C532" s="46" t="s">
        <v>32</v>
      </c>
      <c r="D532" s="46" t="s">
        <v>32</v>
      </c>
      <c r="E532" s="46" t="s">
        <v>32</v>
      </c>
      <c r="F532" s="47">
        <f>[1]!BexGetData("DP_2","DL719O2RYNC0Y217V0FVT1R77","17","E","13041071E209","2067336011")</f>
        <v>201558.63</v>
      </c>
      <c r="G532" s="48">
        <f>[1]!BexGetData("DP_2","DL719O2RYNEBZX0HTMQQ0BY0J","17","E","13041071E209","2067336011")</f>
        <v>201558.63</v>
      </c>
      <c r="H532" s="48">
        <f>[1]!BexGetData("DP_2","DL719O2RYNGN1RZRS91K7M4TV","17","E","13041071E209","2067336011")</f>
        <v>130395.53</v>
      </c>
      <c r="I532" s="48">
        <f>[1]!BexGetData("DP_2","DL719O2RYNIY3MZ1QVCEEWBN7","17","E","13041071E209","2067336011")</f>
        <v>0</v>
      </c>
    </row>
    <row r="533" spans="1:9" x14ac:dyDescent="0.2">
      <c r="A533" s="46" t="s">
        <v>32</v>
      </c>
      <c r="B533" s="46" t="s">
        <v>32</v>
      </c>
      <c r="C533" s="46" t="s">
        <v>32</v>
      </c>
      <c r="D533" s="46" t="s">
        <v>32</v>
      </c>
      <c r="E533" s="46" t="s">
        <v>32</v>
      </c>
      <c r="F533" s="47">
        <f>[1]!BexGetData("DP_2","DL719O2RYNC0Y217V0FVT1R77","17","E","13041071E209","2067339011")</f>
        <v>2505.6</v>
      </c>
      <c r="G533" s="48">
        <f>[1]!BexGetData("DP_2","DL719O2RYNEBZX0HTMQQ0BY0J","17","E","13041071E209","2067339011")</f>
        <v>2505.6</v>
      </c>
      <c r="H533" s="48">
        <f>[1]!BexGetData("DP_2","DL719O2RYNGN1RZRS91K7M4TV","17","E","13041071E209","2067339011")</f>
        <v>2505.6</v>
      </c>
      <c r="I533" s="48">
        <f>[1]!BexGetData("DP_2","DL719O2RYNIY3MZ1QVCEEWBN7","17","E","13041071E209","2067339011")</f>
        <v>0</v>
      </c>
    </row>
    <row r="534" spans="1:9" x14ac:dyDescent="0.2">
      <c r="A534" s="46" t="s">
        <v>32</v>
      </c>
      <c r="B534" s="46" t="s">
        <v>32</v>
      </c>
      <c r="C534" s="46" t="s">
        <v>32</v>
      </c>
      <c r="D534" s="46" t="s">
        <v>32</v>
      </c>
      <c r="E534" s="46" t="s">
        <v>32</v>
      </c>
      <c r="F534" s="47">
        <f>[1]!BexGetData("DP_2","DL719O2RYNC0Y217V0FVT1R77","17","E","13041071E209","2067351011")</f>
        <v>226825.24</v>
      </c>
      <c r="G534" s="48">
        <f>[1]!BexGetData("DP_2","DL719O2RYNEBZX0HTMQQ0BY0J","17","E","13041071E209","2067351011")</f>
        <v>226825.24</v>
      </c>
      <c r="H534" s="48">
        <f>[1]!BexGetData("DP_2","DL719O2RYNGN1RZRS91K7M4TV","17","E","13041071E209","2067351011")</f>
        <v>219934.84</v>
      </c>
      <c r="I534" s="48">
        <f>[1]!BexGetData("DP_2","DL719O2RYNIY3MZ1QVCEEWBN7","17","E","13041071E209","2067351011")</f>
        <v>0</v>
      </c>
    </row>
    <row r="535" spans="1:9" x14ac:dyDescent="0.2">
      <c r="A535" s="46" t="s">
        <v>32</v>
      </c>
      <c r="B535" s="46" t="s">
        <v>32</v>
      </c>
      <c r="C535" s="46" t="s">
        <v>32</v>
      </c>
      <c r="D535" s="46" t="s">
        <v>32</v>
      </c>
      <c r="E535" s="46" t="s">
        <v>32</v>
      </c>
      <c r="F535" s="47">
        <f>[1]!BexGetData("DP_2","DL719O2RYNC0Y217V0FVT1R77","17","E","13041071E209","2067352011")</f>
        <v>1392</v>
      </c>
      <c r="G535" s="48">
        <f>[1]!BexGetData("DP_2","DL719O2RYNEBZX0HTMQQ0BY0J","17","E","13041071E209","2067352011")</f>
        <v>1392</v>
      </c>
      <c r="H535" s="48">
        <f>[1]!BexGetData("DP_2","DL719O2RYNGN1RZRS91K7M4TV","17","E","13041071E209","2067352011")</f>
        <v>1392</v>
      </c>
      <c r="I535" s="48">
        <f>[1]!BexGetData("DP_2","DL719O2RYNIY3MZ1QVCEEWBN7","17","E","13041071E209","2067352011")</f>
        <v>0</v>
      </c>
    </row>
    <row r="536" spans="1:9" x14ac:dyDescent="0.2">
      <c r="A536" s="46" t="s">
        <v>32</v>
      </c>
      <c r="B536" s="46" t="s">
        <v>32</v>
      </c>
      <c r="C536" s="46" t="s">
        <v>32</v>
      </c>
      <c r="D536" s="46" t="s">
        <v>32</v>
      </c>
      <c r="E536" s="46" t="s">
        <v>32</v>
      </c>
      <c r="F536" s="47">
        <f>[1]!BexGetData("DP_2","DL719O2RYNC0Y217V0FVT1R77","17","E","13041071E209","2067361011")</f>
        <v>0</v>
      </c>
      <c r="G536" s="48">
        <f>[1]!BexGetData("DP_2","DL719O2RYNEBZX0HTMQQ0BY0J","17","E","13041071E209","2067361011")</f>
        <v>0</v>
      </c>
      <c r="H536" s="48">
        <f>[1]!BexGetData("DP_2","DL719O2RYNGN1RZRS91K7M4TV","17","E","13041071E209","2067361011")</f>
        <v>0</v>
      </c>
      <c r="I536" s="48">
        <f>[1]!BexGetData("DP_2","DL719O2RYNIY3MZ1QVCEEWBN7","17","E","13041071E209","2067361011")</f>
        <v>0</v>
      </c>
    </row>
    <row r="537" spans="1:9" x14ac:dyDescent="0.2">
      <c r="A537" s="46" t="s">
        <v>32</v>
      </c>
      <c r="B537" s="46" t="s">
        <v>32</v>
      </c>
      <c r="C537" s="46" t="s">
        <v>32</v>
      </c>
      <c r="D537" s="46" t="s">
        <v>32</v>
      </c>
      <c r="E537" s="46" t="s">
        <v>32</v>
      </c>
      <c r="F537" s="47">
        <f>[1]!BexGetData("DP_2","DL719O2RYNC0Y217V0FVT1R77","17","E","13041071E209","2067371011")</f>
        <v>89708.65</v>
      </c>
      <c r="G537" s="48">
        <f>[1]!BexGetData("DP_2","DL719O2RYNEBZX0HTMQQ0BY0J","17","E","13041071E209","2067371011")</f>
        <v>89708.65</v>
      </c>
      <c r="H537" s="48">
        <f>[1]!BexGetData("DP_2","DL719O2RYNGN1RZRS91K7M4TV","17","E","13041071E209","2067371011")</f>
        <v>89708.65</v>
      </c>
      <c r="I537" s="48">
        <f>[1]!BexGetData("DP_2","DL719O2RYNIY3MZ1QVCEEWBN7","17","E","13041071E209","2067371011")</f>
        <v>0</v>
      </c>
    </row>
    <row r="538" spans="1:9" x14ac:dyDescent="0.2">
      <c r="A538" s="46" t="s">
        <v>32</v>
      </c>
      <c r="B538" s="46" t="s">
        <v>32</v>
      </c>
      <c r="C538" s="46" t="s">
        <v>32</v>
      </c>
      <c r="D538" s="46" t="s">
        <v>32</v>
      </c>
      <c r="E538" s="46" t="s">
        <v>32</v>
      </c>
      <c r="F538" s="47">
        <f>[1]!BexGetData("DP_2","DL719O2RYNC0Y217V0FVT1R77","17","E","13041071E209","2067371021")</f>
        <v>58851.44</v>
      </c>
      <c r="G538" s="48">
        <f>[1]!BexGetData("DP_2","DL719O2RYNEBZX0HTMQQ0BY0J","17","E","13041071E209","2067371021")</f>
        <v>58851.44</v>
      </c>
      <c r="H538" s="48">
        <f>[1]!BexGetData("DP_2","DL719O2RYNGN1RZRS91K7M4TV","17","E","13041071E209","2067371021")</f>
        <v>58851.44</v>
      </c>
      <c r="I538" s="48">
        <f>[1]!BexGetData("DP_2","DL719O2RYNIY3MZ1QVCEEWBN7","17","E","13041071E209","2067371021")</f>
        <v>0</v>
      </c>
    </row>
    <row r="539" spans="1:9" x14ac:dyDescent="0.2">
      <c r="A539" s="46" t="s">
        <v>32</v>
      </c>
      <c r="B539" s="46" t="s">
        <v>32</v>
      </c>
      <c r="C539" s="46" t="s">
        <v>32</v>
      </c>
      <c r="D539" s="46" t="s">
        <v>32</v>
      </c>
      <c r="E539" s="46" t="s">
        <v>32</v>
      </c>
      <c r="F539" s="47">
        <f>[1]!BexGetData("DP_2","DL719O2RYNC0Y217V0FVT1R77","17","E","13041071E209","2067375011")</f>
        <v>16093.06</v>
      </c>
      <c r="G539" s="48">
        <f>[1]!BexGetData("DP_2","DL719O2RYNEBZX0HTMQQ0BY0J","17","E","13041071E209","2067375011")</f>
        <v>16093.06</v>
      </c>
      <c r="H539" s="48">
        <f>[1]!BexGetData("DP_2","DL719O2RYNGN1RZRS91K7M4TV","17","E","13041071E209","2067375011")</f>
        <v>16093.06</v>
      </c>
      <c r="I539" s="48">
        <f>[1]!BexGetData("DP_2","DL719O2RYNIY3MZ1QVCEEWBN7","17","E","13041071E209","2067375011")</f>
        <v>0</v>
      </c>
    </row>
    <row r="540" spans="1:9" x14ac:dyDescent="0.2">
      <c r="A540" s="46" t="s">
        <v>32</v>
      </c>
      <c r="B540" s="46" t="s">
        <v>32</v>
      </c>
      <c r="C540" s="46" t="s">
        <v>32</v>
      </c>
      <c r="D540" s="46" t="s">
        <v>32</v>
      </c>
      <c r="E540" s="46" t="s">
        <v>32</v>
      </c>
      <c r="F540" s="47">
        <f>[1]!BexGetData("DP_2","DL719O2RYNC0Y217V0FVT1R77","17","E","13041071E209","2067376011")</f>
        <v>186226.6</v>
      </c>
      <c r="G540" s="48">
        <f>[1]!BexGetData("DP_2","DL719O2RYNEBZX0HTMQQ0BY0J","17","E","13041071E209","2067376011")</f>
        <v>186226.6</v>
      </c>
      <c r="H540" s="48">
        <f>[1]!BexGetData("DP_2","DL719O2RYNGN1RZRS91K7M4TV","17","E","13041071E209","2067376011")</f>
        <v>186226.6</v>
      </c>
      <c r="I540" s="48">
        <f>[1]!BexGetData("DP_2","DL719O2RYNIY3MZ1QVCEEWBN7","17","E","13041071E209","2067376011")</f>
        <v>0</v>
      </c>
    </row>
    <row r="541" spans="1:9" x14ac:dyDescent="0.2">
      <c r="A541" s="46" t="s">
        <v>32</v>
      </c>
      <c r="B541" s="46" t="s">
        <v>32</v>
      </c>
      <c r="C541" s="46" t="s">
        <v>32</v>
      </c>
      <c r="D541" s="46" t="s">
        <v>32</v>
      </c>
      <c r="E541" s="46" t="s">
        <v>32</v>
      </c>
      <c r="F541" s="47">
        <f>[1]!BexGetData("DP_2","DL719O2RYNC0Y217V0FVT1R77","17","E","13041071E209","2067382011")</f>
        <v>0</v>
      </c>
      <c r="G541" s="48">
        <f>[1]!BexGetData("DP_2","DL719O2RYNEBZX0HTMQQ0BY0J","17","E","13041071E209","2067382011")</f>
        <v>0</v>
      </c>
      <c r="H541" s="48">
        <f>[1]!BexGetData("DP_2","DL719O2RYNGN1RZRS91K7M4TV","17","E","13041071E209","2067382011")</f>
        <v>0</v>
      </c>
      <c r="I541" s="48">
        <f>[1]!BexGetData("DP_2","DL719O2RYNIY3MZ1QVCEEWBN7","17","E","13041071E209","2067382011")</f>
        <v>0</v>
      </c>
    </row>
    <row r="542" spans="1:9" x14ac:dyDescent="0.2">
      <c r="A542" s="46" t="s">
        <v>32</v>
      </c>
      <c r="B542" s="46" t="s">
        <v>32</v>
      </c>
      <c r="C542" s="46" t="s">
        <v>32</v>
      </c>
      <c r="D542" s="46" t="s">
        <v>32</v>
      </c>
      <c r="E542" s="46" t="s">
        <v>32</v>
      </c>
      <c r="F542" s="47">
        <f>[1]!BexGetData("DP_2","DL719O2RYNC0Y217V0FVT1R77","17","E","13041071E209","2067382021")</f>
        <v>20244.32</v>
      </c>
      <c r="G542" s="48">
        <f>[1]!BexGetData("DP_2","DL719O2RYNEBZX0HTMQQ0BY0J","17","E","13041071E209","2067382021")</f>
        <v>20244.32</v>
      </c>
      <c r="H542" s="48">
        <f>[1]!BexGetData("DP_2","DL719O2RYNGN1RZRS91K7M4TV","17","E","13041071E209","2067382021")</f>
        <v>20244.32</v>
      </c>
      <c r="I542" s="48">
        <f>[1]!BexGetData("DP_2","DL719O2RYNIY3MZ1QVCEEWBN7","17","E","13041071E209","2067382021")</f>
        <v>0</v>
      </c>
    </row>
    <row r="543" spans="1:9" x14ac:dyDescent="0.2">
      <c r="A543" s="46" t="s">
        <v>32</v>
      </c>
      <c r="B543" s="46" t="s">
        <v>32</v>
      </c>
      <c r="C543" s="46" t="s">
        <v>32</v>
      </c>
      <c r="D543" s="46" t="s">
        <v>32</v>
      </c>
      <c r="E543" s="46" t="s">
        <v>32</v>
      </c>
      <c r="F543" s="47">
        <f>[1]!BexGetData("DP_2","DL719O2RYNC0Y217V0FVT1R77","17","E","13041071E209","2067392011")</f>
        <v>993</v>
      </c>
      <c r="G543" s="48">
        <f>[1]!BexGetData("DP_2","DL719O2RYNEBZX0HTMQQ0BY0J","17","E","13041071E209","2067392011")</f>
        <v>993</v>
      </c>
      <c r="H543" s="48">
        <f>[1]!BexGetData("DP_2","DL719O2RYNGN1RZRS91K7M4TV","17","E","13041071E209","2067392011")</f>
        <v>993</v>
      </c>
      <c r="I543" s="48">
        <f>[1]!BexGetData("DP_2","DL719O2RYNIY3MZ1QVCEEWBN7","17","E","13041071E209","2067392011")</f>
        <v>0</v>
      </c>
    </row>
    <row r="544" spans="1:9" x14ac:dyDescent="0.2">
      <c r="A544" s="46" t="s">
        <v>32</v>
      </c>
      <c r="B544" s="46" t="s">
        <v>32</v>
      </c>
      <c r="C544" s="46" t="s">
        <v>32</v>
      </c>
      <c r="D544" s="46" t="s">
        <v>32</v>
      </c>
      <c r="E544" s="46" t="s">
        <v>32</v>
      </c>
      <c r="F544" s="47">
        <f>[1]!BexGetData("DP_2","DL719O2RYNC0Y217V0FVT1R77","17","E","13041071E209","2067399031")</f>
        <v>87</v>
      </c>
      <c r="G544" s="48">
        <f>[1]!BexGetData("DP_2","DL719O2RYNEBZX0HTMQQ0BY0J","17","E","13041071E209","2067399031")</f>
        <v>87</v>
      </c>
      <c r="H544" s="48">
        <f>[1]!BexGetData("DP_2","DL719O2RYNGN1RZRS91K7M4TV","17","E","13041071E209","2067399031")</f>
        <v>87</v>
      </c>
      <c r="I544" s="48">
        <f>[1]!BexGetData("DP_2","DL719O2RYNIY3MZ1QVCEEWBN7","17","E","13041071E209","2067399031")</f>
        <v>0</v>
      </c>
    </row>
    <row r="545" spans="1:9" x14ac:dyDescent="0.2">
      <c r="A545" s="46" t="s">
        <v>32</v>
      </c>
      <c r="B545" s="46" t="s">
        <v>32</v>
      </c>
      <c r="C545" s="46" t="s">
        <v>32</v>
      </c>
      <c r="D545" s="46" t="s">
        <v>32</v>
      </c>
      <c r="E545" s="46" t="s">
        <v>32</v>
      </c>
      <c r="F545" s="47">
        <f>[1]!BexGetData("DP_2","DL719O2RYNC0Y217V0FVT1R77","17","E","13041071E209","2067443011")</f>
        <v>9338</v>
      </c>
      <c r="G545" s="48">
        <f>[1]!BexGetData("DP_2","DL719O2RYNEBZX0HTMQQ0BY0J","17","E","13041071E209","2067443011")</f>
        <v>9338</v>
      </c>
      <c r="H545" s="48">
        <f>[1]!BexGetData("DP_2","DL719O2RYNGN1RZRS91K7M4TV","17","E","13041071E209","2067443011")</f>
        <v>9338</v>
      </c>
      <c r="I545" s="48">
        <f>[1]!BexGetData("DP_2","DL719O2RYNIY3MZ1QVCEEWBN7","17","E","13041071E209","2067443011")</f>
        <v>0</v>
      </c>
    </row>
    <row r="546" spans="1:9" x14ac:dyDescent="0.2">
      <c r="A546" s="46" t="s">
        <v>32</v>
      </c>
      <c r="B546" s="46" t="s">
        <v>32</v>
      </c>
      <c r="C546" s="46" t="s">
        <v>32</v>
      </c>
      <c r="D546" s="46" t="s">
        <v>32</v>
      </c>
      <c r="E546" s="46" t="s">
        <v>32</v>
      </c>
      <c r="F546" s="47">
        <f>[1]!BexGetData("DP_2","DL719O2RYNC0Y217V0FVT1R77","17","E","13041071E209","2067445021")</f>
        <v>35496</v>
      </c>
      <c r="G546" s="48">
        <f>[1]!BexGetData("DP_2","DL719O2RYNEBZX0HTMQQ0BY0J","17","E","13041071E209","2067445021")</f>
        <v>35496</v>
      </c>
      <c r="H546" s="48">
        <f>[1]!BexGetData("DP_2","DL719O2RYNGN1RZRS91K7M4TV","17","E","13041071E209","2067445021")</f>
        <v>35496</v>
      </c>
      <c r="I546" s="48">
        <f>[1]!BexGetData("DP_2","DL719O2RYNIY3MZ1QVCEEWBN7","17","E","13041071E209","2067445021")</f>
        <v>0</v>
      </c>
    </row>
    <row r="547" spans="1:9" x14ac:dyDescent="0.2">
      <c r="A547" s="46" t="s">
        <v>32</v>
      </c>
      <c r="B547" s="46" t="s">
        <v>32</v>
      </c>
      <c r="C547" s="46" t="s">
        <v>32</v>
      </c>
      <c r="D547" s="46" t="s">
        <v>32</v>
      </c>
      <c r="E547" s="46" t="s">
        <v>32</v>
      </c>
      <c r="F547" s="47">
        <f>[1]!BexGetData("DP_2","DL719O2RYNC0Y217V0FVT1R77","17","E","13041071E209","2067511012")</f>
        <v>62613.279999999999</v>
      </c>
      <c r="G547" s="48">
        <f>[1]!BexGetData("DP_2","DL719O2RYNEBZX0HTMQQ0BY0J","17","E","13041071E209","2067511012")</f>
        <v>62613.279999999999</v>
      </c>
      <c r="H547" s="48">
        <f>[1]!BexGetData("DP_2","DL719O2RYNGN1RZRS91K7M4TV","17","E","13041071E209","2067511012")</f>
        <v>45717.88</v>
      </c>
      <c r="I547" s="48">
        <f>[1]!BexGetData("DP_2","DL719O2RYNIY3MZ1QVCEEWBN7","17","E","13041071E209","2067511012")</f>
        <v>0</v>
      </c>
    </row>
    <row r="548" spans="1:9" x14ac:dyDescent="0.2">
      <c r="A548" s="46" t="s">
        <v>32</v>
      </c>
      <c r="B548" s="46" t="s">
        <v>32</v>
      </c>
      <c r="C548" s="46" t="s">
        <v>32</v>
      </c>
      <c r="D548" s="46" t="s">
        <v>32</v>
      </c>
      <c r="E548" s="46" t="s">
        <v>32</v>
      </c>
      <c r="F548" s="47">
        <f>[1]!BexGetData("DP_2","DL719O2RYNC0Y217V0FVT1R77","17","E","13041071E209","2067515012")</f>
        <v>65473.88</v>
      </c>
      <c r="G548" s="48">
        <f>[1]!BexGetData("DP_2","DL719O2RYNEBZX0HTMQQ0BY0J","17","E","13041071E209","2067515012")</f>
        <v>65473.88</v>
      </c>
      <c r="H548" s="48">
        <f>[1]!BexGetData("DP_2","DL719O2RYNGN1RZRS91K7M4TV","17","E","13041071E209","2067515012")</f>
        <v>57817.88</v>
      </c>
      <c r="I548" s="48">
        <f>[1]!BexGetData("DP_2","DL719O2RYNIY3MZ1QVCEEWBN7","17","E","13041071E209","2067515012")</f>
        <v>0</v>
      </c>
    </row>
    <row r="549" spans="1:9" x14ac:dyDescent="0.2">
      <c r="A549" s="46" t="s">
        <v>32</v>
      </c>
      <c r="B549" s="46" t="s">
        <v>32</v>
      </c>
      <c r="C549" s="46" t="s">
        <v>32</v>
      </c>
      <c r="D549" s="46" t="s">
        <v>32</v>
      </c>
      <c r="E549" s="46" t="s">
        <v>32</v>
      </c>
      <c r="F549" s="47">
        <f>[1]!BexGetData("DP_2","DL719O2RYNC0Y217V0FVT1R77","17","E","13041071E209","2067519012")</f>
        <v>6936.8</v>
      </c>
      <c r="G549" s="48">
        <f>[1]!BexGetData("DP_2","DL719O2RYNEBZX0HTMQQ0BY0J","17","E","13041071E209","2067519012")</f>
        <v>6936.8</v>
      </c>
      <c r="H549" s="48">
        <f>[1]!BexGetData("DP_2","DL719O2RYNGN1RZRS91K7M4TV","17","E","13041071E209","2067519012")</f>
        <v>0</v>
      </c>
      <c r="I549" s="48">
        <f>[1]!BexGetData("DP_2","DL719O2RYNIY3MZ1QVCEEWBN7","17","E","13041071E209","2067519012")</f>
        <v>0</v>
      </c>
    </row>
    <row r="550" spans="1:9" x14ac:dyDescent="0.2">
      <c r="A550" s="46" t="s">
        <v>32</v>
      </c>
      <c r="B550" s="46" t="s">
        <v>32</v>
      </c>
      <c r="C550" s="46" t="s">
        <v>93</v>
      </c>
      <c r="D550" s="46" t="s">
        <v>93</v>
      </c>
      <c r="E550" s="46" t="s">
        <v>32</v>
      </c>
      <c r="F550" s="47">
        <f>[1]!BexGetData("DP_2","DL719O2RYNC0Y217V0FVT1R77","17","E","13041081E209","2067111011")</f>
        <v>4436286.92</v>
      </c>
      <c r="G550" s="48">
        <f>[1]!BexGetData("DP_2","DL719O2RYNEBZX0HTMQQ0BY0J","17","E","13041081E209","2067111011")</f>
        <v>4436286.92</v>
      </c>
      <c r="H550" s="48">
        <f>[1]!BexGetData("DP_2","DL719O2RYNGN1RZRS91K7M4TV","17","E","13041081E209","2067111011")</f>
        <v>4436286.92</v>
      </c>
      <c r="I550" s="48">
        <f>[1]!BexGetData("DP_2","DL719O2RYNIY3MZ1QVCEEWBN7","17","E","13041081E209","2067111011")</f>
        <v>1.0000000000000001E-9</v>
      </c>
    </row>
    <row r="551" spans="1:9" x14ac:dyDescent="0.2">
      <c r="A551" s="46" t="s">
        <v>32</v>
      </c>
      <c r="B551" s="46" t="s">
        <v>32</v>
      </c>
      <c r="C551" s="46" t="s">
        <v>32</v>
      </c>
      <c r="D551" s="46" t="s">
        <v>32</v>
      </c>
      <c r="E551" s="46" t="s">
        <v>32</v>
      </c>
      <c r="F551" s="47">
        <f>[1]!BexGetData("DP_2","DL719O2RYNC0Y217V0FVT1R77","17","E","13041081E209","2067113011")</f>
        <v>430341.57</v>
      </c>
      <c r="G551" s="48">
        <f>[1]!BexGetData("DP_2","DL719O2RYNEBZX0HTMQQ0BY0J","17","E","13041081E209","2067113011")</f>
        <v>430341.57</v>
      </c>
      <c r="H551" s="48">
        <f>[1]!BexGetData("DP_2","DL719O2RYNGN1RZRS91K7M4TV","17","E","13041081E209","2067113011")</f>
        <v>430341.57</v>
      </c>
      <c r="I551" s="48">
        <f>[1]!BexGetData("DP_2","DL719O2RYNIY3MZ1QVCEEWBN7","17","E","13041081E209","2067113011")</f>
        <v>0</v>
      </c>
    </row>
    <row r="552" spans="1:9" x14ac:dyDescent="0.2">
      <c r="A552" s="46" t="s">
        <v>32</v>
      </c>
      <c r="B552" s="46" t="s">
        <v>32</v>
      </c>
      <c r="C552" s="46" t="s">
        <v>32</v>
      </c>
      <c r="D552" s="46" t="s">
        <v>32</v>
      </c>
      <c r="E552" s="46" t="s">
        <v>32</v>
      </c>
      <c r="F552" s="47">
        <f>[1]!BexGetData("DP_2","DL719O2RYNC0Y217V0FVT1R77","17","E","13041081E209","2067121011")</f>
        <v>1735168.92</v>
      </c>
      <c r="G552" s="48">
        <f>[1]!BexGetData("DP_2","DL719O2RYNEBZX0HTMQQ0BY0J","17","E","13041081E209","2067121011")</f>
        <v>1735168.92</v>
      </c>
      <c r="H552" s="48">
        <f>[1]!BexGetData("DP_2","DL719O2RYNGN1RZRS91K7M4TV","17","E","13041081E209","2067121011")</f>
        <v>1735168.92</v>
      </c>
      <c r="I552" s="48">
        <f>[1]!BexGetData("DP_2","DL719O2RYNIY3MZ1QVCEEWBN7","17","E","13041081E209","2067121011")</f>
        <v>0</v>
      </c>
    </row>
    <row r="553" spans="1:9" x14ac:dyDescent="0.2">
      <c r="A553" s="46" t="s">
        <v>32</v>
      </c>
      <c r="B553" s="46" t="s">
        <v>32</v>
      </c>
      <c r="C553" s="46" t="s">
        <v>32</v>
      </c>
      <c r="D553" s="46" t="s">
        <v>32</v>
      </c>
      <c r="E553" s="46" t="s">
        <v>32</v>
      </c>
      <c r="F553" s="47">
        <f>[1]!BexGetData("DP_2","DL719O2RYNC0Y217V0FVT1R77","17","E","13041081E209","2067131011")</f>
        <v>1359.5</v>
      </c>
      <c r="G553" s="48">
        <f>[1]!BexGetData("DP_2","DL719O2RYNEBZX0HTMQQ0BY0J","17","E","13041081E209","2067131011")</f>
        <v>1359.5</v>
      </c>
      <c r="H553" s="48">
        <f>[1]!BexGetData("DP_2","DL719O2RYNGN1RZRS91K7M4TV","17","E","13041081E209","2067131011")</f>
        <v>1359.5</v>
      </c>
      <c r="I553" s="48">
        <f>[1]!BexGetData("DP_2","DL719O2RYNIY3MZ1QVCEEWBN7","17","E","13041081E209","2067131011")</f>
        <v>0</v>
      </c>
    </row>
    <row r="554" spans="1:9" x14ac:dyDescent="0.2">
      <c r="A554" s="46" t="s">
        <v>32</v>
      </c>
      <c r="B554" s="46" t="s">
        <v>32</v>
      </c>
      <c r="C554" s="46" t="s">
        <v>32</v>
      </c>
      <c r="D554" s="46" t="s">
        <v>32</v>
      </c>
      <c r="E554" s="46" t="s">
        <v>32</v>
      </c>
      <c r="F554" s="47">
        <f>[1]!BexGetData("DP_2","DL719O2RYNC0Y217V0FVT1R77","17","E","13041081E209","2067132011")</f>
        <v>17583.5</v>
      </c>
      <c r="G554" s="48">
        <f>[1]!BexGetData("DP_2","DL719O2RYNEBZX0HTMQQ0BY0J","17","E","13041081E209","2067132011")</f>
        <v>17583.5</v>
      </c>
      <c r="H554" s="48">
        <f>[1]!BexGetData("DP_2","DL719O2RYNGN1RZRS91K7M4TV","17","E","13041081E209","2067132011")</f>
        <v>17583.5</v>
      </c>
      <c r="I554" s="48">
        <f>[1]!BexGetData("DP_2","DL719O2RYNIY3MZ1QVCEEWBN7","17","E","13041081E209","2067132011")</f>
        <v>0</v>
      </c>
    </row>
    <row r="555" spans="1:9" x14ac:dyDescent="0.2">
      <c r="A555" s="46" t="s">
        <v>32</v>
      </c>
      <c r="B555" s="46" t="s">
        <v>32</v>
      </c>
      <c r="C555" s="46" t="s">
        <v>32</v>
      </c>
      <c r="D555" s="46" t="s">
        <v>32</v>
      </c>
      <c r="E555" s="46" t="s">
        <v>32</v>
      </c>
      <c r="F555" s="47">
        <f>[1]!BexGetData("DP_2","DL719O2RYNC0Y217V0FVT1R77","17","E","13041081E209","2067132021")</f>
        <v>89230.73</v>
      </c>
      <c r="G555" s="48">
        <f>[1]!BexGetData("DP_2","DL719O2RYNEBZX0HTMQQ0BY0J","17","E","13041081E209","2067132021")</f>
        <v>89230.73</v>
      </c>
      <c r="H555" s="48">
        <f>[1]!BexGetData("DP_2","DL719O2RYNGN1RZRS91K7M4TV","17","E","13041081E209","2067132021")</f>
        <v>89230.73</v>
      </c>
      <c r="I555" s="48">
        <f>[1]!BexGetData("DP_2","DL719O2RYNIY3MZ1QVCEEWBN7","17","E","13041081E209","2067132021")</f>
        <v>0</v>
      </c>
    </row>
    <row r="556" spans="1:9" x14ac:dyDescent="0.2">
      <c r="A556" s="46" t="s">
        <v>32</v>
      </c>
      <c r="B556" s="46" t="s">
        <v>32</v>
      </c>
      <c r="C556" s="46" t="s">
        <v>32</v>
      </c>
      <c r="D556" s="46" t="s">
        <v>32</v>
      </c>
      <c r="E556" s="46" t="s">
        <v>32</v>
      </c>
      <c r="F556" s="47">
        <f>[1]!BexGetData("DP_2","DL719O2RYNC0Y217V0FVT1R77","17","E","13041081E209","2067133011")</f>
        <v>1812.8</v>
      </c>
      <c r="G556" s="48">
        <f>[1]!BexGetData("DP_2","DL719O2RYNEBZX0HTMQQ0BY0J","17","E","13041081E209","2067133011")</f>
        <v>1812.8</v>
      </c>
      <c r="H556" s="48">
        <f>[1]!BexGetData("DP_2","DL719O2RYNGN1RZRS91K7M4TV","17","E","13041081E209","2067133011")</f>
        <v>1812.8</v>
      </c>
      <c r="I556" s="48">
        <f>[1]!BexGetData("DP_2","DL719O2RYNIY3MZ1QVCEEWBN7","17","E","13041081E209","2067133011")</f>
        <v>0</v>
      </c>
    </row>
    <row r="557" spans="1:9" x14ac:dyDescent="0.2">
      <c r="A557" s="46" t="s">
        <v>32</v>
      </c>
      <c r="B557" s="46" t="s">
        <v>32</v>
      </c>
      <c r="C557" s="46" t="s">
        <v>32</v>
      </c>
      <c r="D557" s="46" t="s">
        <v>32</v>
      </c>
      <c r="E557" s="46" t="s">
        <v>32</v>
      </c>
      <c r="F557" s="47">
        <f>[1]!BexGetData("DP_2","DL719O2RYNC0Y217V0FVT1R77","17","E","13041081E209","2067134021")</f>
        <v>15235.97</v>
      </c>
      <c r="G557" s="48">
        <f>[1]!BexGetData("DP_2","DL719O2RYNEBZX0HTMQQ0BY0J","17","E","13041081E209","2067134021")</f>
        <v>15235.97</v>
      </c>
      <c r="H557" s="48">
        <f>[1]!BexGetData("DP_2","DL719O2RYNGN1RZRS91K7M4TV","17","E","13041081E209","2067134021")</f>
        <v>15235.97</v>
      </c>
      <c r="I557" s="48">
        <f>[1]!BexGetData("DP_2","DL719O2RYNIY3MZ1QVCEEWBN7","17","E","13041081E209","2067134021")</f>
        <v>0</v>
      </c>
    </row>
    <row r="558" spans="1:9" x14ac:dyDescent="0.2">
      <c r="A558" s="46" t="s">
        <v>32</v>
      </c>
      <c r="B558" s="46" t="s">
        <v>32</v>
      </c>
      <c r="C558" s="46" t="s">
        <v>32</v>
      </c>
      <c r="D558" s="46" t="s">
        <v>32</v>
      </c>
      <c r="E558" s="46" t="s">
        <v>32</v>
      </c>
      <c r="F558" s="47">
        <f>[1]!BexGetData("DP_2","DL719O2RYNC0Y217V0FVT1R77","17","E","13041081E209","2067141011")</f>
        <v>87301.22</v>
      </c>
      <c r="G558" s="48">
        <f>[1]!BexGetData("DP_2","DL719O2RYNEBZX0HTMQQ0BY0J","17","E","13041081E209","2067141011")</f>
        <v>87301.22</v>
      </c>
      <c r="H558" s="48">
        <f>[1]!BexGetData("DP_2","DL719O2RYNGN1RZRS91K7M4TV","17","E","13041081E209","2067141011")</f>
        <v>87301.22</v>
      </c>
      <c r="I558" s="48">
        <f>[1]!BexGetData("DP_2","DL719O2RYNIY3MZ1QVCEEWBN7","17","E","13041081E209","2067141011")</f>
        <v>0</v>
      </c>
    </row>
    <row r="559" spans="1:9" x14ac:dyDescent="0.2">
      <c r="A559" s="46" t="s">
        <v>32</v>
      </c>
      <c r="B559" s="46" t="s">
        <v>32</v>
      </c>
      <c r="C559" s="46" t="s">
        <v>32</v>
      </c>
      <c r="D559" s="46" t="s">
        <v>32</v>
      </c>
      <c r="E559" s="46" t="s">
        <v>32</v>
      </c>
      <c r="F559" s="47">
        <f>[1]!BexGetData("DP_2","DL719O2RYNC0Y217V0FVT1R77","17","E","13041081E209","2067141021")</f>
        <v>28222.25</v>
      </c>
      <c r="G559" s="48">
        <f>[1]!BexGetData("DP_2","DL719O2RYNEBZX0HTMQQ0BY0J","17","E","13041081E209","2067141021")</f>
        <v>28222.25</v>
      </c>
      <c r="H559" s="48">
        <f>[1]!BexGetData("DP_2","DL719O2RYNGN1RZRS91K7M4TV","17","E","13041081E209","2067141021")</f>
        <v>28222.25</v>
      </c>
      <c r="I559" s="48">
        <f>[1]!BexGetData("DP_2","DL719O2RYNIY3MZ1QVCEEWBN7","17","E","13041081E209","2067141021")</f>
        <v>0</v>
      </c>
    </row>
    <row r="560" spans="1:9" x14ac:dyDescent="0.2">
      <c r="A560" s="46" t="s">
        <v>32</v>
      </c>
      <c r="B560" s="46" t="s">
        <v>32</v>
      </c>
      <c r="C560" s="46" t="s">
        <v>32</v>
      </c>
      <c r="D560" s="46" t="s">
        <v>32</v>
      </c>
      <c r="E560" s="46" t="s">
        <v>32</v>
      </c>
      <c r="F560" s="47">
        <f>[1]!BexGetData("DP_2","DL719O2RYNC0Y217V0FVT1R77","17","E","13041081E209","2067143011")</f>
        <v>13203.35</v>
      </c>
      <c r="G560" s="48">
        <f>[1]!BexGetData("DP_2","DL719O2RYNEBZX0HTMQQ0BY0J","17","E","13041081E209","2067143011")</f>
        <v>13203.35</v>
      </c>
      <c r="H560" s="48">
        <f>[1]!BexGetData("DP_2","DL719O2RYNGN1RZRS91K7M4TV","17","E","13041081E209","2067143011")</f>
        <v>13203.35</v>
      </c>
      <c r="I560" s="48">
        <f>[1]!BexGetData("DP_2","DL719O2RYNIY3MZ1QVCEEWBN7","17","E","13041081E209","2067143011")</f>
        <v>0</v>
      </c>
    </row>
    <row r="561" spans="1:9" x14ac:dyDescent="0.2">
      <c r="A561" s="46" t="s">
        <v>32</v>
      </c>
      <c r="B561" s="46" t="s">
        <v>32</v>
      </c>
      <c r="C561" s="46" t="s">
        <v>32</v>
      </c>
      <c r="D561" s="46" t="s">
        <v>32</v>
      </c>
      <c r="E561" s="46" t="s">
        <v>32</v>
      </c>
      <c r="F561" s="47">
        <f>[1]!BexGetData("DP_2","DL719O2RYNC0Y217V0FVT1R77","17","E","13041081E209","2067151011")</f>
        <v>51612.12</v>
      </c>
      <c r="G561" s="48">
        <f>[1]!BexGetData("DP_2","DL719O2RYNEBZX0HTMQQ0BY0J","17","E","13041081E209","2067151011")</f>
        <v>51612.12</v>
      </c>
      <c r="H561" s="48">
        <f>[1]!BexGetData("DP_2","DL719O2RYNGN1RZRS91K7M4TV","17","E","13041081E209","2067151011")</f>
        <v>51612.12</v>
      </c>
      <c r="I561" s="48">
        <f>[1]!BexGetData("DP_2","DL719O2RYNIY3MZ1QVCEEWBN7","17","E","13041081E209","2067151011")</f>
        <v>0</v>
      </c>
    </row>
    <row r="562" spans="1:9" x14ac:dyDescent="0.2">
      <c r="A562" s="46" t="s">
        <v>32</v>
      </c>
      <c r="B562" s="46" t="s">
        <v>32</v>
      </c>
      <c r="C562" s="46" t="s">
        <v>32</v>
      </c>
      <c r="D562" s="46" t="s">
        <v>32</v>
      </c>
      <c r="E562" s="46" t="s">
        <v>32</v>
      </c>
      <c r="F562" s="47">
        <f>[1]!BexGetData("DP_2","DL719O2RYNC0Y217V0FVT1R77","17","E","13041081E209","2067154011")</f>
        <v>311133.43</v>
      </c>
      <c r="G562" s="48">
        <f>[1]!BexGetData("DP_2","DL719O2RYNEBZX0HTMQQ0BY0J","17","E","13041081E209","2067154011")</f>
        <v>311133.43</v>
      </c>
      <c r="H562" s="48">
        <f>[1]!BexGetData("DP_2","DL719O2RYNGN1RZRS91K7M4TV","17","E","13041081E209","2067154011")</f>
        <v>311133.43</v>
      </c>
      <c r="I562" s="48">
        <f>[1]!BexGetData("DP_2","DL719O2RYNIY3MZ1QVCEEWBN7","17","E","13041081E209","2067154011")</f>
        <v>0</v>
      </c>
    </row>
    <row r="563" spans="1:9" x14ac:dyDescent="0.2">
      <c r="A563" s="46" t="s">
        <v>32</v>
      </c>
      <c r="B563" s="46" t="s">
        <v>32</v>
      </c>
      <c r="C563" s="46" t="s">
        <v>32</v>
      </c>
      <c r="D563" s="46" t="s">
        <v>32</v>
      </c>
      <c r="E563" s="46" t="s">
        <v>32</v>
      </c>
      <c r="F563" s="47">
        <f>[1]!BexGetData("DP_2","DL719O2RYNC0Y217V0FVT1R77","17","E","13041081E209","2067211021")</f>
        <v>1252.8</v>
      </c>
      <c r="G563" s="48">
        <f>[1]!BexGetData("DP_2","DL719O2RYNEBZX0HTMQQ0BY0J","17","E","13041081E209","2067211021")</f>
        <v>1252.8</v>
      </c>
      <c r="H563" s="48">
        <f>[1]!BexGetData("DP_2","DL719O2RYNGN1RZRS91K7M4TV","17","E","13041081E209","2067211021")</f>
        <v>1252.8</v>
      </c>
      <c r="I563" s="48">
        <f>[1]!BexGetData("DP_2","DL719O2RYNIY3MZ1QVCEEWBN7","17","E","13041081E209","2067211021")</f>
        <v>0</v>
      </c>
    </row>
    <row r="564" spans="1:9" x14ac:dyDescent="0.2">
      <c r="A564" s="46" t="s">
        <v>32</v>
      </c>
      <c r="B564" s="46" t="s">
        <v>32</v>
      </c>
      <c r="C564" s="46" t="s">
        <v>32</v>
      </c>
      <c r="D564" s="46" t="s">
        <v>32</v>
      </c>
      <c r="E564" s="46" t="s">
        <v>32</v>
      </c>
      <c r="F564" s="47">
        <f>[1]!BexGetData("DP_2","DL719O2RYNC0Y217V0FVT1R77","17","E","13041081E209","2067214011")</f>
        <v>2204</v>
      </c>
      <c r="G564" s="48">
        <f>[1]!BexGetData("DP_2","DL719O2RYNEBZX0HTMQQ0BY0J","17","E","13041081E209","2067214011")</f>
        <v>2204</v>
      </c>
      <c r="H564" s="48">
        <f>[1]!BexGetData("DP_2","DL719O2RYNGN1RZRS91K7M4TV","17","E","13041081E209","2067214011")</f>
        <v>2204</v>
      </c>
      <c r="I564" s="48">
        <f>[1]!BexGetData("DP_2","DL719O2RYNIY3MZ1QVCEEWBN7","17","E","13041081E209","2067214011")</f>
        <v>0</v>
      </c>
    </row>
    <row r="565" spans="1:9" x14ac:dyDescent="0.2">
      <c r="A565" s="46" t="s">
        <v>32</v>
      </c>
      <c r="B565" s="46" t="s">
        <v>32</v>
      </c>
      <c r="C565" s="46" t="s">
        <v>32</v>
      </c>
      <c r="D565" s="46" t="s">
        <v>32</v>
      </c>
      <c r="E565" s="46" t="s">
        <v>32</v>
      </c>
      <c r="F565" s="47">
        <f>[1]!BexGetData("DP_2","DL719O2RYNC0Y217V0FVT1R77","17","E","13041081E209","2067246011")</f>
        <v>33326.800000000003</v>
      </c>
      <c r="G565" s="48">
        <f>[1]!BexGetData("DP_2","DL719O2RYNEBZX0HTMQQ0BY0J","17","E","13041081E209","2067246011")</f>
        <v>33326.800000000003</v>
      </c>
      <c r="H565" s="48">
        <f>[1]!BexGetData("DP_2","DL719O2RYNGN1RZRS91K7M4TV","17","E","13041081E209","2067246011")</f>
        <v>928</v>
      </c>
      <c r="I565" s="48">
        <f>[1]!BexGetData("DP_2","DL719O2RYNIY3MZ1QVCEEWBN7","17","E","13041081E209","2067246011")</f>
        <v>0</v>
      </c>
    </row>
    <row r="566" spans="1:9" x14ac:dyDescent="0.2">
      <c r="A566" s="46" t="s">
        <v>32</v>
      </c>
      <c r="B566" s="46" t="s">
        <v>32</v>
      </c>
      <c r="C566" s="46" t="s">
        <v>32</v>
      </c>
      <c r="D566" s="46" t="s">
        <v>32</v>
      </c>
      <c r="E566" s="46" t="s">
        <v>32</v>
      </c>
      <c r="F566" s="47">
        <f>[1]!BexGetData("DP_2","DL719O2RYNC0Y217V0FVT1R77","17","E","13041081E209","2067249011")</f>
        <v>0</v>
      </c>
      <c r="G566" s="48">
        <f>[1]!BexGetData("DP_2","DL719O2RYNEBZX0HTMQQ0BY0J","17","E","13041081E209","2067249011")</f>
        <v>0</v>
      </c>
      <c r="H566" s="48">
        <f>[1]!BexGetData("DP_2","DL719O2RYNGN1RZRS91K7M4TV","17","E","13041081E209","2067249011")</f>
        <v>0</v>
      </c>
      <c r="I566" s="48">
        <f>[1]!BexGetData("DP_2","DL719O2RYNIY3MZ1QVCEEWBN7","17","E","13041081E209","2067249011")</f>
        <v>0</v>
      </c>
    </row>
    <row r="567" spans="1:9" x14ac:dyDescent="0.2">
      <c r="A567" s="46" t="s">
        <v>32</v>
      </c>
      <c r="B567" s="46" t="s">
        <v>32</v>
      </c>
      <c r="C567" s="46" t="s">
        <v>32</v>
      </c>
      <c r="D567" s="46" t="s">
        <v>32</v>
      </c>
      <c r="E567" s="46" t="s">
        <v>32</v>
      </c>
      <c r="F567" s="47">
        <f>[1]!BexGetData("DP_2","DL719O2RYNC0Y217V0FVT1R77","17","E","13041081E209","2067261011")</f>
        <v>24400.080000000002</v>
      </c>
      <c r="G567" s="48">
        <f>[1]!BexGetData("DP_2","DL719O2RYNEBZX0HTMQQ0BY0J","17","E","13041081E209","2067261011")</f>
        <v>24400.080000000002</v>
      </c>
      <c r="H567" s="48">
        <f>[1]!BexGetData("DP_2","DL719O2RYNGN1RZRS91K7M4TV","17","E","13041081E209","2067261011")</f>
        <v>0</v>
      </c>
      <c r="I567" s="48">
        <f>[1]!BexGetData("DP_2","DL719O2RYNIY3MZ1QVCEEWBN7","17","E","13041081E209","2067261011")</f>
        <v>0</v>
      </c>
    </row>
    <row r="568" spans="1:9" x14ac:dyDescent="0.2">
      <c r="A568" s="46" t="s">
        <v>32</v>
      </c>
      <c r="B568" s="46" t="s">
        <v>32</v>
      </c>
      <c r="C568" s="46" t="s">
        <v>32</v>
      </c>
      <c r="D568" s="46" t="s">
        <v>32</v>
      </c>
      <c r="E568" s="46" t="s">
        <v>32</v>
      </c>
      <c r="F568" s="47">
        <f>[1]!BexGetData("DP_2","DL719O2RYNC0Y217V0FVT1R77","17","E","13041081E209","2067272011")</f>
        <v>11600</v>
      </c>
      <c r="G568" s="48">
        <f>[1]!BexGetData("DP_2","DL719O2RYNEBZX0HTMQQ0BY0J","17","E","13041081E209","2067272011")</f>
        <v>11600</v>
      </c>
      <c r="H568" s="48">
        <f>[1]!BexGetData("DP_2","DL719O2RYNGN1RZRS91K7M4TV","17","E","13041081E209","2067272011")</f>
        <v>11600</v>
      </c>
      <c r="I568" s="48">
        <f>[1]!BexGetData("DP_2","DL719O2RYNIY3MZ1QVCEEWBN7","17","E","13041081E209","2067272011")</f>
        <v>0</v>
      </c>
    </row>
    <row r="569" spans="1:9" x14ac:dyDescent="0.2">
      <c r="A569" s="46" t="s">
        <v>32</v>
      </c>
      <c r="B569" s="46" t="s">
        <v>32</v>
      </c>
      <c r="C569" s="46" t="s">
        <v>32</v>
      </c>
      <c r="D569" s="46" t="s">
        <v>32</v>
      </c>
      <c r="E569" s="46" t="s">
        <v>32</v>
      </c>
      <c r="F569" s="47">
        <f>[1]!BexGetData("DP_2","DL719O2RYNC0Y217V0FVT1R77","17","E","13041081E209","2067291011")</f>
        <v>24615</v>
      </c>
      <c r="G569" s="48">
        <f>[1]!BexGetData("DP_2","DL719O2RYNEBZX0HTMQQ0BY0J","17","E","13041081E209","2067291011")</f>
        <v>24615</v>
      </c>
      <c r="H569" s="48">
        <f>[1]!BexGetData("DP_2","DL719O2RYNGN1RZRS91K7M4TV","17","E","13041081E209","2067291011")</f>
        <v>0</v>
      </c>
      <c r="I569" s="48">
        <f>[1]!BexGetData("DP_2","DL719O2RYNIY3MZ1QVCEEWBN7","17","E","13041081E209","2067291011")</f>
        <v>0</v>
      </c>
    </row>
    <row r="570" spans="1:9" x14ac:dyDescent="0.2">
      <c r="A570" s="46" t="s">
        <v>32</v>
      </c>
      <c r="B570" s="46" t="s">
        <v>32</v>
      </c>
      <c r="C570" s="46" t="s">
        <v>32</v>
      </c>
      <c r="D570" s="46" t="s">
        <v>32</v>
      </c>
      <c r="E570" s="46" t="s">
        <v>32</v>
      </c>
      <c r="F570" s="47">
        <f>[1]!BexGetData("DP_2","DL719O2RYNC0Y217V0FVT1R77","17","E","13041081E209","2067311011")</f>
        <v>274778.33</v>
      </c>
      <c r="G570" s="48">
        <f>[1]!BexGetData("DP_2","DL719O2RYNEBZX0HTMQQ0BY0J","17","E","13041081E209","2067311011")</f>
        <v>274778.33</v>
      </c>
      <c r="H570" s="48">
        <f>[1]!BexGetData("DP_2","DL719O2RYNGN1RZRS91K7M4TV","17","E","13041081E209","2067311011")</f>
        <v>274778.33</v>
      </c>
      <c r="I570" s="48">
        <f>[1]!BexGetData("DP_2","DL719O2RYNIY3MZ1QVCEEWBN7","17","E","13041081E209","2067311011")</f>
        <v>0</v>
      </c>
    </row>
    <row r="571" spans="1:9" x14ac:dyDescent="0.2">
      <c r="A571" s="46" t="s">
        <v>32</v>
      </c>
      <c r="B571" s="46" t="s">
        <v>32</v>
      </c>
      <c r="C571" s="46" t="s">
        <v>32</v>
      </c>
      <c r="D571" s="46" t="s">
        <v>32</v>
      </c>
      <c r="E571" s="46" t="s">
        <v>32</v>
      </c>
      <c r="F571" s="47">
        <f>[1]!BexGetData("DP_2","DL719O2RYNC0Y217V0FVT1R77","17","E","13041081E209","2067313011")</f>
        <v>23183</v>
      </c>
      <c r="G571" s="48">
        <f>[1]!BexGetData("DP_2","DL719O2RYNEBZX0HTMQQ0BY0J","17","E","13041081E209","2067313011")</f>
        <v>23183</v>
      </c>
      <c r="H571" s="48">
        <f>[1]!BexGetData("DP_2","DL719O2RYNGN1RZRS91K7M4TV","17","E","13041081E209","2067313011")</f>
        <v>23183</v>
      </c>
      <c r="I571" s="48">
        <f>[1]!BexGetData("DP_2","DL719O2RYNIY3MZ1QVCEEWBN7","17","E","13041081E209","2067313011")</f>
        <v>0</v>
      </c>
    </row>
    <row r="572" spans="1:9" x14ac:dyDescent="0.2">
      <c r="A572" s="46" t="s">
        <v>32</v>
      </c>
      <c r="B572" s="46" t="s">
        <v>32</v>
      </c>
      <c r="C572" s="46" t="s">
        <v>32</v>
      </c>
      <c r="D572" s="46" t="s">
        <v>32</v>
      </c>
      <c r="E572" s="46" t="s">
        <v>32</v>
      </c>
      <c r="F572" s="47">
        <f>[1]!BexGetData("DP_2","DL719O2RYNC0Y217V0FVT1R77","17","E","13041081E209","2067314011")</f>
        <v>93918.57</v>
      </c>
      <c r="G572" s="48">
        <f>[1]!BexGetData("DP_2","DL719O2RYNEBZX0HTMQQ0BY0J","17","E","13041081E209","2067314011")</f>
        <v>93918.57</v>
      </c>
      <c r="H572" s="48">
        <f>[1]!BexGetData("DP_2","DL719O2RYNGN1RZRS91K7M4TV","17","E","13041081E209","2067314011")</f>
        <v>93918.57</v>
      </c>
      <c r="I572" s="48">
        <f>[1]!BexGetData("DP_2","DL719O2RYNIY3MZ1QVCEEWBN7","17","E","13041081E209","2067314011")</f>
        <v>0</v>
      </c>
    </row>
    <row r="573" spans="1:9" x14ac:dyDescent="0.2">
      <c r="A573" s="46" t="s">
        <v>32</v>
      </c>
      <c r="B573" s="46" t="s">
        <v>32</v>
      </c>
      <c r="C573" s="46" t="s">
        <v>32</v>
      </c>
      <c r="D573" s="46" t="s">
        <v>32</v>
      </c>
      <c r="E573" s="46" t="s">
        <v>32</v>
      </c>
      <c r="F573" s="47">
        <f>[1]!BexGetData("DP_2","DL719O2RYNC0Y217V0FVT1R77","17","E","13041081E209","2067329011")</f>
        <v>0</v>
      </c>
      <c r="G573" s="48">
        <f>[1]!BexGetData("DP_2","DL719O2RYNEBZX0HTMQQ0BY0J","17","E","13041081E209","2067329011")</f>
        <v>0</v>
      </c>
      <c r="H573" s="48">
        <f>[1]!BexGetData("DP_2","DL719O2RYNGN1RZRS91K7M4TV","17","E","13041081E209","2067329011")</f>
        <v>0</v>
      </c>
      <c r="I573" s="48">
        <f>[1]!BexGetData("DP_2","DL719O2RYNIY3MZ1QVCEEWBN7","17","E","13041081E209","2067329011")</f>
        <v>0</v>
      </c>
    </row>
    <row r="574" spans="1:9" x14ac:dyDescent="0.2">
      <c r="A574" s="46" t="s">
        <v>32</v>
      </c>
      <c r="B574" s="46" t="s">
        <v>32</v>
      </c>
      <c r="C574" s="46" t="s">
        <v>32</v>
      </c>
      <c r="D574" s="46" t="s">
        <v>32</v>
      </c>
      <c r="E574" s="46" t="s">
        <v>32</v>
      </c>
      <c r="F574" s="47">
        <f>[1]!BexGetData("DP_2","DL719O2RYNC0Y217V0FVT1R77","17","E","13041081E209","2067351011")</f>
        <v>43732</v>
      </c>
      <c r="G574" s="48">
        <f>[1]!BexGetData("DP_2","DL719O2RYNEBZX0HTMQQ0BY0J","17","E","13041081E209","2067351011")</f>
        <v>43732</v>
      </c>
      <c r="H574" s="48">
        <f>[1]!BexGetData("DP_2","DL719O2RYNGN1RZRS91K7M4TV","17","E","13041081E209","2067351011")</f>
        <v>0</v>
      </c>
      <c r="I574" s="48">
        <f>[1]!BexGetData("DP_2","DL719O2RYNIY3MZ1QVCEEWBN7","17","E","13041081E209","2067351011")</f>
        <v>0</v>
      </c>
    </row>
    <row r="575" spans="1:9" x14ac:dyDescent="0.2">
      <c r="A575" s="46" t="s">
        <v>32</v>
      </c>
      <c r="B575" s="46" t="s">
        <v>32</v>
      </c>
      <c r="C575" s="46" t="s">
        <v>32</v>
      </c>
      <c r="D575" s="46" t="s">
        <v>32</v>
      </c>
      <c r="E575" s="46" t="s">
        <v>32</v>
      </c>
      <c r="F575" s="47">
        <f>[1]!BexGetData("DP_2","DL719O2RYNC0Y217V0FVT1R77","17","E","13041081E209","2067355011")</f>
        <v>8000</v>
      </c>
      <c r="G575" s="48">
        <f>[1]!BexGetData("DP_2","DL719O2RYNEBZX0HTMQQ0BY0J","17","E","13041081E209","2067355011")</f>
        <v>8000</v>
      </c>
      <c r="H575" s="48">
        <f>[1]!BexGetData("DP_2","DL719O2RYNGN1RZRS91K7M4TV","17","E","13041081E209","2067355011")</f>
        <v>8000</v>
      </c>
      <c r="I575" s="48">
        <f>[1]!BexGetData("DP_2","DL719O2RYNIY3MZ1QVCEEWBN7","17","E","13041081E209","2067355011")</f>
        <v>0</v>
      </c>
    </row>
    <row r="576" spans="1:9" x14ac:dyDescent="0.2">
      <c r="A576" s="46" t="s">
        <v>32</v>
      </c>
      <c r="B576" s="46" t="s">
        <v>32</v>
      </c>
      <c r="C576" s="46" t="s">
        <v>32</v>
      </c>
      <c r="D576" s="46" t="s">
        <v>32</v>
      </c>
      <c r="E576" s="46" t="s">
        <v>32</v>
      </c>
      <c r="F576" s="47">
        <f>[1]!BexGetData("DP_2","DL719O2RYNC0Y217V0FVT1R77","17","E","13041081E209","2067441011")</f>
        <v>1021000</v>
      </c>
      <c r="G576" s="48">
        <f>[1]!BexGetData("DP_2","DL719O2RYNEBZX0HTMQQ0BY0J","17","E","13041081E209","2067441011")</f>
        <v>1021000</v>
      </c>
      <c r="H576" s="48">
        <f>[1]!BexGetData("DP_2","DL719O2RYNGN1RZRS91K7M4TV","17","E","13041081E209","2067441011")</f>
        <v>753500</v>
      </c>
      <c r="I576" s="48">
        <f>[1]!BexGetData("DP_2","DL719O2RYNIY3MZ1QVCEEWBN7","17","E","13041081E209","2067441011")</f>
        <v>0</v>
      </c>
    </row>
    <row r="577" spans="1:9" x14ac:dyDescent="0.2">
      <c r="A577" s="46" t="s">
        <v>32</v>
      </c>
      <c r="B577" s="46" t="s">
        <v>32</v>
      </c>
      <c r="C577" s="46" t="s">
        <v>32</v>
      </c>
      <c r="D577" s="46" t="s">
        <v>32</v>
      </c>
      <c r="E577" s="46" t="s">
        <v>32</v>
      </c>
      <c r="F577" s="47">
        <f>[1]!BexGetData("DP_2","DL719O2RYNC0Y217V0FVT1R77","17","E","13041081E209","2067515012")</f>
        <v>14150.26</v>
      </c>
      <c r="G577" s="48">
        <f>[1]!BexGetData("DP_2","DL719O2RYNEBZX0HTMQQ0BY0J","17","E","13041081E209","2067515012")</f>
        <v>14150.26</v>
      </c>
      <c r="H577" s="48">
        <f>[1]!BexGetData("DP_2","DL719O2RYNGN1RZRS91K7M4TV","17","E","13041081E209","2067515012")</f>
        <v>0</v>
      </c>
      <c r="I577" s="48">
        <f>[1]!BexGetData("DP_2","DL719O2RYNIY3MZ1QVCEEWBN7","17","E","13041081E209","2067515012")</f>
        <v>0</v>
      </c>
    </row>
    <row r="578" spans="1:9" x14ac:dyDescent="0.2">
      <c r="A578" s="46" t="s">
        <v>32</v>
      </c>
      <c r="B578" s="46" t="s">
        <v>32</v>
      </c>
      <c r="C578" s="46" t="s">
        <v>94</v>
      </c>
      <c r="D578" s="46" t="s">
        <v>94</v>
      </c>
      <c r="E578" s="46" t="s">
        <v>32</v>
      </c>
      <c r="F578" s="47">
        <f>[1]!BexGetData("DP_2","DL719O2RYNC0Y217V0FVT1R77","17","E","13042111E204","2067113011")</f>
        <v>25973.9</v>
      </c>
      <c r="G578" s="48">
        <f>[1]!BexGetData("DP_2","DL719O2RYNEBZX0HTMQQ0BY0J","17","E","13042111E204","2067113011")</f>
        <v>25973.9</v>
      </c>
      <c r="H578" s="48">
        <f>[1]!BexGetData("DP_2","DL719O2RYNGN1RZRS91K7M4TV","17","E","13042111E204","2067113011")</f>
        <v>25973.9</v>
      </c>
      <c r="I578" s="48">
        <f>[1]!BexGetData("DP_2","DL719O2RYNIY3MZ1QVCEEWBN7","17","E","13042111E204","2067113011")</f>
        <v>0</v>
      </c>
    </row>
    <row r="579" spans="1:9" x14ac:dyDescent="0.2">
      <c r="A579" s="46" t="s">
        <v>32</v>
      </c>
      <c r="B579" s="46" t="s">
        <v>32</v>
      </c>
      <c r="C579" s="46" t="s">
        <v>32</v>
      </c>
      <c r="D579" s="46" t="s">
        <v>32</v>
      </c>
      <c r="E579" s="46" t="s">
        <v>32</v>
      </c>
      <c r="F579" s="47">
        <f>[1]!BexGetData("DP_2","DL719O2RYNC0Y217V0FVT1R77","17","E","13042111E204","2067113021")</f>
        <v>1226894.3799999999</v>
      </c>
      <c r="G579" s="48">
        <f>[1]!BexGetData("DP_2","DL719O2RYNEBZX0HTMQQ0BY0J","17","E","13042111E204","2067113021")</f>
        <v>1226894.3799999999</v>
      </c>
      <c r="H579" s="48">
        <f>[1]!BexGetData("DP_2","DL719O2RYNGN1RZRS91K7M4TV","17","E","13042111E204","2067113021")</f>
        <v>1226894.3799999999</v>
      </c>
      <c r="I579" s="48">
        <f>[1]!BexGetData("DP_2","DL719O2RYNIY3MZ1QVCEEWBN7","17","E","13042111E204","2067113021")</f>
        <v>0</v>
      </c>
    </row>
    <row r="580" spans="1:9" x14ac:dyDescent="0.2">
      <c r="A580" s="46" t="s">
        <v>32</v>
      </c>
      <c r="B580" s="46" t="s">
        <v>32</v>
      </c>
      <c r="C580" s="46" t="s">
        <v>32</v>
      </c>
      <c r="D580" s="46" t="s">
        <v>32</v>
      </c>
      <c r="E580" s="46" t="s">
        <v>32</v>
      </c>
      <c r="F580" s="47">
        <f>[1]!BexGetData("DP_2","DL719O2RYNC0Y217V0FVT1R77","17","E","13042111E204","2067121011")</f>
        <v>892368.48</v>
      </c>
      <c r="G580" s="48">
        <f>[1]!BexGetData("DP_2","DL719O2RYNEBZX0HTMQQ0BY0J","17","E","13042111E204","2067121011")</f>
        <v>892368.48</v>
      </c>
      <c r="H580" s="48">
        <f>[1]!BexGetData("DP_2","DL719O2RYNGN1RZRS91K7M4TV","17","E","13042111E204","2067121011")</f>
        <v>827220.5</v>
      </c>
      <c r="I580" s="48">
        <f>[1]!BexGetData("DP_2","DL719O2RYNIY3MZ1QVCEEWBN7","17","E","13042111E204","2067121011")</f>
        <v>0</v>
      </c>
    </row>
    <row r="581" spans="1:9" x14ac:dyDescent="0.2">
      <c r="A581" s="46" t="s">
        <v>32</v>
      </c>
      <c r="B581" s="46" t="s">
        <v>32</v>
      </c>
      <c r="C581" s="46" t="s">
        <v>32</v>
      </c>
      <c r="D581" s="46" t="s">
        <v>32</v>
      </c>
      <c r="E581" s="46" t="s">
        <v>32</v>
      </c>
      <c r="F581" s="47">
        <f>[1]!BexGetData("DP_2","DL719O2RYNC0Y217V0FVT1R77","17","E","13042111E204","2067122011")</f>
        <v>2917182.35</v>
      </c>
      <c r="G581" s="48">
        <f>[1]!BexGetData("DP_2","DL719O2RYNEBZX0HTMQQ0BY0J","17","E","13042111E204","2067122011")</f>
        <v>2917182.35</v>
      </c>
      <c r="H581" s="48">
        <f>[1]!BexGetData("DP_2","DL719O2RYNGN1RZRS91K7M4TV","17","E","13042111E204","2067122011")</f>
        <v>2917182.35</v>
      </c>
      <c r="I581" s="48">
        <f>[1]!BexGetData("DP_2","DL719O2RYNIY3MZ1QVCEEWBN7","17","E","13042111E204","2067122011")</f>
        <v>0</v>
      </c>
    </row>
    <row r="582" spans="1:9" x14ac:dyDescent="0.2">
      <c r="A582" s="46" t="s">
        <v>32</v>
      </c>
      <c r="B582" s="46" t="s">
        <v>32</v>
      </c>
      <c r="C582" s="46" t="s">
        <v>32</v>
      </c>
      <c r="D582" s="46" t="s">
        <v>32</v>
      </c>
      <c r="E582" s="46" t="s">
        <v>32</v>
      </c>
      <c r="F582" s="47">
        <f>[1]!BexGetData("DP_2","DL719O2RYNC0Y217V0FVT1R77","17","E","13042111E204","2067131011")</f>
        <v>3860.55</v>
      </c>
      <c r="G582" s="48">
        <f>[1]!BexGetData("DP_2","DL719O2RYNEBZX0HTMQQ0BY0J","17","E","13042111E204","2067131011")</f>
        <v>3860.55</v>
      </c>
      <c r="H582" s="48">
        <f>[1]!BexGetData("DP_2","DL719O2RYNGN1RZRS91K7M4TV","17","E","13042111E204","2067131011")</f>
        <v>3860.55</v>
      </c>
      <c r="I582" s="48">
        <f>[1]!BexGetData("DP_2","DL719O2RYNIY3MZ1QVCEEWBN7","17","E","13042111E204","2067131011")</f>
        <v>0</v>
      </c>
    </row>
    <row r="583" spans="1:9" x14ac:dyDescent="0.2">
      <c r="A583" s="46" t="s">
        <v>32</v>
      </c>
      <c r="B583" s="46" t="s">
        <v>32</v>
      </c>
      <c r="C583" s="46" t="s">
        <v>32</v>
      </c>
      <c r="D583" s="46" t="s">
        <v>32</v>
      </c>
      <c r="E583" s="46" t="s">
        <v>32</v>
      </c>
      <c r="F583" s="47">
        <f>[1]!BexGetData("DP_2","DL719O2RYNC0Y217V0FVT1R77","17","E","13042111E204","2067131021")</f>
        <v>9308.7199999999993</v>
      </c>
      <c r="G583" s="48">
        <f>[1]!BexGetData("DP_2","DL719O2RYNEBZX0HTMQQ0BY0J","17","E","13042111E204","2067131021")</f>
        <v>9308.7199999999993</v>
      </c>
      <c r="H583" s="48">
        <f>[1]!BexGetData("DP_2","DL719O2RYNGN1RZRS91K7M4TV","17","E","13042111E204","2067131021")</f>
        <v>9308.7199999999993</v>
      </c>
      <c r="I583" s="48">
        <f>[1]!BexGetData("DP_2","DL719O2RYNIY3MZ1QVCEEWBN7","17","E","13042111E204","2067131021")</f>
        <v>0</v>
      </c>
    </row>
    <row r="584" spans="1:9" x14ac:dyDescent="0.2">
      <c r="A584" s="46" t="s">
        <v>32</v>
      </c>
      <c r="B584" s="46" t="s">
        <v>32</v>
      </c>
      <c r="C584" s="46" t="s">
        <v>32</v>
      </c>
      <c r="D584" s="46" t="s">
        <v>32</v>
      </c>
      <c r="E584" s="46" t="s">
        <v>32</v>
      </c>
      <c r="F584" s="47">
        <f>[1]!BexGetData("DP_2","DL719O2RYNC0Y217V0FVT1R77","17","E","13042111E204","2067132011")</f>
        <v>33564.53</v>
      </c>
      <c r="G584" s="48">
        <f>[1]!BexGetData("DP_2","DL719O2RYNEBZX0HTMQQ0BY0J","17","E","13042111E204","2067132011")</f>
        <v>33564.53</v>
      </c>
      <c r="H584" s="48">
        <f>[1]!BexGetData("DP_2","DL719O2RYNGN1RZRS91K7M4TV","17","E","13042111E204","2067132011")</f>
        <v>33564.53</v>
      </c>
      <c r="I584" s="48">
        <f>[1]!BexGetData("DP_2","DL719O2RYNIY3MZ1QVCEEWBN7","17","E","13042111E204","2067132011")</f>
        <v>0</v>
      </c>
    </row>
    <row r="585" spans="1:9" x14ac:dyDescent="0.2">
      <c r="A585" s="46" t="s">
        <v>32</v>
      </c>
      <c r="B585" s="46" t="s">
        <v>32</v>
      </c>
      <c r="C585" s="46" t="s">
        <v>32</v>
      </c>
      <c r="D585" s="46" t="s">
        <v>32</v>
      </c>
      <c r="E585" s="46" t="s">
        <v>32</v>
      </c>
      <c r="F585" s="47">
        <f>[1]!BexGetData("DP_2","DL719O2RYNC0Y217V0FVT1R77","17","E","13042111E204","2067132021")</f>
        <v>369800.63</v>
      </c>
      <c r="G585" s="48">
        <f>[1]!BexGetData("DP_2","DL719O2RYNEBZX0HTMQQ0BY0J","17","E","13042111E204","2067132021")</f>
        <v>369800.63</v>
      </c>
      <c r="H585" s="48">
        <f>[1]!BexGetData("DP_2","DL719O2RYNGN1RZRS91K7M4TV","17","E","13042111E204","2067132021")</f>
        <v>369800.63</v>
      </c>
      <c r="I585" s="48">
        <f>[1]!BexGetData("DP_2","DL719O2RYNIY3MZ1QVCEEWBN7","17","E","13042111E204","2067132021")</f>
        <v>0</v>
      </c>
    </row>
    <row r="586" spans="1:9" x14ac:dyDescent="0.2">
      <c r="A586" s="46" t="s">
        <v>32</v>
      </c>
      <c r="B586" s="46" t="s">
        <v>32</v>
      </c>
      <c r="C586" s="46" t="s">
        <v>32</v>
      </c>
      <c r="D586" s="46" t="s">
        <v>32</v>
      </c>
      <c r="E586" s="46" t="s">
        <v>32</v>
      </c>
      <c r="F586" s="47">
        <f>[1]!BexGetData("DP_2","DL719O2RYNC0Y217V0FVT1R77","17","E","13042111E204","2067134011")</f>
        <v>2889342.85</v>
      </c>
      <c r="G586" s="48">
        <f>[1]!BexGetData("DP_2","DL719O2RYNEBZX0HTMQQ0BY0J","17","E","13042111E204","2067134011")</f>
        <v>2889342.85</v>
      </c>
      <c r="H586" s="48">
        <f>[1]!BexGetData("DP_2","DL719O2RYNGN1RZRS91K7M4TV","17","E","13042111E204","2067134011")</f>
        <v>2933504.56</v>
      </c>
      <c r="I586" s="48">
        <f>[1]!BexGetData("DP_2","DL719O2RYNIY3MZ1QVCEEWBN7","17","E","13042111E204","2067134011")</f>
        <v>0</v>
      </c>
    </row>
    <row r="587" spans="1:9" x14ac:dyDescent="0.2">
      <c r="A587" s="46" t="s">
        <v>32</v>
      </c>
      <c r="B587" s="46" t="s">
        <v>32</v>
      </c>
      <c r="C587" s="46" t="s">
        <v>32</v>
      </c>
      <c r="D587" s="46" t="s">
        <v>32</v>
      </c>
      <c r="E587" s="46" t="s">
        <v>32</v>
      </c>
      <c r="F587" s="47">
        <f>[1]!BexGetData("DP_2","DL719O2RYNC0Y217V0FVT1R77","17","E","13042111E204","2067134021")</f>
        <v>1334745.73</v>
      </c>
      <c r="G587" s="48">
        <f>[1]!BexGetData("DP_2","DL719O2RYNEBZX0HTMQQ0BY0J","17","E","13042111E204","2067134021")</f>
        <v>1334745.73</v>
      </c>
      <c r="H587" s="48">
        <f>[1]!BexGetData("DP_2","DL719O2RYNGN1RZRS91K7M4TV","17","E","13042111E204","2067134021")</f>
        <v>1334745.73</v>
      </c>
      <c r="I587" s="48">
        <f>[1]!BexGetData("DP_2","DL719O2RYNIY3MZ1QVCEEWBN7","17","E","13042111E204","2067134021")</f>
        <v>1.0000000000000001E-9</v>
      </c>
    </row>
    <row r="588" spans="1:9" x14ac:dyDescent="0.2">
      <c r="A588" s="46" t="s">
        <v>32</v>
      </c>
      <c r="B588" s="46" t="s">
        <v>32</v>
      </c>
      <c r="C588" s="46" t="s">
        <v>32</v>
      </c>
      <c r="D588" s="46" t="s">
        <v>32</v>
      </c>
      <c r="E588" s="46" t="s">
        <v>32</v>
      </c>
      <c r="F588" s="47">
        <f>[1]!BexGetData("DP_2","DL719O2RYNC0Y217V0FVT1R77","17","E","13042111E204","2067141011")</f>
        <v>661847.80000000005</v>
      </c>
      <c r="G588" s="48">
        <f>[1]!BexGetData("DP_2","DL719O2RYNEBZX0HTMQQ0BY0J","17","E","13042111E204","2067141011")</f>
        <v>661847.80000000005</v>
      </c>
      <c r="H588" s="48">
        <f>[1]!BexGetData("DP_2","DL719O2RYNGN1RZRS91K7M4TV","17","E","13042111E204","2067141011")</f>
        <v>661847.80000000005</v>
      </c>
      <c r="I588" s="48">
        <f>[1]!BexGetData("DP_2","DL719O2RYNIY3MZ1QVCEEWBN7","17","E","13042111E204","2067141011")</f>
        <v>0</v>
      </c>
    </row>
    <row r="589" spans="1:9" x14ac:dyDescent="0.2">
      <c r="A589" s="46" t="s">
        <v>32</v>
      </c>
      <c r="B589" s="46" t="s">
        <v>32</v>
      </c>
      <c r="C589" s="46" t="s">
        <v>32</v>
      </c>
      <c r="D589" s="46" t="s">
        <v>32</v>
      </c>
      <c r="E589" s="46" t="s">
        <v>32</v>
      </c>
      <c r="F589" s="47">
        <f>[1]!BexGetData("DP_2","DL719O2RYNC0Y217V0FVT1R77","17","E","13042111E204","2067141021")</f>
        <v>214944.07</v>
      </c>
      <c r="G589" s="48">
        <f>[1]!BexGetData("DP_2","DL719O2RYNEBZX0HTMQQ0BY0J","17","E","13042111E204","2067141021")</f>
        <v>214944.07</v>
      </c>
      <c r="H589" s="48">
        <f>[1]!BexGetData("DP_2","DL719O2RYNGN1RZRS91K7M4TV","17","E","13042111E204","2067141021")</f>
        <v>214944.07</v>
      </c>
      <c r="I589" s="48">
        <f>[1]!BexGetData("DP_2","DL719O2RYNIY3MZ1QVCEEWBN7","17","E","13042111E204","2067141021")</f>
        <v>0</v>
      </c>
    </row>
    <row r="590" spans="1:9" x14ac:dyDescent="0.2">
      <c r="A590" s="46" t="s">
        <v>32</v>
      </c>
      <c r="B590" s="46" t="s">
        <v>32</v>
      </c>
      <c r="C590" s="46" t="s">
        <v>32</v>
      </c>
      <c r="D590" s="46" t="s">
        <v>32</v>
      </c>
      <c r="E590" s="46" t="s">
        <v>32</v>
      </c>
      <c r="F590" s="47">
        <f>[1]!BexGetData("DP_2","DL719O2RYNC0Y217V0FVT1R77","17","E","13042111E204","2067143011")</f>
        <v>101216.24</v>
      </c>
      <c r="G590" s="48">
        <f>[1]!BexGetData("DP_2","DL719O2RYNEBZX0HTMQQ0BY0J","17","E","13042111E204","2067143011")</f>
        <v>101216.24</v>
      </c>
      <c r="H590" s="48">
        <f>[1]!BexGetData("DP_2","DL719O2RYNGN1RZRS91K7M4TV","17","E","13042111E204","2067143011")</f>
        <v>101216.24</v>
      </c>
      <c r="I590" s="48">
        <f>[1]!BexGetData("DP_2","DL719O2RYNIY3MZ1QVCEEWBN7","17","E","13042111E204","2067143011")</f>
        <v>0</v>
      </c>
    </row>
    <row r="591" spans="1:9" x14ac:dyDescent="0.2">
      <c r="A591" s="46" t="s">
        <v>32</v>
      </c>
      <c r="B591" s="46" t="s">
        <v>32</v>
      </c>
      <c r="C591" s="46" t="s">
        <v>32</v>
      </c>
      <c r="D591" s="46" t="s">
        <v>32</v>
      </c>
      <c r="E591" s="46" t="s">
        <v>32</v>
      </c>
      <c r="F591" s="47">
        <f>[1]!BexGetData("DP_2","DL719O2RYNC0Y217V0FVT1R77","17","E","13042111E204","2067151011")</f>
        <v>153167.64000000001</v>
      </c>
      <c r="G591" s="48">
        <f>[1]!BexGetData("DP_2","DL719O2RYNEBZX0HTMQQ0BY0J","17","E","13042111E204","2067151011")</f>
        <v>153167.64000000001</v>
      </c>
      <c r="H591" s="48">
        <f>[1]!BexGetData("DP_2","DL719O2RYNGN1RZRS91K7M4TV","17","E","13042111E204","2067151011")</f>
        <v>153167.64000000001</v>
      </c>
      <c r="I591" s="48">
        <f>[1]!BexGetData("DP_2","DL719O2RYNIY3MZ1QVCEEWBN7","17","E","13042111E204","2067151011")</f>
        <v>0</v>
      </c>
    </row>
    <row r="592" spans="1:9" x14ac:dyDescent="0.2">
      <c r="A592" s="46" t="s">
        <v>32</v>
      </c>
      <c r="B592" s="46" t="s">
        <v>32</v>
      </c>
      <c r="C592" s="46" t="s">
        <v>32</v>
      </c>
      <c r="D592" s="46" t="s">
        <v>32</v>
      </c>
      <c r="E592" s="46" t="s">
        <v>32</v>
      </c>
      <c r="F592" s="47">
        <f>[1]!BexGetData("DP_2","DL719O2RYNC0Y217V0FVT1R77","17","E","13042111E204","2067154011")</f>
        <v>381052.78</v>
      </c>
      <c r="G592" s="48">
        <f>[1]!BexGetData("DP_2","DL719O2RYNEBZX0HTMQQ0BY0J","17","E","13042111E204","2067154011")</f>
        <v>381052.78</v>
      </c>
      <c r="H592" s="48">
        <f>[1]!BexGetData("DP_2","DL719O2RYNGN1RZRS91K7M4TV","17","E","13042111E204","2067154011")</f>
        <v>381052.78</v>
      </c>
      <c r="I592" s="48">
        <f>[1]!BexGetData("DP_2","DL719O2RYNIY3MZ1QVCEEWBN7","17","E","13042111E204","2067154011")</f>
        <v>0</v>
      </c>
    </row>
    <row r="593" spans="1:9" x14ac:dyDescent="0.2">
      <c r="A593" s="46" t="s">
        <v>32</v>
      </c>
      <c r="B593" s="46" t="s">
        <v>32</v>
      </c>
      <c r="C593" s="46" t="s">
        <v>32</v>
      </c>
      <c r="D593" s="46" t="s">
        <v>32</v>
      </c>
      <c r="E593" s="46" t="s">
        <v>32</v>
      </c>
      <c r="F593" s="47">
        <f>[1]!BexGetData("DP_2","DL719O2RYNC0Y217V0FVT1R77","17","E","13042111E204","2067211011")</f>
        <v>162453.10999999999</v>
      </c>
      <c r="G593" s="48">
        <f>[1]!BexGetData("DP_2","DL719O2RYNEBZX0HTMQQ0BY0J","17","E","13042111E204","2067211011")</f>
        <v>162453.10999999999</v>
      </c>
      <c r="H593" s="48">
        <f>[1]!BexGetData("DP_2","DL719O2RYNGN1RZRS91K7M4TV","17","E","13042111E204","2067211011")</f>
        <v>159625.60999999999</v>
      </c>
      <c r="I593" s="48">
        <f>[1]!BexGetData("DP_2","DL719O2RYNIY3MZ1QVCEEWBN7","17","E","13042111E204","2067211011")</f>
        <v>0</v>
      </c>
    </row>
    <row r="594" spans="1:9" x14ac:dyDescent="0.2">
      <c r="A594" s="46" t="s">
        <v>32</v>
      </c>
      <c r="B594" s="46" t="s">
        <v>32</v>
      </c>
      <c r="C594" s="46" t="s">
        <v>32</v>
      </c>
      <c r="D594" s="46" t="s">
        <v>32</v>
      </c>
      <c r="E594" s="46" t="s">
        <v>32</v>
      </c>
      <c r="F594" s="47">
        <f>[1]!BexGetData("DP_2","DL719O2RYNC0Y217V0FVT1R77","17","E","13042111E204","2067211021")</f>
        <v>8261.98</v>
      </c>
      <c r="G594" s="48">
        <f>[1]!BexGetData("DP_2","DL719O2RYNEBZX0HTMQQ0BY0J","17","E","13042111E204","2067211021")</f>
        <v>8261.98</v>
      </c>
      <c r="H594" s="48">
        <f>[1]!BexGetData("DP_2","DL719O2RYNGN1RZRS91K7M4TV","17","E","13042111E204","2067211021")</f>
        <v>8261.98</v>
      </c>
      <c r="I594" s="48">
        <f>[1]!BexGetData("DP_2","DL719O2RYNIY3MZ1QVCEEWBN7","17","E","13042111E204","2067211021")</f>
        <v>0</v>
      </c>
    </row>
    <row r="595" spans="1:9" x14ac:dyDescent="0.2">
      <c r="A595" s="46" t="s">
        <v>32</v>
      </c>
      <c r="B595" s="46" t="s">
        <v>32</v>
      </c>
      <c r="C595" s="46" t="s">
        <v>32</v>
      </c>
      <c r="D595" s="46" t="s">
        <v>32</v>
      </c>
      <c r="E595" s="46" t="s">
        <v>32</v>
      </c>
      <c r="F595" s="47">
        <f>[1]!BexGetData("DP_2","DL719O2RYNC0Y217V0FVT1R77","17","E","13042111E204","2067212011")</f>
        <v>0</v>
      </c>
      <c r="G595" s="48">
        <f>[1]!BexGetData("DP_2","DL719O2RYNEBZX0HTMQQ0BY0J","17","E","13042111E204","2067212011")</f>
        <v>0</v>
      </c>
      <c r="H595" s="48">
        <f>[1]!BexGetData("DP_2","DL719O2RYNGN1RZRS91K7M4TV","17","E","13042111E204","2067212011")</f>
        <v>0</v>
      </c>
      <c r="I595" s="48">
        <f>[1]!BexGetData("DP_2","DL719O2RYNIY3MZ1QVCEEWBN7","17","E","13042111E204","2067212011")</f>
        <v>0</v>
      </c>
    </row>
    <row r="596" spans="1:9" x14ac:dyDescent="0.2">
      <c r="A596" s="46" t="s">
        <v>32</v>
      </c>
      <c r="B596" s="46" t="s">
        <v>32</v>
      </c>
      <c r="C596" s="46" t="s">
        <v>32</v>
      </c>
      <c r="D596" s="46" t="s">
        <v>32</v>
      </c>
      <c r="E596" s="46" t="s">
        <v>32</v>
      </c>
      <c r="F596" s="47">
        <f>[1]!BexGetData("DP_2","DL719O2RYNC0Y217V0FVT1R77","17","E","13042111E204","2067214011")</f>
        <v>71038.78</v>
      </c>
      <c r="G596" s="48">
        <f>[1]!BexGetData("DP_2","DL719O2RYNEBZX0HTMQQ0BY0J","17","E","13042111E204","2067214011")</f>
        <v>71038.78</v>
      </c>
      <c r="H596" s="48">
        <f>[1]!BexGetData("DP_2","DL719O2RYNGN1RZRS91K7M4TV","17","E","13042111E204","2067214011")</f>
        <v>71038.78</v>
      </c>
      <c r="I596" s="48">
        <f>[1]!BexGetData("DP_2","DL719O2RYNIY3MZ1QVCEEWBN7","17","E","13042111E204","2067214011")</f>
        <v>0</v>
      </c>
    </row>
    <row r="597" spans="1:9" x14ac:dyDescent="0.2">
      <c r="A597" s="46" t="s">
        <v>32</v>
      </c>
      <c r="B597" s="46" t="s">
        <v>32</v>
      </c>
      <c r="C597" s="46" t="s">
        <v>32</v>
      </c>
      <c r="D597" s="46" t="s">
        <v>32</v>
      </c>
      <c r="E597" s="46" t="s">
        <v>32</v>
      </c>
      <c r="F597" s="47">
        <f>[1]!BexGetData("DP_2","DL719O2RYNC0Y217V0FVT1R77","17","E","13042111E204","2067214021")</f>
        <v>0</v>
      </c>
      <c r="G597" s="48">
        <f>[1]!BexGetData("DP_2","DL719O2RYNEBZX0HTMQQ0BY0J","17","E","13042111E204","2067214021")</f>
        <v>0</v>
      </c>
      <c r="H597" s="48">
        <f>[1]!BexGetData("DP_2","DL719O2RYNGN1RZRS91K7M4TV","17","E","13042111E204","2067214021")</f>
        <v>0</v>
      </c>
      <c r="I597" s="48">
        <f>[1]!BexGetData("DP_2","DL719O2RYNIY3MZ1QVCEEWBN7","17","E","13042111E204","2067214021")</f>
        <v>0</v>
      </c>
    </row>
    <row r="598" spans="1:9" x14ac:dyDescent="0.2">
      <c r="A598" s="46" t="s">
        <v>32</v>
      </c>
      <c r="B598" s="46" t="s">
        <v>32</v>
      </c>
      <c r="C598" s="46" t="s">
        <v>32</v>
      </c>
      <c r="D598" s="46" t="s">
        <v>32</v>
      </c>
      <c r="E598" s="46" t="s">
        <v>32</v>
      </c>
      <c r="F598" s="47">
        <f>[1]!BexGetData("DP_2","DL719O2RYNC0Y217V0FVT1R77","17","E","13042111E204","2067216011")</f>
        <v>109400.22</v>
      </c>
      <c r="G598" s="48">
        <f>[1]!BexGetData("DP_2","DL719O2RYNEBZX0HTMQQ0BY0J","17","E","13042111E204","2067216011")</f>
        <v>109400.22</v>
      </c>
      <c r="H598" s="48">
        <f>[1]!BexGetData("DP_2","DL719O2RYNGN1RZRS91K7M4TV","17","E","13042111E204","2067216011")</f>
        <v>109400.14</v>
      </c>
      <c r="I598" s="48">
        <f>[1]!BexGetData("DP_2","DL719O2RYNIY3MZ1QVCEEWBN7","17","E","13042111E204","2067216011")</f>
        <v>0</v>
      </c>
    </row>
    <row r="599" spans="1:9" x14ac:dyDescent="0.2">
      <c r="A599" s="46" t="s">
        <v>32</v>
      </c>
      <c r="B599" s="46" t="s">
        <v>32</v>
      </c>
      <c r="C599" s="46" t="s">
        <v>32</v>
      </c>
      <c r="D599" s="46" t="s">
        <v>32</v>
      </c>
      <c r="E599" s="46" t="s">
        <v>32</v>
      </c>
      <c r="F599" s="47">
        <f>[1]!BexGetData("DP_2","DL719O2RYNC0Y217V0FVT1R77","17","E","13042111E204","2067216031")</f>
        <v>0</v>
      </c>
      <c r="G599" s="48">
        <f>[1]!BexGetData("DP_2","DL719O2RYNEBZX0HTMQQ0BY0J","17","E","13042111E204","2067216031")</f>
        <v>0</v>
      </c>
      <c r="H599" s="48">
        <f>[1]!BexGetData("DP_2","DL719O2RYNGN1RZRS91K7M4TV","17","E","13042111E204","2067216031")</f>
        <v>0</v>
      </c>
      <c r="I599" s="48">
        <f>[1]!BexGetData("DP_2","DL719O2RYNIY3MZ1QVCEEWBN7","17","E","13042111E204","2067216031")</f>
        <v>0</v>
      </c>
    </row>
    <row r="600" spans="1:9" x14ac:dyDescent="0.2">
      <c r="A600" s="46" t="s">
        <v>32</v>
      </c>
      <c r="B600" s="46" t="s">
        <v>32</v>
      </c>
      <c r="C600" s="46" t="s">
        <v>32</v>
      </c>
      <c r="D600" s="46" t="s">
        <v>32</v>
      </c>
      <c r="E600" s="46" t="s">
        <v>32</v>
      </c>
      <c r="F600" s="47">
        <f>[1]!BexGetData("DP_2","DL719O2RYNC0Y217V0FVT1R77","17","E","13042111E204","2067217011")</f>
        <v>1130.21</v>
      </c>
      <c r="G600" s="48">
        <f>[1]!BexGetData("DP_2","DL719O2RYNEBZX0HTMQQ0BY0J","17","E","13042111E204","2067217011")</f>
        <v>1130.21</v>
      </c>
      <c r="H600" s="48">
        <f>[1]!BexGetData("DP_2","DL719O2RYNGN1RZRS91K7M4TV","17","E","13042111E204","2067217011")</f>
        <v>1130.21</v>
      </c>
      <c r="I600" s="48">
        <f>[1]!BexGetData("DP_2","DL719O2RYNIY3MZ1QVCEEWBN7","17","E","13042111E204","2067217011")</f>
        <v>0</v>
      </c>
    </row>
    <row r="601" spans="1:9" x14ac:dyDescent="0.2">
      <c r="A601" s="46" t="s">
        <v>32</v>
      </c>
      <c r="B601" s="46" t="s">
        <v>32</v>
      </c>
      <c r="C601" s="46" t="s">
        <v>32</v>
      </c>
      <c r="D601" s="46" t="s">
        <v>32</v>
      </c>
      <c r="E601" s="46" t="s">
        <v>32</v>
      </c>
      <c r="F601" s="47">
        <f>[1]!BexGetData("DP_2","DL719O2RYNC0Y217V0FVT1R77","17","E","13042111E204","2067221011")</f>
        <v>17972</v>
      </c>
      <c r="G601" s="48">
        <f>[1]!BexGetData("DP_2","DL719O2RYNEBZX0HTMQQ0BY0J","17","E","13042111E204","2067221011")</f>
        <v>17972</v>
      </c>
      <c r="H601" s="48">
        <f>[1]!BexGetData("DP_2","DL719O2RYNGN1RZRS91K7M4TV","17","E","13042111E204","2067221011")</f>
        <v>17972</v>
      </c>
      <c r="I601" s="48">
        <f>[1]!BexGetData("DP_2","DL719O2RYNIY3MZ1QVCEEWBN7","17","E","13042111E204","2067221011")</f>
        <v>0</v>
      </c>
    </row>
    <row r="602" spans="1:9" x14ac:dyDescent="0.2">
      <c r="A602" s="46" t="s">
        <v>32</v>
      </c>
      <c r="B602" s="46" t="s">
        <v>32</v>
      </c>
      <c r="C602" s="46" t="s">
        <v>32</v>
      </c>
      <c r="D602" s="46" t="s">
        <v>32</v>
      </c>
      <c r="E602" s="46" t="s">
        <v>32</v>
      </c>
      <c r="F602" s="47">
        <f>[1]!BexGetData("DP_2","DL719O2RYNC0Y217V0FVT1R77","17","E","13042111E204","2067221021")</f>
        <v>18905.439999999999</v>
      </c>
      <c r="G602" s="48">
        <f>[1]!BexGetData("DP_2","DL719O2RYNEBZX0HTMQQ0BY0J","17","E","13042111E204","2067221021")</f>
        <v>18905.439999999999</v>
      </c>
      <c r="H602" s="48">
        <f>[1]!BexGetData("DP_2","DL719O2RYNGN1RZRS91K7M4TV","17","E","13042111E204","2067221021")</f>
        <v>18905.439999999999</v>
      </c>
      <c r="I602" s="48">
        <f>[1]!BexGetData("DP_2","DL719O2RYNIY3MZ1QVCEEWBN7","17","E","13042111E204","2067221021")</f>
        <v>0</v>
      </c>
    </row>
    <row r="603" spans="1:9" x14ac:dyDescent="0.2">
      <c r="A603" s="46" t="s">
        <v>32</v>
      </c>
      <c r="B603" s="46" t="s">
        <v>32</v>
      </c>
      <c r="C603" s="46" t="s">
        <v>32</v>
      </c>
      <c r="D603" s="46" t="s">
        <v>32</v>
      </c>
      <c r="E603" s="46" t="s">
        <v>32</v>
      </c>
      <c r="F603" s="47">
        <f>[1]!BexGetData("DP_2","DL719O2RYNC0Y217V0FVT1R77","17","E","13042111E204","2067241011")</f>
        <v>231634.6</v>
      </c>
      <c r="G603" s="48">
        <f>[1]!BexGetData("DP_2","DL719O2RYNEBZX0HTMQQ0BY0J","17","E","13042111E204","2067241011")</f>
        <v>231634.6</v>
      </c>
      <c r="H603" s="48">
        <f>[1]!BexGetData("DP_2","DL719O2RYNGN1RZRS91K7M4TV","17","E","13042111E204","2067241011")</f>
        <v>0</v>
      </c>
      <c r="I603" s="48">
        <f>[1]!BexGetData("DP_2","DL719O2RYNIY3MZ1QVCEEWBN7","17","E","13042111E204","2067241011")</f>
        <v>0</v>
      </c>
    </row>
    <row r="604" spans="1:9" x14ac:dyDescent="0.2">
      <c r="A604" s="46" t="s">
        <v>32</v>
      </c>
      <c r="B604" s="46" t="s">
        <v>32</v>
      </c>
      <c r="C604" s="46" t="s">
        <v>32</v>
      </c>
      <c r="D604" s="46" t="s">
        <v>32</v>
      </c>
      <c r="E604" s="46" t="s">
        <v>32</v>
      </c>
      <c r="F604" s="47">
        <f>[1]!BexGetData("DP_2","DL719O2RYNC0Y217V0FVT1R77","17","E","13042111E204","2067242011")</f>
        <v>498799.34</v>
      </c>
      <c r="G604" s="48">
        <f>[1]!BexGetData("DP_2","DL719O2RYNEBZX0HTMQQ0BY0J","17","E","13042111E204","2067242011")</f>
        <v>498799.34</v>
      </c>
      <c r="H604" s="48">
        <f>[1]!BexGetData("DP_2","DL719O2RYNGN1RZRS91K7M4TV","17","E","13042111E204","2067242011")</f>
        <v>281799.65000000002</v>
      </c>
      <c r="I604" s="48">
        <f>[1]!BexGetData("DP_2","DL719O2RYNIY3MZ1QVCEEWBN7","17","E","13042111E204","2067242011")</f>
        <v>0</v>
      </c>
    </row>
    <row r="605" spans="1:9" x14ac:dyDescent="0.2">
      <c r="A605" s="46" t="s">
        <v>32</v>
      </c>
      <c r="B605" s="46" t="s">
        <v>32</v>
      </c>
      <c r="C605" s="46" t="s">
        <v>32</v>
      </c>
      <c r="D605" s="46" t="s">
        <v>32</v>
      </c>
      <c r="E605" s="46" t="s">
        <v>32</v>
      </c>
      <c r="F605" s="47">
        <f>[1]!BexGetData("DP_2","DL719O2RYNC0Y217V0FVT1R77","17","E","13042111E204","2067243011")</f>
        <v>0</v>
      </c>
      <c r="G605" s="48">
        <f>[1]!BexGetData("DP_2","DL719O2RYNEBZX0HTMQQ0BY0J","17","E","13042111E204","2067243011")</f>
        <v>0</v>
      </c>
      <c r="H605" s="48">
        <f>[1]!BexGetData("DP_2","DL719O2RYNGN1RZRS91K7M4TV","17","E","13042111E204","2067243011")</f>
        <v>0</v>
      </c>
      <c r="I605" s="48">
        <f>[1]!BexGetData("DP_2","DL719O2RYNIY3MZ1QVCEEWBN7","17","E","13042111E204","2067243011")</f>
        <v>0</v>
      </c>
    </row>
    <row r="606" spans="1:9" x14ac:dyDescent="0.2">
      <c r="A606" s="46" t="s">
        <v>32</v>
      </c>
      <c r="B606" s="46" t="s">
        <v>32</v>
      </c>
      <c r="C606" s="46" t="s">
        <v>32</v>
      </c>
      <c r="D606" s="46" t="s">
        <v>32</v>
      </c>
      <c r="E606" s="46" t="s">
        <v>32</v>
      </c>
      <c r="F606" s="47">
        <f>[1]!BexGetData("DP_2","DL719O2RYNC0Y217V0FVT1R77","17","E","13042111E204","2067244011")</f>
        <v>3915</v>
      </c>
      <c r="G606" s="48">
        <f>[1]!BexGetData("DP_2","DL719O2RYNEBZX0HTMQQ0BY0J","17","E","13042111E204","2067244011")</f>
        <v>3915</v>
      </c>
      <c r="H606" s="48">
        <f>[1]!BexGetData("DP_2","DL719O2RYNGN1RZRS91K7M4TV","17","E","13042111E204","2067244011")</f>
        <v>3915</v>
      </c>
      <c r="I606" s="48">
        <f>[1]!BexGetData("DP_2","DL719O2RYNIY3MZ1QVCEEWBN7","17","E","13042111E204","2067244011")</f>
        <v>0</v>
      </c>
    </row>
    <row r="607" spans="1:9" x14ac:dyDescent="0.2">
      <c r="A607" s="46" t="s">
        <v>32</v>
      </c>
      <c r="B607" s="46" t="s">
        <v>32</v>
      </c>
      <c r="C607" s="46" t="s">
        <v>32</v>
      </c>
      <c r="D607" s="46" t="s">
        <v>32</v>
      </c>
      <c r="E607" s="46" t="s">
        <v>32</v>
      </c>
      <c r="F607" s="47">
        <f>[1]!BexGetData("DP_2","DL719O2RYNC0Y217V0FVT1R77","17","E","13042111E204","2067246011")</f>
        <v>10499.45</v>
      </c>
      <c r="G607" s="48">
        <f>[1]!BexGetData("DP_2","DL719O2RYNEBZX0HTMQQ0BY0J","17","E","13042111E204","2067246011")</f>
        <v>10499.45</v>
      </c>
      <c r="H607" s="48">
        <f>[1]!BexGetData("DP_2","DL719O2RYNGN1RZRS91K7M4TV","17","E","13042111E204","2067246011")</f>
        <v>10499.45</v>
      </c>
      <c r="I607" s="48">
        <f>[1]!BexGetData("DP_2","DL719O2RYNIY3MZ1QVCEEWBN7","17","E","13042111E204","2067246011")</f>
        <v>0</v>
      </c>
    </row>
    <row r="608" spans="1:9" x14ac:dyDescent="0.2">
      <c r="A608" s="46" t="s">
        <v>32</v>
      </c>
      <c r="B608" s="46" t="s">
        <v>32</v>
      </c>
      <c r="C608" s="46" t="s">
        <v>32</v>
      </c>
      <c r="D608" s="46" t="s">
        <v>32</v>
      </c>
      <c r="E608" s="46" t="s">
        <v>32</v>
      </c>
      <c r="F608" s="47">
        <f>[1]!BexGetData("DP_2","DL719O2RYNC0Y217V0FVT1R77","17","E","13042111E204","2067247011")</f>
        <v>22518.73</v>
      </c>
      <c r="G608" s="48">
        <f>[1]!BexGetData("DP_2","DL719O2RYNEBZX0HTMQQ0BY0J","17","E","13042111E204","2067247011")</f>
        <v>22518.73</v>
      </c>
      <c r="H608" s="48">
        <f>[1]!BexGetData("DP_2","DL719O2RYNGN1RZRS91K7M4TV","17","E","13042111E204","2067247011")</f>
        <v>22518.73</v>
      </c>
      <c r="I608" s="48">
        <f>[1]!BexGetData("DP_2","DL719O2RYNIY3MZ1QVCEEWBN7","17","E","13042111E204","2067247011")</f>
        <v>0</v>
      </c>
    </row>
    <row r="609" spans="1:9" x14ac:dyDescent="0.2">
      <c r="A609" s="46" t="s">
        <v>32</v>
      </c>
      <c r="B609" s="46" t="s">
        <v>32</v>
      </c>
      <c r="C609" s="46" t="s">
        <v>32</v>
      </c>
      <c r="D609" s="46" t="s">
        <v>32</v>
      </c>
      <c r="E609" s="46" t="s">
        <v>32</v>
      </c>
      <c r="F609" s="47">
        <f>[1]!BexGetData("DP_2","DL719O2RYNC0Y217V0FVT1R77","17","E","13042111E204","2067249011")</f>
        <v>90290.33</v>
      </c>
      <c r="G609" s="48">
        <f>[1]!BexGetData("DP_2","DL719O2RYNEBZX0HTMQQ0BY0J","17","E","13042111E204","2067249011")</f>
        <v>90290.33</v>
      </c>
      <c r="H609" s="48">
        <f>[1]!BexGetData("DP_2","DL719O2RYNGN1RZRS91K7M4TV","17","E","13042111E204","2067249011")</f>
        <v>90290.33</v>
      </c>
      <c r="I609" s="48">
        <f>[1]!BexGetData("DP_2","DL719O2RYNIY3MZ1QVCEEWBN7","17","E","13042111E204","2067249011")</f>
        <v>0</v>
      </c>
    </row>
    <row r="610" spans="1:9" x14ac:dyDescent="0.2">
      <c r="A610" s="46" t="s">
        <v>32</v>
      </c>
      <c r="B610" s="46" t="s">
        <v>32</v>
      </c>
      <c r="C610" s="46" t="s">
        <v>32</v>
      </c>
      <c r="D610" s="46" t="s">
        <v>32</v>
      </c>
      <c r="E610" s="46" t="s">
        <v>32</v>
      </c>
      <c r="F610" s="47">
        <f>[1]!BexGetData("DP_2","DL719O2RYNC0Y217V0FVT1R77","17","E","13042111E204","2067253021")</f>
        <v>0</v>
      </c>
      <c r="G610" s="48">
        <f>[1]!BexGetData("DP_2","DL719O2RYNEBZX0HTMQQ0BY0J","17","E","13042111E204","2067253021")</f>
        <v>0</v>
      </c>
      <c r="H610" s="48">
        <f>[1]!BexGetData("DP_2","DL719O2RYNGN1RZRS91K7M4TV","17","E","13042111E204","2067253021")</f>
        <v>0</v>
      </c>
      <c r="I610" s="48">
        <f>[1]!BexGetData("DP_2","DL719O2RYNIY3MZ1QVCEEWBN7","17","E","13042111E204","2067253021")</f>
        <v>0</v>
      </c>
    </row>
    <row r="611" spans="1:9" x14ac:dyDescent="0.2">
      <c r="A611" s="46" t="s">
        <v>32</v>
      </c>
      <c r="B611" s="46" t="s">
        <v>32</v>
      </c>
      <c r="C611" s="46" t="s">
        <v>32</v>
      </c>
      <c r="D611" s="46" t="s">
        <v>32</v>
      </c>
      <c r="E611" s="46" t="s">
        <v>32</v>
      </c>
      <c r="F611" s="47">
        <f>[1]!BexGetData("DP_2","DL719O2RYNC0Y217V0FVT1R77","17","E","13042111E204","2067254021")</f>
        <v>0</v>
      </c>
      <c r="G611" s="48">
        <f>[1]!BexGetData("DP_2","DL719O2RYNEBZX0HTMQQ0BY0J","17","E","13042111E204","2067254021")</f>
        <v>0</v>
      </c>
      <c r="H611" s="48">
        <f>[1]!BexGetData("DP_2","DL719O2RYNGN1RZRS91K7M4TV","17","E","13042111E204","2067254021")</f>
        <v>0</v>
      </c>
      <c r="I611" s="48">
        <f>[1]!BexGetData("DP_2","DL719O2RYNIY3MZ1QVCEEWBN7","17","E","13042111E204","2067254021")</f>
        <v>0</v>
      </c>
    </row>
    <row r="612" spans="1:9" x14ac:dyDescent="0.2">
      <c r="A612" s="46" t="s">
        <v>32</v>
      </c>
      <c r="B612" s="46" t="s">
        <v>32</v>
      </c>
      <c r="C612" s="46" t="s">
        <v>32</v>
      </c>
      <c r="D612" s="46" t="s">
        <v>32</v>
      </c>
      <c r="E612" s="46" t="s">
        <v>32</v>
      </c>
      <c r="F612" s="47">
        <f>[1]!BexGetData("DP_2","DL719O2RYNC0Y217V0FVT1R77","17","E","13042111E204","2067256011")</f>
        <v>6281.21</v>
      </c>
      <c r="G612" s="48">
        <f>[1]!BexGetData("DP_2","DL719O2RYNEBZX0HTMQQ0BY0J","17","E","13042111E204","2067256011")</f>
        <v>6281.21</v>
      </c>
      <c r="H612" s="48">
        <f>[1]!BexGetData("DP_2","DL719O2RYNGN1RZRS91K7M4TV","17","E","13042111E204","2067256011")</f>
        <v>6281.21</v>
      </c>
      <c r="I612" s="48">
        <f>[1]!BexGetData("DP_2","DL719O2RYNIY3MZ1QVCEEWBN7","17","E","13042111E204","2067256011")</f>
        <v>0</v>
      </c>
    </row>
    <row r="613" spans="1:9" x14ac:dyDescent="0.2">
      <c r="A613" s="46" t="s">
        <v>32</v>
      </c>
      <c r="B613" s="46" t="s">
        <v>32</v>
      </c>
      <c r="C613" s="46" t="s">
        <v>32</v>
      </c>
      <c r="D613" s="46" t="s">
        <v>32</v>
      </c>
      <c r="E613" s="46" t="s">
        <v>32</v>
      </c>
      <c r="F613" s="47">
        <f>[1]!BexGetData("DP_2","DL719O2RYNC0Y217V0FVT1R77","17","E","13042111E204","2067261011")</f>
        <v>312.60000000000002</v>
      </c>
      <c r="G613" s="48">
        <f>[1]!BexGetData("DP_2","DL719O2RYNEBZX0HTMQQ0BY0J","17","E","13042111E204","2067261011")</f>
        <v>312.60000000000002</v>
      </c>
      <c r="H613" s="48">
        <f>[1]!BexGetData("DP_2","DL719O2RYNGN1RZRS91K7M4TV","17","E","13042111E204","2067261011")</f>
        <v>312.60000000000002</v>
      </c>
      <c r="I613" s="48">
        <f>[1]!BexGetData("DP_2","DL719O2RYNIY3MZ1QVCEEWBN7","17","E","13042111E204","2067261011")</f>
        <v>0</v>
      </c>
    </row>
    <row r="614" spans="1:9" x14ac:dyDescent="0.2">
      <c r="A614" s="46" t="s">
        <v>32</v>
      </c>
      <c r="B614" s="46" t="s">
        <v>32</v>
      </c>
      <c r="C614" s="46" t="s">
        <v>32</v>
      </c>
      <c r="D614" s="46" t="s">
        <v>32</v>
      </c>
      <c r="E614" s="46" t="s">
        <v>32</v>
      </c>
      <c r="F614" s="47">
        <f>[1]!BexGetData("DP_2","DL719O2RYNC0Y217V0FVT1R77","17","E","13042111E204","2067273011")</f>
        <v>19024</v>
      </c>
      <c r="G614" s="48">
        <f>[1]!BexGetData("DP_2","DL719O2RYNEBZX0HTMQQ0BY0J","17","E","13042111E204","2067273011")</f>
        <v>19024</v>
      </c>
      <c r="H614" s="48">
        <f>[1]!BexGetData("DP_2","DL719O2RYNGN1RZRS91K7M4TV","17","E","13042111E204","2067273011")</f>
        <v>0</v>
      </c>
      <c r="I614" s="48">
        <f>[1]!BexGetData("DP_2","DL719O2RYNIY3MZ1QVCEEWBN7","17","E","13042111E204","2067273011")</f>
        <v>0</v>
      </c>
    </row>
    <row r="615" spans="1:9" x14ac:dyDescent="0.2">
      <c r="A615" s="46" t="s">
        <v>32</v>
      </c>
      <c r="B615" s="46" t="s">
        <v>32</v>
      </c>
      <c r="C615" s="46" t="s">
        <v>32</v>
      </c>
      <c r="D615" s="46" t="s">
        <v>32</v>
      </c>
      <c r="E615" s="46" t="s">
        <v>32</v>
      </c>
      <c r="F615" s="47">
        <f>[1]!BexGetData("DP_2","DL719O2RYNC0Y217V0FVT1R77","17","E","13042111E204","2067291011")</f>
        <v>15670.89</v>
      </c>
      <c r="G615" s="48">
        <f>[1]!BexGetData("DP_2","DL719O2RYNEBZX0HTMQQ0BY0J","17","E","13042111E204","2067291011")</f>
        <v>15670.89</v>
      </c>
      <c r="H615" s="48">
        <f>[1]!BexGetData("DP_2","DL719O2RYNGN1RZRS91K7M4TV","17","E","13042111E204","2067291011")</f>
        <v>15670.89</v>
      </c>
      <c r="I615" s="48">
        <f>[1]!BexGetData("DP_2","DL719O2RYNIY3MZ1QVCEEWBN7","17","E","13042111E204","2067291011")</f>
        <v>0</v>
      </c>
    </row>
    <row r="616" spans="1:9" x14ac:dyDescent="0.2">
      <c r="A616" s="46" t="s">
        <v>32</v>
      </c>
      <c r="B616" s="46" t="s">
        <v>32</v>
      </c>
      <c r="C616" s="46" t="s">
        <v>32</v>
      </c>
      <c r="D616" s="46" t="s">
        <v>32</v>
      </c>
      <c r="E616" s="46" t="s">
        <v>32</v>
      </c>
      <c r="F616" s="47">
        <f>[1]!BexGetData("DP_2","DL719O2RYNC0Y217V0FVT1R77","17","E","13042111E204","2067292011")</f>
        <v>1250.48</v>
      </c>
      <c r="G616" s="48">
        <f>[1]!BexGetData("DP_2","DL719O2RYNEBZX0HTMQQ0BY0J","17","E","13042111E204","2067292011")</f>
        <v>1250.48</v>
      </c>
      <c r="H616" s="48">
        <f>[1]!BexGetData("DP_2","DL719O2RYNGN1RZRS91K7M4TV","17","E","13042111E204","2067292011")</f>
        <v>1250.48</v>
      </c>
      <c r="I616" s="48">
        <f>[1]!BexGetData("DP_2","DL719O2RYNIY3MZ1QVCEEWBN7","17","E","13042111E204","2067292011")</f>
        <v>0</v>
      </c>
    </row>
    <row r="617" spans="1:9" x14ac:dyDescent="0.2">
      <c r="A617" s="46" t="s">
        <v>32</v>
      </c>
      <c r="B617" s="46" t="s">
        <v>32</v>
      </c>
      <c r="C617" s="46" t="s">
        <v>32</v>
      </c>
      <c r="D617" s="46" t="s">
        <v>32</v>
      </c>
      <c r="E617" s="46" t="s">
        <v>32</v>
      </c>
      <c r="F617" s="47">
        <f>[1]!BexGetData("DP_2","DL719O2RYNC0Y217V0FVT1R77","17","E","13042111E204","2067298071")</f>
        <v>924.99</v>
      </c>
      <c r="G617" s="48">
        <f>[1]!BexGetData("DP_2","DL719O2RYNEBZX0HTMQQ0BY0J","17","E","13042111E204","2067298071")</f>
        <v>924.99</v>
      </c>
      <c r="H617" s="48">
        <f>[1]!BexGetData("DP_2","DL719O2RYNGN1RZRS91K7M4TV","17","E","13042111E204","2067298071")</f>
        <v>924.99</v>
      </c>
      <c r="I617" s="48">
        <f>[1]!BexGetData("DP_2","DL719O2RYNIY3MZ1QVCEEWBN7","17","E","13042111E204","2067298071")</f>
        <v>0</v>
      </c>
    </row>
    <row r="618" spans="1:9" x14ac:dyDescent="0.2">
      <c r="A618" s="46" t="s">
        <v>32</v>
      </c>
      <c r="B618" s="46" t="s">
        <v>32</v>
      </c>
      <c r="C618" s="46" t="s">
        <v>32</v>
      </c>
      <c r="D618" s="46" t="s">
        <v>32</v>
      </c>
      <c r="E618" s="46" t="s">
        <v>32</v>
      </c>
      <c r="F618" s="47">
        <f>[1]!BexGetData("DP_2","DL719O2RYNC0Y217V0FVT1R77","17","E","13042111E204","2067299011")</f>
        <v>138.06</v>
      </c>
      <c r="G618" s="48">
        <f>[1]!BexGetData("DP_2","DL719O2RYNEBZX0HTMQQ0BY0J","17","E","13042111E204","2067299011")</f>
        <v>138.06</v>
      </c>
      <c r="H618" s="48">
        <f>[1]!BexGetData("DP_2","DL719O2RYNGN1RZRS91K7M4TV","17","E","13042111E204","2067299011")</f>
        <v>138.06</v>
      </c>
      <c r="I618" s="48">
        <f>[1]!BexGetData("DP_2","DL719O2RYNIY3MZ1QVCEEWBN7","17","E","13042111E204","2067299011")</f>
        <v>0</v>
      </c>
    </row>
    <row r="619" spans="1:9" x14ac:dyDescent="0.2">
      <c r="A619" s="46" t="s">
        <v>32</v>
      </c>
      <c r="B619" s="46" t="s">
        <v>32</v>
      </c>
      <c r="C619" s="46" t="s">
        <v>32</v>
      </c>
      <c r="D619" s="46" t="s">
        <v>32</v>
      </c>
      <c r="E619" s="46" t="s">
        <v>32</v>
      </c>
      <c r="F619" s="47">
        <f>[1]!BexGetData("DP_2","DL719O2RYNC0Y217V0FVT1R77","17","E","13042111E204","2067314011")</f>
        <v>3088.07</v>
      </c>
      <c r="G619" s="48">
        <f>[1]!BexGetData("DP_2","DL719O2RYNEBZX0HTMQQ0BY0J","17","E","13042111E204","2067314011")</f>
        <v>3088.07</v>
      </c>
      <c r="H619" s="48">
        <f>[1]!BexGetData("DP_2","DL719O2RYNGN1RZRS91K7M4TV","17","E","13042111E204","2067314011")</f>
        <v>3088.07</v>
      </c>
      <c r="I619" s="48">
        <f>[1]!BexGetData("DP_2","DL719O2RYNIY3MZ1QVCEEWBN7","17","E","13042111E204","2067314011")</f>
        <v>0</v>
      </c>
    </row>
    <row r="620" spans="1:9" x14ac:dyDescent="0.2">
      <c r="A620" s="46" t="s">
        <v>32</v>
      </c>
      <c r="B620" s="46" t="s">
        <v>32</v>
      </c>
      <c r="C620" s="46" t="s">
        <v>32</v>
      </c>
      <c r="D620" s="46" t="s">
        <v>32</v>
      </c>
      <c r="E620" s="46" t="s">
        <v>32</v>
      </c>
      <c r="F620" s="47">
        <f>[1]!BexGetData("DP_2","DL719O2RYNC0Y217V0FVT1R77","17","E","13042111E204","2067315011")</f>
        <v>0</v>
      </c>
      <c r="G620" s="48">
        <f>[1]!BexGetData("DP_2","DL719O2RYNEBZX0HTMQQ0BY0J","17","E","13042111E204","2067315011")</f>
        <v>0</v>
      </c>
      <c r="H620" s="48">
        <f>[1]!BexGetData("DP_2","DL719O2RYNGN1RZRS91K7M4TV","17","E","13042111E204","2067315011")</f>
        <v>0</v>
      </c>
      <c r="I620" s="48">
        <f>[1]!BexGetData("DP_2","DL719O2RYNIY3MZ1QVCEEWBN7","17","E","13042111E204","2067315011")</f>
        <v>0</v>
      </c>
    </row>
    <row r="621" spans="1:9" x14ac:dyDescent="0.2">
      <c r="A621" s="46" t="s">
        <v>32</v>
      </c>
      <c r="B621" s="46" t="s">
        <v>32</v>
      </c>
      <c r="C621" s="46" t="s">
        <v>32</v>
      </c>
      <c r="D621" s="46" t="s">
        <v>32</v>
      </c>
      <c r="E621" s="46" t="s">
        <v>32</v>
      </c>
      <c r="F621" s="47">
        <f>[1]!BexGetData("DP_2","DL719O2RYNC0Y217V0FVT1R77","17","E","13042111E204","2067322011")</f>
        <v>0</v>
      </c>
      <c r="G621" s="48">
        <f>[1]!BexGetData("DP_2","DL719O2RYNEBZX0HTMQQ0BY0J","17","E","13042111E204","2067322011")</f>
        <v>0</v>
      </c>
      <c r="H621" s="48">
        <f>[1]!BexGetData("DP_2","DL719O2RYNGN1RZRS91K7M4TV","17","E","13042111E204","2067322011")</f>
        <v>0</v>
      </c>
      <c r="I621" s="48">
        <f>[1]!BexGetData("DP_2","DL719O2RYNIY3MZ1QVCEEWBN7","17","E","13042111E204","2067322011")</f>
        <v>0</v>
      </c>
    </row>
    <row r="622" spans="1:9" x14ac:dyDescent="0.2">
      <c r="A622" s="46" t="s">
        <v>32</v>
      </c>
      <c r="B622" s="46" t="s">
        <v>32</v>
      </c>
      <c r="C622" s="46" t="s">
        <v>32</v>
      </c>
      <c r="D622" s="46" t="s">
        <v>32</v>
      </c>
      <c r="E622" s="46" t="s">
        <v>32</v>
      </c>
      <c r="F622" s="47">
        <f>[1]!BexGetData("DP_2","DL719O2RYNC0Y217V0FVT1R77","17","E","13042111E204","2067326011")</f>
        <v>0</v>
      </c>
      <c r="G622" s="48">
        <f>[1]!BexGetData("DP_2","DL719O2RYNEBZX0HTMQQ0BY0J","17","E","13042111E204","2067326011")</f>
        <v>0</v>
      </c>
      <c r="H622" s="48">
        <f>[1]!BexGetData("DP_2","DL719O2RYNGN1RZRS91K7M4TV","17","E","13042111E204","2067326011")</f>
        <v>0</v>
      </c>
      <c r="I622" s="48">
        <f>[1]!BexGetData("DP_2","DL719O2RYNIY3MZ1QVCEEWBN7","17","E","13042111E204","2067326011")</f>
        <v>0</v>
      </c>
    </row>
    <row r="623" spans="1:9" x14ac:dyDescent="0.2">
      <c r="A623" s="46" t="s">
        <v>32</v>
      </c>
      <c r="B623" s="46" t="s">
        <v>32</v>
      </c>
      <c r="C623" s="46" t="s">
        <v>32</v>
      </c>
      <c r="D623" s="46" t="s">
        <v>32</v>
      </c>
      <c r="E623" s="46" t="s">
        <v>32</v>
      </c>
      <c r="F623" s="47">
        <f>[1]!BexGetData("DP_2","DL719O2RYNC0Y217V0FVT1R77","17","E","13042111E204","2067329011")</f>
        <v>172551.16</v>
      </c>
      <c r="G623" s="48">
        <f>[1]!BexGetData("DP_2","DL719O2RYNEBZX0HTMQQ0BY0J","17","E","13042111E204","2067329011")</f>
        <v>172551.16</v>
      </c>
      <c r="H623" s="48">
        <f>[1]!BexGetData("DP_2","DL719O2RYNGN1RZRS91K7M4TV","17","E","13042111E204","2067329011")</f>
        <v>69327.399999999994</v>
      </c>
      <c r="I623" s="48">
        <f>[1]!BexGetData("DP_2","DL719O2RYNIY3MZ1QVCEEWBN7","17","E","13042111E204","2067329011")</f>
        <v>0</v>
      </c>
    </row>
    <row r="624" spans="1:9" x14ac:dyDescent="0.2">
      <c r="A624" s="46" t="s">
        <v>32</v>
      </c>
      <c r="B624" s="46" t="s">
        <v>32</v>
      </c>
      <c r="C624" s="46" t="s">
        <v>32</v>
      </c>
      <c r="D624" s="46" t="s">
        <v>32</v>
      </c>
      <c r="E624" s="46" t="s">
        <v>32</v>
      </c>
      <c r="F624" s="47">
        <f>[1]!BexGetData("DP_2","DL719O2RYNC0Y217V0FVT1R77","17","E","13042111E204","2067332011")</f>
        <v>0</v>
      </c>
      <c r="G624" s="48">
        <f>[1]!BexGetData("DP_2","DL719O2RYNEBZX0HTMQQ0BY0J","17","E","13042111E204","2067332011")</f>
        <v>0</v>
      </c>
      <c r="H624" s="48">
        <f>[1]!BexGetData("DP_2","DL719O2RYNGN1RZRS91K7M4TV","17","E","13042111E204","2067332011")</f>
        <v>0</v>
      </c>
      <c r="I624" s="48">
        <f>[1]!BexGetData("DP_2","DL719O2RYNIY3MZ1QVCEEWBN7","17","E","13042111E204","2067332011")</f>
        <v>0</v>
      </c>
    </row>
    <row r="625" spans="1:9" x14ac:dyDescent="0.2">
      <c r="A625" s="46" t="s">
        <v>32</v>
      </c>
      <c r="B625" s="46" t="s">
        <v>32</v>
      </c>
      <c r="C625" s="46" t="s">
        <v>32</v>
      </c>
      <c r="D625" s="46" t="s">
        <v>32</v>
      </c>
      <c r="E625" s="46" t="s">
        <v>32</v>
      </c>
      <c r="F625" s="47">
        <f>[1]!BexGetData("DP_2","DL719O2RYNC0Y217V0FVT1R77","17","E","13042111E204","2067336011")</f>
        <v>52400.959999999999</v>
      </c>
      <c r="G625" s="48">
        <f>[1]!BexGetData("DP_2","DL719O2RYNEBZX0HTMQQ0BY0J","17","E","13042111E204","2067336011")</f>
        <v>52400.959999999999</v>
      </c>
      <c r="H625" s="48">
        <f>[1]!BexGetData("DP_2","DL719O2RYNGN1RZRS91K7M4TV","17","E","13042111E204","2067336011")</f>
        <v>49262</v>
      </c>
      <c r="I625" s="48">
        <f>[1]!BexGetData("DP_2","DL719O2RYNIY3MZ1QVCEEWBN7","17","E","13042111E204","2067336011")</f>
        <v>0</v>
      </c>
    </row>
    <row r="626" spans="1:9" x14ac:dyDescent="0.2">
      <c r="A626" s="46" t="s">
        <v>32</v>
      </c>
      <c r="B626" s="46" t="s">
        <v>32</v>
      </c>
      <c r="C626" s="46" t="s">
        <v>32</v>
      </c>
      <c r="D626" s="46" t="s">
        <v>32</v>
      </c>
      <c r="E626" s="46" t="s">
        <v>32</v>
      </c>
      <c r="F626" s="47">
        <f>[1]!BexGetData("DP_2","DL719O2RYNC0Y217V0FVT1R77","17","E","13042111E204","2067347011")</f>
        <v>1160</v>
      </c>
      <c r="G626" s="48">
        <f>[1]!BexGetData("DP_2","DL719O2RYNEBZX0HTMQQ0BY0J","17","E","13042111E204","2067347011")</f>
        <v>1160</v>
      </c>
      <c r="H626" s="48">
        <f>[1]!BexGetData("DP_2","DL719O2RYNGN1RZRS91K7M4TV","17","E","13042111E204","2067347011")</f>
        <v>1160</v>
      </c>
      <c r="I626" s="48">
        <f>[1]!BexGetData("DP_2","DL719O2RYNIY3MZ1QVCEEWBN7","17","E","13042111E204","2067347011")</f>
        <v>0</v>
      </c>
    </row>
    <row r="627" spans="1:9" x14ac:dyDescent="0.2">
      <c r="A627" s="46" t="s">
        <v>32</v>
      </c>
      <c r="B627" s="46" t="s">
        <v>32</v>
      </c>
      <c r="C627" s="46" t="s">
        <v>32</v>
      </c>
      <c r="D627" s="46" t="s">
        <v>32</v>
      </c>
      <c r="E627" s="46" t="s">
        <v>32</v>
      </c>
      <c r="F627" s="47">
        <f>[1]!BexGetData("DP_2","DL719O2RYNC0Y217V0FVT1R77","17","E","13042111E204","2067351011")</f>
        <v>3248</v>
      </c>
      <c r="G627" s="48">
        <f>[1]!BexGetData("DP_2","DL719O2RYNEBZX0HTMQQ0BY0J","17","E","13042111E204","2067351011")</f>
        <v>3248</v>
      </c>
      <c r="H627" s="48">
        <f>[1]!BexGetData("DP_2","DL719O2RYNGN1RZRS91K7M4TV","17","E","13042111E204","2067351011")</f>
        <v>3248</v>
      </c>
      <c r="I627" s="48">
        <f>[1]!BexGetData("DP_2","DL719O2RYNIY3MZ1QVCEEWBN7","17","E","13042111E204","2067351011")</f>
        <v>0</v>
      </c>
    </row>
    <row r="628" spans="1:9" x14ac:dyDescent="0.2">
      <c r="A628" s="46" t="s">
        <v>32</v>
      </c>
      <c r="B628" s="46" t="s">
        <v>32</v>
      </c>
      <c r="C628" s="46" t="s">
        <v>32</v>
      </c>
      <c r="D628" s="46" t="s">
        <v>32</v>
      </c>
      <c r="E628" s="46" t="s">
        <v>32</v>
      </c>
      <c r="F628" s="47">
        <f>[1]!BexGetData("DP_2","DL719O2RYNC0Y217V0FVT1R77","17","E","13042111E204","2067351021")</f>
        <v>0</v>
      </c>
      <c r="G628" s="48">
        <f>[1]!BexGetData("DP_2","DL719O2RYNEBZX0HTMQQ0BY0J","17","E","13042111E204","2067351021")</f>
        <v>0</v>
      </c>
      <c r="H628" s="48">
        <f>[1]!BexGetData("DP_2","DL719O2RYNGN1RZRS91K7M4TV","17","E","13042111E204","2067351021")</f>
        <v>0</v>
      </c>
      <c r="I628" s="48">
        <f>[1]!BexGetData("DP_2","DL719O2RYNIY3MZ1QVCEEWBN7","17","E","13042111E204","2067351021")</f>
        <v>0</v>
      </c>
    </row>
    <row r="629" spans="1:9" x14ac:dyDescent="0.2">
      <c r="A629" s="46" t="s">
        <v>32</v>
      </c>
      <c r="B629" s="46" t="s">
        <v>32</v>
      </c>
      <c r="C629" s="46" t="s">
        <v>32</v>
      </c>
      <c r="D629" s="46" t="s">
        <v>32</v>
      </c>
      <c r="E629" s="46" t="s">
        <v>32</v>
      </c>
      <c r="F629" s="47">
        <f>[1]!BexGetData("DP_2","DL719O2RYNC0Y217V0FVT1R77","17","E","13042111E204","2067361011")</f>
        <v>4595.92</v>
      </c>
      <c r="G629" s="48">
        <f>[1]!BexGetData("DP_2","DL719O2RYNEBZX0HTMQQ0BY0J","17","E","13042111E204","2067361011")</f>
        <v>4595.92</v>
      </c>
      <c r="H629" s="48">
        <f>[1]!BexGetData("DP_2","DL719O2RYNGN1RZRS91K7M4TV","17","E","13042111E204","2067361011")</f>
        <v>4595.92</v>
      </c>
      <c r="I629" s="48">
        <f>[1]!BexGetData("DP_2","DL719O2RYNIY3MZ1QVCEEWBN7","17","E","13042111E204","2067361011")</f>
        <v>0</v>
      </c>
    </row>
    <row r="630" spans="1:9" x14ac:dyDescent="0.2">
      <c r="A630" s="46" t="s">
        <v>32</v>
      </c>
      <c r="B630" s="46" t="s">
        <v>32</v>
      </c>
      <c r="C630" s="46" t="s">
        <v>32</v>
      </c>
      <c r="D630" s="46" t="s">
        <v>32</v>
      </c>
      <c r="E630" s="46" t="s">
        <v>32</v>
      </c>
      <c r="F630" s="47">
        <f>[1]!BexGetData("DP_2","DL719O2RYNC0Y217V0FVT1R77","17","E","13042111E204","2067372011")</f>
        <v>9796</v>
      </c>
      <c r="G630" s="48">
        <f>[1]!BexGetData("DP_2","DL719O2RYNEBZX0HTMQQ0BY0J","17","E","13042111E204","2067372011")</f>
        <v>9796</v>
      </c>
      <c r="H630" s="48">
        <f>[1]!BexGetData("DP_2","DL719O2RYNGN1RZRS91K7M4TV","17","E","13042111E204","2067372011")</f>
        <v>9795.9599999999991</v>
      </c>
      <c r="I630" s="48">
        <f>[1]!BexGetData("DP_2","DL719O2RYNIY3MZ1QVCEEWBN7","17","E","13042111E204","2067372011")</f>
        <v>0</v>
      </c>
    </row>
    <row r="631" spans="1:9" x14ac:dyDescent="0.2">
      <c r="A631" s="46" t="s">
        <v>32</v>
      </c>
      <c r="B631" s="46" t="s">
        <v>32</v>
      </c>
      <c r="C631" s="46" t="s">
        <v>32</v>
      </c>
      <c r="D631" s="46" t="s">
        <v>32</v>
      </c>
      <c r="E631" s="46" t="s">
        <v>32</v>
      </c>
      <c r="F631" s="47">
        <f>[1]!BexGetData("DP_2","DL719O2RYNC0Y217V0FVT1R77","17","E","13042111E204","2067375011")</f>
        <v>1500</v>
      </c>
      <c r="G631" s="48">
        <f>[1]!BexGetData("DP_2","DL719O2RYNEBZX0HTMQQ0BY0J","17","E","13042111E204","2067375011")</f>
        <v>1500</v>
      </c>
      <c r="H631" s="48">
        <f>[1]!BexGetData("DP_2","DL719O2RYNGN1RZRS91K7M4TV","17","E","13042111E204","2067375011")</f>
        <v>1500</v>
      </c>
      <c r="I631" s="48">
        <f>[1]!BexGetData("DP_2","DL719O2RYNIY3MZ1QVCEEWBN7","17","E","13042111E204","2067375011")</f>
        <v>0</v>
      </c>
    </row>
    <row r="632" spans="1:9" x14ac:dyDescent="0.2">
      <c r="A632" s="46" t="s">
        <v>32</v>
      </c>
      <c r="B632" s="46" t="s">
        <v>32</v>
      </c>
      <c r="C632" s="46" t="s">
        <v>32</v>
      </c>
      <c r="D632" s="46" t="s">
        <v>32</v>
      </c>
      <c r="E632" s="46" t="s">
        <v>32</v>
      </c>
      <c r="F632" s="47">
        <f>[1]!BexGetData("DP_2","DL719O2RYNC0Y217V0FVT1R77","17","E","13042111E204","2067382021")</f>
        <v>152789.4</v>
      </c>
      <c r="G632" s="48">
        <f>[1]!BexGetData("DP_2","DL719O2RYNEBZX0HTMQQ0BY0J","17","E","13042111E204","2067382021")</f>
        <v>152789.4</v>
      </c>
      <c r="H632" s="48">
        <f>[1]!BexGetData("DP_2","DL719O2RYNGN1RZRS91K7M4TV","17","E","13042111E204","2067382021")</f>
        <v>152789.4</v>
      </c>
      <c r="I632" s="48">
        <f>[1]!BexGetData("DP_2","DL719O2RYNIY3MZ1QVCEEWBN7","17","E","13042111E204","2067382021")</f>
        <v>0</v>
      </c>
    </row>
    <row r="633" spans="1:9" x14ac:dyDescent="0.2">
      <c r="A633" s="46" t="s">
        <v>32</v>
      </c>
      <c r="B633" s="46" t="s">
        <v>32</v>
      </c>
      <c r="C633" s="46" t="s">
        <v>32</v>
      </c>
      <c r="D633" s="46" t="s">
        <v>32</v>
      </c>
      <c r="E633" s="46" t="s">
        <v>32</v>
      </c>
      <c r="F633" s="47">
        <f>[1]!BexGetData("DP_2","DL719O2RYNC0Y217V0FVT1R77","17","E","13042111E204","2067441011")</f>
        <v>134609.70000000001</v>
      </c>
      <c r="G633" s="48">
        <f>[1]!BexGetData("DP_2","DL719O2RYNEBZX0HTMQQ0BY0J","17","E","13042111E204","2067441011")</f>
        <v>134609.70000000001</v>
      </c>
      <c r="H633" s="48">
        <f>[1]!BexGetData("DP_2","DL719O2RYNGN1RZRS91K7M4TV","17","E","13042111E204","2067441011")</f>
        <v>134609.70000000001</v>
      </c>
      <c r="I633" s="48">
        <f>[1]!BexGetData("DP_2","DL719O2RYNIY3MZ1QVCEEWBN7","17","E","13042111E204","2067441011")</f>
        <v>0</v>
      </c>
    </row>
    <row r="634" spans="1:9" x14ac:dyDescent="0.2">
      <c r="A634" s="46" t="s">
        <v>32</v>
      </c>
      <c r="B634" s="46" t="s">
        <v>32</v>
      </c>
      <c r="C634" s="46" t="s">
        <v>32</v>
      </c>
      <c r="D634" s="46" t="s">
        <v>32</v>
      </c>
      <c r="E634" s="46" t="s">
        <v>32</v>
      </c>
      <c r="F634" s="47">
        <f>[1]!BexGetData("DP_2","DL719O2RYNC0Y217V0FVT1R77","17","E","13042111E204","2067443011")</f>
        <v>14598.9</v>
      </c>
      <c r="G634" s="48">
        <f>[1]!BexGetData("DP_2","DL719O2RYNEBZX0HTMQQ0BY0J","17","E","13042111E204","2067443011")</f>
        <v>14598.9</v>
      </c>
      <c r="H634" s="48">
        <f>[1]!BexGetData("DP_2","DL719O2RYNGN1RZRS91K7M4TV","17","E","13042111E204","2067443011")</f>
        <v>14598.9</v>
      </c>
      <c r="I634" s="48">
        <f>[1]!BexGetData("DP_2","DL719O2RYNIY3MZ1QVCEEWBN7","17","E","13042111E204","2067443011")</f>
        <v>0</v>
      </c>
    </row>
    <row r="635" spans="1:9" x14ac:dyDescent="0.2">
      <c r="A635" s="46" t="s">
        <v>32</v>
      </c>
      <c r="B635" s="46" t="s">
        <v>32</v>
      </c>
      <c r="C635" s="46" t="s">
        <v>32</v>
      </c>
      <c r="D635" s="46" t="s">
        <v>32</v>
      </c>
      <c r="E635" s="46" t="s">
        <v>32</v>
      </c>
      <c r="F635" s="47">
        <f>[1]!BexGetData("DP_2","DL719O2RYNC0Y217V0FVT1R77","17","E","13042111E204","2067444011")</f>
        <v>1000</v>
      </c>
      <c r="G635" s="48">
        <f>[1]!BexGetData("DP_2","DL719O2RYNEBZX0HTMQQ0BY0J","17","E","13042111E204","2067444011")</f>
        <v>1000</v>
      </c>
      <c r="H635" s="48">
        <f>[1]!BexGetData("DP_2","DL719O2RYNGN1RZRS91K7M4TV","17","E","13042111E204","2067444011")</f>
        <v>1000</v>
      </c>
      <c r="I635" s="48">
        <f>[1]!BexGetData("DP_2","DL719O2RYNIY3MZ1QVCEEWBN7","17","E","13042111E204","2067444011")</f>
        <v>0</v>
      </c>
    </row>
    <row r="636" spans="1:9" x14ac:dyDescent="0.2">
      <c r="A636" s="46" t="s">
        <v>32</v>
      </c>
      <c r="B636" s="46" t="s">
        <v>32</v>
      </c>
      <c r="C636" s="46" t="s">
        <v>32</v>
      </c>
      <c r="D636" s="46" t="s">
        <v>32</v>
      </c>
      <c r="E636" s="46" t="s">
        <v>32</v>
      </c>
      <c r="F636" s="47">
        <f>[1]!BexGetData("DP_2","DL719O2RYNC0Y217V0FVT1R77","17","E","13042111E204","2067445021")</f>
        <v>122341.2</v>
      </c>
      <c r="G636" s="48">
        <f>[1]!BexGetData("DP_2","DL719O2RYNEBZX0HTMQQ0BY0J","17","E","13042111E204","2067445021")</f>
        <v>122341.2</v>
      </c>
      <c r="H636" s="48">
        <f>[1]!BexGetData("DP_2","DL719O2RYNGN1RZRS91K7M4TV","17","E","13042111E204","2067445021")</f>
        <v>46276</v>
      </c>
      <c r="I636" s="48">
        <f>[1]!BexGetData("DP_2","DL719O2RYNIY3MZ1QVCEEWBN7","17","E","13042111E204","2067445021")</f>
        <v>0</v>
      </c>
    </row>
    <row r="637" spans="1:9" x14ac:dyDescent="0.2">
      <c r="A637" s="46" t="s">
        <v>32</v>
      </c>
      <c r="B637" s="46" t="s">
        <v>32</v>
      </c>
      <c r="C637" s="46" t="s">
        <v>32</v>
      </c>
      <c r="D637" s="46" t="s">
        <v>32</v>
      </c>
      <c r="E637" s="46" t="s">
        <v>32</v>
      </c>
      <c r="F637" s="47">
        <f>[1]!BexGetData("DP_2","DL719O2RYNC0Y217V0FVT1R77","17","E","13042111E204","2067445051")</f>
        <v>43420</v>
      </c>
      <c r="G637" s="48">
        <f>[1]!BexGetData("DP_2","DL719O2RYNEBZX0HTMQQ0BY0J","17","E","13042111E204","2067445051")</f>
        <v>43420</v>
      </c>
      <c r="H637" s="48">
        <f>[1]!BexGetData("DP_2","DL719O2RYNGN1RZRS91K7M4TV","17","E","13042111E204","2067445051")</f>
        <v>43420</v>
      </c>
      <c r="I637" s="48">
        <f>[1]!BexGetData("DP_2","DL719O2RYNIY3MZ1QVCEEWBN7","17","E","13042111E204","2067445051")</f>
        <v>0</v>
      </c>
    </row>
    <row r="638" spans="1:9" x14ac:dyDescent="0.2">
      <c r="A638" s="46" t="s">
        <v>32</v>
      </c>
      <c r="B638" s="46" t="s">
        <v>32</v>
      </c>
      <c r="C638" s="46" t="s">
        <v>32</v>
      </c>
      <c r="D638" s="46" t="s">
        <v>32</v>
      </c>
      <c r="E638" s="46" t="s">
        <v>32</v>
      </c>
      <c r="F638" s="47">
        <f>[1]!BexGetData("DP_2","DL719O2RYNC0Y217V0FVT1R77","17","E","13042111E204","2067448011")</f>
        <v>747120</v>
      </c>
      <c r="G638" s="48">
        <f>[1]!BexGetData("DP_2","DL719O2RYNEBZX0HTMQQ0BY0J","17","E","13042111E204","2067448011")</f>
        <v>747120</v>
      </c>
      <c r="H638" s="48">
        <f>[1]!BexGetData("DP_2","DL719O2RYNGN1RZRS91K7M4TV","17","E","13042111E204","2067448011")</f>
        <v>677500</v>
      </c>
      <c r="I638" s="48">
        <f>[1]!BexGetData("DP_2","DL719O2RYNIY3MZ1QVCEEWBN7","17","E","13042111E204","2067448011")</f>
        <v>0</v>
      </c>
    </row>
    <row r="639" spans="1:9" x14ac:dyDescent="0.2">
      <c r="A639" s="46" t="s">
        <v>32</v>
      </c>
      <c r="B639" s="46" t="s">
        <v>32</v>
      </c>
      <c r="C639" s="46" t="s">
        <v>95</v>
      </c>
      <c r="D639" s="46" t="s">
        <v>95</v>
      </c>
      <c r="E639" s="46" t="s">
        <v>32</v>
      </c>
      <c r="F639" s="47">
        <f>[1]!BexGetData("DP_2","DL719O2RYNC0Y217V0FVT1R77","17","E","13042121E206","2067113021")</f>
        <v>176886.76</v>
      </c>
      <c r="G639" s="48">
        <f>[1]!BexGetData("DP_2","DL719O2RYNEBZX0HTMQQ0BY0J","17","E","13042121E206","2067113021")</f>
        <v>176886.76</v>
      </c>
      <c r="H639" s="48">
        <f>[1]!BexGetData("DP_2","DL719O2RYNGN1RZRS91K7M4TV","17","E","13042121E206","2067113021")</f>
        <v>176886.76</v>
      </c>
      <c r="I639" s="48">
        <f>[1]!BexGetData("DP_2","DL719O2RYNIY3MZ1QVCEEWBN7","17","E","13042121E206","2067113021")</f>
        <v>0</v>
      </c>
    </row>
    <row r="640" spans="1:9" x14ac:dyDescent="0.2">
      <c r="A640" s="46" t="s">
        <v>32</v>
      </c>
      <c r="B640" s="46" t="s">
        <v>32</v>
      </c>
      <c r="C640" s="46" t="s">
        <v>32</v>
      </c>
      <c r="D640" s="46" t="s">
        <v>32</v>
      </c>
      <c r="E640" s="46" t="s">
        <v>32</v>
      </c>
      <c r="F640" s="47">
        <f>[1]!BexGetData("DP_2","DL719O2RYNC0Y217V0FVT1R77","17","E","13042121E206","2067121011")</f>
        <v>892368.48</v>
      </c>
      <c r="G640" s="48">
        <f>[1]!BexGetData("DP_2","DL719O2RYNEBZX0HTMQQ0BY0J","17","E","13042121E206","2067121011")</f>
        <v>892368.48</v>
      </c>
      <c r="H640" s="48">
        <f>[1]!BexGetData("DP_2","DL719O2RYNGN1RZRS91K7M4TV","17","E","13042121E206","2067121011")</f>
        <v>827220.5</v>
      </c>
      <c r="I640" s="48">
        <f>[1]!BexGetData("DP_2","DL719O2RYNIY3MZ1QVCEEWBN7","17","E","13042121E206","2067121011")</f>
        <v>0</v>
      </c>
    </row>
    <row r="641" spans="1:9" x14ac:dyDescent="0.2">
      <c r="A641" s="46" t="s">
        <v>32</v>
      </c>
      <c r="B641" s="46" t="s">
        <v>32</v>
      </c>
      <c r="C641" s="46" t="s">
        <v>32</v>
      </c>
      <c r="D641" s="46" t="s">
        <v>32</v>
      </c>
      <c r="E641" s="46" t="s">
        <v>32</v>
      </c>
      <c r="F641" s="47">
        <f>[1]!BexGetData("DP_2","DL719O2RYNC0Y217V0FVT1R77","17","E","13042121E206","2067122011")</f>
        <v>248300.1</v>
      </c>
      <c r="G641" s="48">
        <f>[1]!BexGetData("DP_2","DL719O2RYNEBZX0HTMQQ0BY0J","17","E","13042121E206","2067122011")</f>
        <v>248300.1</v>
      </c>
      <c r="H641" s="48">
        <f>[1]!BexGetData("DP_2","DL719O2RYNGN1RZRS91K7M4TV","17","E","13042121E206","2067122011")</f>
        <v>248300.1</v>
      </c>
      <c r="I641" s="48">
        <f>[1]!BexGetData("DP_2","DL719O2RYNIY3MZ1QVCEEWBN7","17","E","13042121E206","2067122011")</f>
        <v>0</v>
      </c>
    </row>
    <row r="642" spans="1:9" x14ac:dyDescent="0.2">
      <c r="A642" s="46" t="s">
        <v>32</v>
      </c>
      <c r="B642" s="46" t="s">
        <v>32</v>
      </c>
      <c r="C642" s="46" t="s">
        <v>32</v>
      </c>
      <c r="D642" s="46" t="s">
        <v>32</v>
      </c>
      <c r="E642" s="46" t="s">
        <v>32</v>
      </c>
      <c r="F642" s="47">
        <f>[1]!BexGetData("DP_2","DL719O2RYNC0Y217V0FVT1R77","17","E","13042121E206","2067132011")</f>
        <v>8391.6</v>
      </c>
      <c r="G642" s="48">
        <f>[1]!BexGetData("DP_2","DL719O2RYNEBZX0HTMQQ0BY0J","17","E","13042121E206","2067132011")</f>
        <v>8391.6</v>
      </c>
      <c r="H642" s="48">
        <f>[1]!BexGetData("DP_2","DL719O2RYNGN1RZRS91K7M4TV","17","E","13042121E206","2067132011")</f>
        <v>8391.6</v>
      </c>
      <c r="I642" s="48">
        <f>[1]!BexGetData("DP_2","DL719O2RYNIY3MZ1QVCEEWBN7","17","E","13042121E206","2067132011")</f>
        <v>0</v>
      </c>
    </row>
    <row r="643" spans="1:9" x14ac:dyDescent="0.2">
      <c r="A643" s="46" t="s">
        <v>32</v>
      </c>
      <c r="B643" s="46" t="s">
        <v>32</v>
      </c>
      <c r="C643" s="46" t="s">
        <v>32</v>
      </c>
      <c r="D643" s="46" t="s">
        <v>32</v>
      </c>
      <c r="E643" s="46" t="s">
        <v>32</v>
      </c>
      <c r="F643" s="47">
        <f>[1]!BexGetData("DP_2","DL719O2RYNC0Y217V0FVT1R77","17","E","13042121E206","2067132021")</f>
        <v>69330.73</v>
      </c>
      <c r="G643" s="48">
        <f>[1]!BexGetData("DP_2","DL719O2RYNEBZX0HTMQQ0BY0J","17","E","13042121E206","2067132021")</f>
        <v>69330.73</v>
      </c>
      <c r="H643" s="48">
        <f>[1]!BexGetData("DP_2","DL719O2RYNGN1RZRS91K7M4TV","17","E","13042121E206","2067132021")</f>
        <v>69330.73</v>
      </c>
      <c r="I643" s="48">
        <f>[1]!BexGetData("DP_2","DL719O2RYNIY3MZ1QVCEEWBN7","17","E","13042121E206","2067132021")</f>
        <v>0</v>
      </c>
    </row>
    <row r="644" spans="1:9" x14ac:dyDescent="0.2">
      <c r="A644" s="46" t="s">
        <v>32</v>
      </c>
      <c r="B644" s="46" t="s">
        <v>32</v>
      </c>
      <c r="C644" s="46" t="s">
        <v>32</v>
      </c>
      <c r="D644" s="46" t="s">
        <v>32</v>
      </c>
      <c r="E644" s="46" t="s">
        <v>32</v>
      </c>
      <c r="F644" s="47">
        <f>[1]!BexGetData("DP_2","DL719O2RYNC0Y217V0FVT1R77","17","E","13042121E206","2067134011")</f>
        <v>180940.17</v>
      </c>
      <c r="G644" s="48">
        <f>[1]!BexGetData("DP_2","DL719O2RYNEBZX0HTMQQ0BY0J","17","E","13042121E206","2067134011")</f>
        <v>180940.17</v>
      </c>
      <c r="H644" s="48">
        <f>[1]!BexGetData("DP_2","DL719O2RYNGN1RZRS91K7M4TV","17","E","13042121E206","2067134011")</f>
        <v>180545.52</v>
      </c>
      <c r="I644" s="48">
        <f>[1]!BexGetData("DP_2","DL719O2RYNIY3MZ1QVCEEWBN7","17","E","13042121E206","2067134011")</f>
        <v>0</v>
      </c>
    </row>
    <row r="645" spans="1:9" x14ac:dyDescent="0.2">
      <c r="A645" s="46" t="s">
        <v>32</v>
      </c>
      <c r="B645" s="46" t="s">
        <v>32</v>
      </c>
      <c r="C645" s="46" t="s">
        <v>32</v>
      </c>
      <c r="D645" s="46" t="s">
        <v>32</v>
      </c>
      <c r="E645" s="46" t="s">
        <v>32</v>
      </c>
      <c r="F645" s="47">
        <f>[1]!BexGetData("DP_2","DL719O2RYNC0Y217V0FVT1R77","17","E","13042121E206","2067134021")</f>
        <v>332115.59999999998</v>
      </c>
      <c r="G645" s="48">
        <f>[1]!BexGetData("DP_2","DL719O2RYNEBZX0HTMQQ0BY0J","17","E","13042121E206","2067134021")</f>
        <v>332115.59999999998</v>
      </c>
      <c r="H645" s="48">
        <f>[1]!BexGetData("DP_2","DL719O2RYNGN1RZRS91K7M4TV","17","E","13042121E206","2067134021")</f>
        <v>332115.59999999998</v>
      </c>
      <c r="I645" s="48">
        <f>[1]!BexGetData("DP_2","DL719O2RYNIY3MZ1QVCEEWBN7","17","E","13042121E206","2067134021")</f>
        <v>0</v>
      </c>
    </row>
    <row r="646" spans="1:9" x14ac:dyDescent="0.2">
      <c r="A646" s="46" t="s">
        <v>32</v>
      </c>
      <c r="B646" s="46" t="s">
        <v>32</v>
      </c>
      <c r="C646" s="46" t="s">
        <v>32</v>
      </c>
      <c r="D646" s="46" t="s">
        <v>32</v>
      </c>
      <c r="E646" s="46" t="s">
        <v>32</v>
      </c>
      <c r="F646" s="47">
        <f>[1]!BexGetData("DP_2","DL719O2RYNC0Y217V0FVT1R77","17","E","13042121E206","2067141011")</f>
        <v>62901.17</v>
      </c>
      <c r="G646" s="48">
        <f>[1]!BexGetData("DP_2","DL719O2RYNEBZX0HTMQQ0BY0J","17","E","13042121E206","2067141011")</f>
        <v>62901.17</v>
      </c>
      <c r="H646" s="48">
        <f>[1]!BexGetData("DP_2","DL719O2RYNGN1RZRS91K7M4TV","17","E","13042121E206","2067141011")</f>
        <v>62901.17</v>
      </c>
      <c r="I646" s="48">
        <f>[1]!BexGetData("DP_2","DL719O2RYNIY3MZ1QVCEEWBN7","17","E","13042121E206","2067141011")</f>
        <v>0</v>
      </c>
    </row>
    <row r="647" spans="1:9" x14ac:dyDescent="0.2">
      <c r="A647" s="46" t="s">
        <v>32</v>
      </c>
      <c r="B647" s="46" t="s">
        <v>32</v>
      </c>
      <c r="C647" s="46" t="s">
        <v>32</v>
      </c>
      <c r="D647" s="46" t="s">
        <v>32</v>
      </c>
      <c r="E647" s="46" t="s">
        <v>32</v>
      </c>
      <c r="F647" s="47">
        <f>[1]!BexGetData("DP_2","DL719O2RYNC0Y217V0FVT1R77","17","E","13042121E206","2067141021")</f>
        <v>18423.11</v>
      </c>
      <c r="G647" s="48">
        <f>[1]!BexGetData("DP_2","DL719O2RYNEBZX0HTMQQ0BY0J","17","E","13042121E206","2067141021")</f>
        <v>18423.11</v>
      </c>
      <c r="H647" s="48">
        <f>[1]!BexGetData("DP_2","DL719O2RYNGN1RZRS91K7M4TV","17","E","13042121E206","2067141021")</f>
        <v>18423.11</v>
      </c>
      <c r="I647" s="48">
        <f>[1]!BexGetData("DP_2","DL719O2RYNIY3MZ1QVCEEWBN7","17","E","13042121E206","2067141021")</f>
        <v>0</v>
      </c>
    </row>
    <row r="648" spans="1:9" x14ac:dyDescent="0.2">
      <c r="A648" s="46" t="s">
        <v>32</v>
      </c>
      <c r="B648" s="46" t="s">
        <v>32</v>
      </c>
      <c r="C648" s="46" t="s">
        <v>32</v>
      </c>
      <c r="D648" s="46" t="s">
        <v>32</v>
      </c>
      <c r="E648" s="46" t="s">
        <v>32</v>
      </c>
      <c r="F648" s="47">
        <f>[1]!BexGetData("DP_2","DL719O2RYNC0Y217V0FVT1R77","17","E","13042121E206","2067143011")</f>
        <v>8624.35</v>
      </c>
      <c r="G648" s="48">
        <f>[1]!BexGetData("DP_2","DL719O2RYNEBZX0HTMQQ0BY0J","17","E","13042121E206","2067143011")</f>
        <v>8624.35</v>
      </c>
      <c r="H648" s="48">
        <f>[1]!BexGetData("DP_2","DL719O2RYNGN1RZRS91K7M4TV","17","E","13042121E206","2067143011")</f>
        <v>8624.35</v>
      </c>
      <c r="I648" s="48">
        <f>[1]!BexGetData("DP_2","DL719O2RYNIY3MZ1QVCEEWBN7","17","E","13042121E206","2067143011")</f>
        <v>0</v>
      </c>
    </row>
    <row r="649" spans="1:9" x14ac:dyDescent="0.2">
      <c r="A649" s="46" t="s">
        <v>32</v>
      </c>
      <c r="B649" s="46" t="s">
        <v>32</v>
      </c>
      <c r="C649" s="46" t="s">
        <v>32</v>
      </c>
      <c r="D649" s="46" t="s">
        <v>32</v>
      </c>
      <c r="E649" s="46" t="s">
        <v>32</v>
      </c>
      <c r="F649" s="47">
        <f>[1]!BexGetData("DP_2","DL719O2RYNC0Y217V0FVT1R77","17","E","13042121E206","2067151011")</f>
        <v>21228.84</v>
      </c>
      <c r="G649" s="48">
        <f>[1]!BexGetData("DP_2","DL719O2RYNEBZX0HTMQQ0BY0J","17","E","13042121E206","2067151011")</f>
        <v>21228.84</v>
      </c>
      <c r="H649" s="48">
        <f>[1]!BexGetData("DP_2","DL719O2RYNGN1RZRS91K7M4TV","17","E","13042121E206","2067151011")</f>
        <v>21228.84</v>
      </c>
      <c r="I649" s="48">
        <f>[1]!BexGetData("DP_2","DL719O2RYNIY3MZ1QVCEEWBN7","17","E","13042121E206","2067151011")</f>
        <v>0</v>
      </c>
    </row>
    <row r="650" spans="1:9" x14ac:dyDescent="0.2">
      <c r="A650" s="46" t="s">
        <v>32</v>
      </c>
      <c r="B650" s="46" t="s">
        <v>32</v>
      </c>
      <c r="C650" s="46" t="s">
        <v>32</v>
      </c>
      <c r="D650" s="46" t="s">
        <v>32</v>
      </c>
      <c r="E650" s="46" t="s">
        <v>32</v>
      </c>
      <c r="F650" s="47">
        <f>[1]!BexGetData("DP_2","DL719O2RYNC0Y217V0FVT1R77","17","E","13042121E206","2067154011")</f>
        <v>40610.080000000002</v>
      </c>
      <c r="G650" s="48">
        <f>[1]!BexGetData("DP_2","DL719O2RYNEBZX0HTMQQ0BY0J","17","E","13042121E206","2067154011")</f>
        <v>40610.080000000002</v>
      </c>
      <c r="H650" s="48">
        <f>[1]!BexGetData("DP_2","DL719O2RYNGN1RZRS91K7M4TV","17","E","13042121E206","2067154011")</f>
        <v>40610.080000000002</v>
      </c>
      <c r="I650" s="48">
        <f>[1]!BexGetData("DP_2","DL719O2RYNIY3MZ1QVCEEWBN7","17","E","13042121E206","2067154011")</f>
        <v>0</v>
      </c>
    </row>
    <row r="651" spans="1:9" x14ac:dyDescent="0.2">
      <c r="A651" s="46" t="s">
        <v>32</v>
      </c>
      <c r="B651" s="46" t="s">
        <v>32</v>
      </c>
      <c r="C651" s="46" t="s">
        <v>32</v>
      </c>
      <c r="D651" s="46" t="s">
        <v>32</v>
      </c>
      <c r="E651" s="46" t="s">
        <v>32</v>
      </c>
      <c r="F651" s="47">
        <f>[1]!BexGetData("DP_2","DL719O2RYNC0Y217V0FVT1R77","17","E","13042121E206","2067211011")</f>
        <v>64347.8</v>
      </c>
      <c r="G651" s="48">
        <f>[1]!BexGetData("DP_2","DL719O2RYNEBZX0HTMQQ0BY0J","17","E","13042121E206","2067211011")</f>
        <v>64347.8</v>
      </c>
      <c r="H651" s="48">
        <f>[1]!BexGetData("DP_2","DL719O2RYNGN1RZRS91K7M4TV","17","E","13042121E206","2067211011")</f>
        <v>62613.599999999999</v>
      </c>
      <c r="I651" s="48">
        <f>[1]!BexGetData("DP_2","DL719O2RYNIY3MZ1QVCEEWBN7","17","E","13042121E206","2067211011")</f>
        <v>0</v>
      </c>
    </row>
    <row r="652" spans="1:9" x14ac:dyDescent="0.2">
      <c r="A652" s="46" t="s">
        <v>32</v>
      </c>
      <c r="B652" s="46" t="s">
        <v>32</v>
      </c>
      <c r="C652" s="46" t="s">
        <v>32</v>
      </c>
      <c r="D652" s="46" t="s">
        <v>32</v>
      </c>
      <c r="E652" s="46" t="s">
        <v>32</v>
      </c>
      <c r="F652" s="47">
        <f>[1]!BexGetData("DP_2","DL719O2RYNC0Y217V0FVT1R77","17","E","13042121E206","2067214011")</f>
        <v>96128.04</v>
      </c>
      <c r="G652" s="48">
        <f>[1]!BexGetData("DP_2","DL719O2RYNEBZX0HTMQQ0BY0J","17","E","13042121E206","2067214011")</f>
        <v>96128.04</v>
      </c>
      <c r="H652" s="48">
        <f>[1]!BexGetData("DP_2","DL719O2RYNGN1RZRS91K7M4TV","17","E","13042121E206","2067214011")</f>
        <v>96128.04</v>
      </c>
      <c r="I652" s="48">
        <f>[1]!BexGetData("DP_2","DL719O2RYNIY3MZ1QVCEEWBN7","17","E","13042121E206","2067214011")</f>
        <v>0</v>
      </c>
    </row>
    <row r="653" spans="1:9" x14ac:dyDescent="0.2">
      <c r="A653" s="46" t="s">
        <v>32</v>
      </c>
      <c r="B653" s="46" t="s">
        <v>32</v>
      </c>
      <c r="C653" s="46" t="s">
        <v>32</v>
      </c>
      <c r="D653" s="46" t="s">
        <v>32</v>
      </c>
      <c r="E653" s="46" t="s">
        <v>32</v>
      </c>
      <c r="F653" s="47">
        <f>[1]!BexGetData("DP_2","DL719O2RYNC0Y217V0FVT1R77","17","E","13042121E206","2067214021")</f>
        <v>0</v>
      </c>
      <c r="G653" s="48">
        <f>[1]!BexGetData("DP_2","DL719O2RYNEBZX0HTMQQ0BY0J","17","E","13042121E206","2067214021")</f>
        <v>0</v>
      </c>
      <c r="H653" s="48">
        <f>[1]!BexGetData("DP_2","DL719O2RYNGN1RZRS91K7M4TV","17","E","13042121E206","2067214021")</f>
        <v>0</v>
      </c>
      <c r="I653" s="48">
        <f>[1]!BexGetData("DP_2","DL719O2RYNIY3MZ1QVCEEWBN7","17","E","13042121E206","2067214021")</f>
        <v>0</v>
      </c>
    </row>
    <row r="654" spans="1:9" x14ac:dyDescent="0.2">
      <c r="A654" s="46" t="s">
        <v>32</v>
      </c>
      <c r="B654" s="46" t="s">
        <v>32</v>
      </c>
      <c r="C654" s="46" t="s">
        <v>32</v>
      </c>
      <c r="D654" s="46" t="s">
        <v>32</v>
      </c>
      <c r="E654" s="46" t="s">
        <v>32</v>
      </c>
      <c r="F654" s="47">
        <f>[1]!BexGetData("DP_2","DL719O2RYNC0Y217V0FVT1R77","17","E","13042121E206","2067215021")</f>
        <v>0</v>
      </c>
      <c r="G654" s="48">
        <f>[1]!BexGetData("DP_2","DL719O2RYNEBZX0HTMQQ0BY0J","17","E","13042121E206","2067215021")</f>
        <v>0</v>
      </c>
      <c r="H654" s="48">
        <f>[1]!BexGetData("DP_2","DL719O2RYNGN1RZRS91K7M4TV","17","E","13042121E206","2067215021")</f>
        <v>0</v>
      </c>
      <c r="I654" s="48">
        <f>[1]!BexGetData("DP_2","DL719O2RYNIY3MZ1QVCEEWBN7","17","E","13042121E206","2067215021")</f>
        <v>0</v>
      </c>
    </row>
    <row r="655" spans="1:9" x14ac:dyDescent="0.2">
      <c r="A655" s="46" t="s">
        <v>32</v>
      </c>
      <c r="B655" s="46" t="s">
        <v>32</v>
      </c>
      <c r="C655" s="46" t="s">
        <v>32</v>
      </c>
      <c r="D655" s="46" t="s">
        <v>32</v>
      </c>
      <c r="E655" s="46" t="s">
        <v>32</v>
      </c>
      <c r="F655" s="47">
        <f>[1]!BexGetData("DP_2","DL719O2RYNC0Y217V0FVT1R77","17","E","13042121E206","2067216011")</f>
        <v>52943.66</v>
      </c>
      <c r="G655" s="48">
        <f>[1]!BexGetData("DP_2","DL719O2RYNEBZX0HTMQQ0BY0J","17","E","13042121E206","2067216011")</f>
        <v>52943.66</v>
      </c>
      <c r="H655" s="48">
        <f>[1]!BexGetData("DP_2","DL719O2RYNGN1RZRS91K7M4TV","17","E","13042121E206","2067216011")</f>
        <v>52943.66</v>
      </c>
      <c r="I655" s="48">
        <f>[1]!BexGetData("DP_2","DL719O2RYNIY3MZ1QVCEEWBN7","17","E","13042121E206","2067216011")</f>
        <v>0</v>
      </c>
    </row>
    <row r="656" spans="1:9" x14ac:dyDescent="0.2">
      <c r="A656" s="46" t="s">
        <v>32</v>
      </c>
      <c r="B656" s="46" t="s">
        <v>32</v>
      </c>
      <c r="C656" s="46" t="s">
        <v>32</v>
      </c>
      <c r="D656" s="46" t="s">
        <v>32</v>
      </c>
      <c r="E656" s="46" t="s">
        <v>32</v>
      </c>
      <c r="F656" s="47">
        <f>[1]!BexGetData("DP_2","DL719O2RYNC0Y217V0FVT1R77","17","E","13042121E206","2067217011")</f>
        <v>303.61</v>
      </c>
      <c r="G656" s="48">
        <f>[1]!BexGetData("DP_2","DL719O2RYNEBZX0HTMQQ0BY0J","17","E","13042121E206","2067217011")</f>
        <v>303.61</v>
      </c>
      <c r="H656" s="48">
        <f>[1]!BexGetData("DP_2","DL719O2RYNGN1RZRS91K7M4TV","17","E","13042121E206","2067217011")</f>
        <v>303.61</v>
      </c>
      <c r="I656" s="48">
        <f>[1]!BexGetData("DP_2","DL719O2RYNIY3MZ1QVCEEWBN7","17","E","13042121E206","2067217011")</f>
        <v>0</v>
      </c>
    </row>
    <row r="657" spans="1:9" x14ac:dyDescent="0.2">
      <c r="A657" s="46" t="s">
        <v>32</v>
      </c>
      <c r="B657" s="46" t="s">
        <v>32</v>
      </c>
      <c r="C657" s="46" t="s">
        <v>32</v>
      </c>
      <c r="D657" s="46" t="s">
        <v>32</v>
      </c>
      <c r="E657" s="46" t="s">
        <v>32</v>
      </c>
      <c r="F657" s="47">
        <f>[1]!BexGetData("DP_2","DL719O2RYNC0Y217V0FVT1R77","17","E","13042121E206","2067221011")</f>
        <v>39003.660000000003</v>
      </c>
      <c r="G657" s="48">
        <f>[1]!BexGetData("DP_2","DL719O2RYNEBZX0HTMQQ0BY0J","17","E","13042121E206","2067221011")</f>
        <v>39003.660000000003</v>
      </c>
      <c r="H657" s="48">
        <f>[1]!BexGetData("DP_2","DL719O2RYNGN1RZRS91K7M4TV","17","E","13042121E206","2067221011")</f>
        <v>39003.660000000003</v>
      </c>
      <c r="I657" s="48">
        <f>[1]!BexGetData("DP_2","DL719O2RYNIY3MZ1QVCEEWBN7","17","E","13042121E206","2067221011")</f>
        <v>0</v>
      </c>
    </row>
    <row r="658" spans="1:9" x14ac:dyDescent="0.2">
      <c r="A658" s="46" t="s">
        <v>32</v>
      </c>
      <c r="B658" s="46" t="s">
        <v>32</v>
      </c>
      <c r="C658" s="46" t="s">
        <v>32</v>
      </c>
      <c r="D658" s="46" t="s">
        <v>32</v>
      </c>
      <c r="E658" s="46" t="s">
        <v>32</v>
      </c>
      <c r="F658" s="47">
        <f>[1]!BexGetData("DP_2","DL719O2RYNC0Y217V0FVT1R77","17","E","13042121E206","2067221021")</f>
        <v>78348.02</v>
      </c>
      <c r="G658" s="48">
        <f>[1]!BexGetData("DP_2","DL719O2RYNEBZX0HTMQQ0BY0J","17","E","13042121E206","2067221021")</f>
        <v>78348.02</v>
      </c>
      <c r="H658" s="48">
        <f>[1]!BexGetData("DP_2","DL719O2RYNGN1RZRS91K7M4TV","17","E","13042121E206","2067221021")</f>
        <v>78347.990000000005</v>
      </c>
      <c r="I658" s="48">
        <f>[1]!BexGetData("DP_2","DL719O2RYNIY3MZ1QVCEEWBN7","17","E","13042121E206","2067221021")</f>
        <v>0</v>
      </c>
    </row>
    <row r="659" spans="1:9" x14ac:dyDescent="0.2">
      <c r="A659" s="46" t="s">
        <v>32</v>
      </c>
      <c r="B659" s="46" t="s">
        <v>32</v>
      </c>
      <c r="C659" s="46" t="s">
        <v>32</v>
      </c>
      <c r="D659" s="46" t="s">
        <v>32</v>
      </c>
      <c r="E659" s="46" t="s">
        <v>32</v>
      </c>
      <c r="F659" s="47">
        <f>[1]!BexGetData("DP_2","DL719O2RYNC0Y217V0FVT1R77","17","E","13042121E206","2067246011")</f>
        <v>974</v>
      </c>
      <c r="G659" s="48">
        <f>[1]!BexGetData("DP_2","DL719O2RYNEBZX0HTMQQ0BY0J","17","E","13042121E206","2067246011")</f>
        <v>974</v>
      </c>
      <c r="H659" s="48">
        <f>[1]!BexGetData("DP_2","DL719O2RYNGN1RZRS91K7M4TV","17","E","13042121E206","2067246011")</f>
        <v>974</v>
      </c>
      <c r="I659" s="48">
        <f>[1]!BexGetData("DP_2","DL719O2RYNIY3MZ1QVCEEWBN7","17","E","13042121E206","2067246011")</f>
        <v>0</v>
      </c>
    </row>
    <row r="660" spans="1:9" x14ac:dyDescent="0.2">
      <c r="A660" s="46" t="s">
        <v>32</v>
      </c>
      <c r="B660" s="46" t="s">
        <v>32</v>
      </c>
      <c r="C660" s="46" t="s">
        <v>32</v>
      </c>
      <c r="D660" s="46" t="s">
        <v>32</v>
      </c>
      <c r="E660" s="46" t="s">
        <v>32</v>
      </c>
      <c r="F660" s="47">
        <f>[1]!BexGetData("DP_2","DL719O2RYNC0Y217V0FVT1R77","17","E","13042121E206","2067249011")</f>
        <v>105749.31</v>
      </c>
      <c r="G660" s="48">
        <f>[1]!BexGetData("DP_2","DL719O2RYNEBZX0HTMQQ0BY0J","17","E","13042121E206","2067249011")</f>
        <v>105749.31</v>
      </c>
      <c r="H660" s="48">
        <f>[1]!BexGetData("DP_2","DL719O2RYNGN1RZRS91K7M4TV","17","E","13042121E206","2067249011")</f>
        <v>105749.31</v>
      </c>
      <c r="I660" s="48">
        <f>[1]!BexGetData("DP_2","DL719O2RYNIY3MZ1QVCEEWBN7","17","E","13042121E206","2067249011")</f>
        <v>0</v>
      </c>
    </row>
    <row r="661" spans="1:9" x14ac:dyDescent="0.2">
      <c r="A661" s="46" t="s">
        <v>32</v>
      </c>
      <c r="B661" s="46" t="s">
        <v>32</v>
      </c>
      <c r="C661" s="46" t="s">
        <v>32</v>
      </c>
      <c r="D661" s="46" t="s">
        <v>32</v>
      </c>
      <c r="E661" s="46" t="s">
        <v>32</v>
      </c>
      <c r="F661" s="47">
        <f>[1]!BexGetData("DP_2","DL719O2RYNC0Y217V0FVT1R77","17","E","13042121E206","2067256011")</f>
        <v>99</v>
      </c>
      <c r="G661" s="48">
        <f>[1]!BexGetData("DP_2","DL719O2RYNEBZX0HTMQQ0BY0J","17","E","13042121E206","2067256011")</f>
        <v>99</v>
      </c>
      <c r="H661" s="48">
        <f>[1]!BexGetData("DP_2","DL719O2RYNGN1RZRS91K7M4TV","17","E","13042121E206","2067256011")</f>
        <v>99</v>
      </c>
      <c r="I661" s="48">
        <f>[1]!BexGetData("DP_2","DL719O2RYNIY3MZ1QVCEEWBN7","17","E","13042121E206","2067256011")</f>
        <v>0</v>
      </c>
    </row>
    <row r="662" spans="1:9" x14ac:dyDescent="0.2">
      <c r="A662" s="46" t="s">
        <v>32</v>
      </c>
      <c r="B662" s="46" t="s">
        <v>32</v>
      </c>
      <c r="C662" s="46" t="s">
        <v>32</v>
      </c>
      <c r="D662" s="46" t="s">
        <v>32</v>
      </c>
      <c r="E662" s="46" t="s">
        <v>32</v>
      </c>
      <c r="F662" s="47">
        <f>[1]!BexGetData("DP_2","DL719O2RYNC0Y217V0FVT1R77","17","E","13042121E206","2067261011")</f>
        <v>0</v>
      </c>
      <c r="G662" s="48">
        <f>[1]!BexGetData("DP_2","DL719O2RYNEBZX0HTMQQ0BY0J","17","E","13042121E206","2067261011")</f>
        <v>0</v>
      </c>
      <c r="H662" s="48">
        <f>[1]!BexGetData("DP_2","DL719O2RYNGN1RZRS91K7M4TV","17","E","13042121E206","2067261011")</f>
        <v>0</v>
      </c>
      <c r="I662" s="48">
        <f>[1]!BexGetData("DP_2","DL719O2RYNIY3MZ1QVCEEWBN7","17","E","13042121E206","2067261011")</f>
        <v>0</v>
      </c>
    </row>
    <row r="663" spans="1:9" x14ac:dyDescent="0.2">
      <c r="A663" s="46" t="s">
        <v>32</v>
      </c>
      <c r="B663" s="46" t="s">
        <v>32</v>
      </c>
      <c r="C663" s="46" t="s">
        <v>32</v>
      </c>
      <c r="D663" s="46" t="s">
        <v>32</v>
      </c>
      <c r="E663" s="46" t="s">
        <v>32</v>
      </c>
      <c r="F663" s="47">
        <f>[1]!BexGetData("DP_2","DL719O2RYNC0Y217V0FVT1R77","17","E","13042121E206","2067271011")</f>
        <v>9147.84</v>
      </c>
      <c r="G663" s="48">
        <f>[1]!BexGetData("DP_2","DL719O2RYNEBZX0HTMQQ0BY0J","17","E","13042121E206","2067271011")</f>
        <v>9147.84</v>
      </c>
      <c r="H663" s="48">
        <f>[1]!BexGetData("DP_2","DL719O2RYNGN1RZRS91K7M4TV","17","E","13042121E206","2067271011")</f>
        <v>0</v>
      </c>
      <c r="I663" s="48">
        <f>[1]!BexGetData("DP_2","DL719O2RYNIY3MZ1QVCEEWBN7","17","E","13042121E206","2067271011")</f>
        <v>0</v>
      </c>
    </row>
    <row r="664" spans="1:9" x14ac:dyDescent="0.2">
      <c r="A664" s="46" t="s">
        <v>32</v>
      </c>
      <c r="B664" s="46" t="s">
        <v>32</v>
      </c>
      <c r="C664" s="46" t="s">
        <v>32</v>
      </c>
      <c r="D664" s="46" t="s">
        <v>32</v>
      </c>
      <c r="E664" s="46" t="s">
        <v>32</v>
      </c>
      <c r="F664" s="47">
        <f>[1]!BexGetData("DP_2","DL719O2RYNC0Y217V0FVT1R77","17","E","13042121E206","2067291011")</f>
        <v>2075.98</v>
      </c>
      <c r="G664" s="48">
        <f>[1]!BexGetData("DP_2","DL719O2RYNEBZX0HTMQQ0BY0J","17","E","13042121E206","2067291011")</f>
        <v>2075.98</v>
      </c>
      <c r="H664" s="48">
        <f>[1]!BexGetData("DP_2","DL719O2RYNGN1RZRS91K7M4TV","17","E","13042121E206","2067291011")</f>
        <v>2075.98</v>
      </c>
      <c r="I664" s="48">
        <f>[1]!BexGetData("DP_2","DL719O2RYNIY3MZ1QVCEEWBN7","17","E","13042121E206","2067291011")</f>
        <v>0</v>
      </c>
    </row>
    <row r="665" spans="1:9" x14ac:dyDescent="0.2">
      <c r="A665" s="46" t="s">
        <v>32</v>
      </c>
      <c r="B665" s="46" t="s">
        <v>32</v>
      </c>
      <c r="C665" s="46" t="s">
        <v>32</v>
      </c>
      <c r="D665" s="46" t="s">
        <v>32</v>
      </c>
      <c r="E665" s="46" t="s">
        <v>32</v>
      </c>
      <c r="F665" s="47">
        <f>[1]!BexGetData("DP_2","DL719O2RYNC0Y217V0FVT1R77","17","E","13042121E206","2067314011")</f>
        <v>30242</v>
      </c>
      <c r="G665" s="48">
        <f>[1]!BexGetData("DP_2","DL719O2RYNEBZX0HTMQQ0BY0J","17","E","13042121E206","2067314011")</f>
        <v>30242</v>
      </c>
      <c r="H665" s="48">
        <f>[1]!BexGetData("DP_2","DL719O2RYNGN1RZRS91K7M4TV","17","E","13042121E206","2067314011")</f>
        <v>30242.01</v>
      </c>
      <c r="I665" s="48">
        <f>[1]!BexGetData("DP_2","DL719O2RYNIY3MZ1QVCEEWBN7","17","E","13042121E206","2067314011")</f>
        <v>0</v>
      </c>
    </row>
    <row r="666" spans="1:9" x14ac:dyDescent="0.2">
      <c r="A666" s="46" t="s">
        <v>32</v>
      </c>
      <c r="B666" s="46" t="s">
        <v>32</v>
      </c>
      <c r="C666" s="46" t="s">
        <v>32</v>
      </c>
      <c r="D666" s="46" t="s">
        <v>32</v>
      </c>
      <c r="E666" s="46" t="s">
        <v>32</v>
      </c>
      <c r="F666" s="47">
        <f>[1]!BexGetData("DP_2","DL719O2RYNC0Y217V0FVT1R77","17","E","13042121E206","2067315011")</f>
        <v>0</v>
      </c>
      <c r="G666" s="48">
        <f>[1]!BexGetData("DP_2","DL719O2RYNEBZX0HTMQQ0BY0J","17","E","13042121E206","2067315011")</f>
        <v>0</v>
      </c>
      <c r="H666" s="48">
        <f>[1]!BexGetData("DP_2","DL719O2RYNGN1RZRS91K7M4TV","17","E","13042121E206","2067315011")</f>
        <v>0</v>
      </c>
      <c r="I666" s="48">
        <f>[1]!BexGetData("DP_2","DL719O2RYNIY3MZ1QVCEEWBN7","17","E","13042121E206","2067315011")</f>
        <v>0</v>
      </c>
    </row>
    <row r="667" spans="1:9" x14ac:dyDescent="0.2">
      <c r="A667" s="46" t="s">
        <v>32</v>
      </c>
      <c r="B667" s="46" t="s">
        <v>32</v>
      </c>
      <c r="C667" s="46" t="s">
        <v>32</v>
      </c>
      <c r="D667" s="46" t="s">
        <v>32</v>
      </c>
      <c r="E667" s="46" t="s">
        <v>32</v>
      </c>
      <c r="F667" s="47">
        <f>[1]!BexGetData("DP_2","DL719O2RYNC0Y217V0FVT1R77","17","E","13042121E206","2067322031")</f>
        <v>29499.99</v>
      </c>
      <c r="G667" s="48">
        <f>[1]!BexGetData("DP_2","DL719O2RYNEBZX0HTMQQ0BY0J","17","E","13042121E206","2067322031")</f>
        <v>29499.99</v>
      </c>
      <c r="H667" s="48">
        <f>[1]!BexGetData("DP_2","DL719O2RYNGN1RZRS91K7M4TV","17","E","13042121E206","2067322031")</f>
        <v>29499.99</v>
      </c>
      <c r="I667" s="48">
        <f>[1]!BexGetData("DP_2","DL719O2RYNIY3MZ1QVCEEWBN7","17","E","13042121E206","2067322031")</f>
        <v>0</v>
      </c>
    </row>
    <row r="668" spans="1:9" x14ac:dyDescent="0.2">
      <c r="A668" s="46" t="s">
        <v>32</v>
      </c>
      <c r="B668" s="46" t="s">
        <v>32</v>
      </c>
      <c r="C668" s="46" t="s">
        <v>32</v>
      </c>
      <c r="D668" s="46" t="s">
        <v>32</v>
      </c>
      <c r="E668" s="46" t="s">
        <v>32</v>
      </c>
      <c r="F668" s="47">
        <f>[1]!BexGetData("DP_2","DL719O2RYNC0Y217V0FVT1R77","17","E","13042121E206","2067329011")</f>
        <v>940075.04</v>
      </c>
      <c r="G668" s="48">
        <f>[1]!BexGetData("DP_2","DL719O2RYNEBZX0HTMQQ0BY0J","17","E","13042121E206","2067329011")</f>
        <v>940075.04</v>
      </c>
      <c r="H668" s="48">
        <f>[1]!BexGetData("DP_2","DL719O2RYNGN1RZRS91K7M4TV","17","E","13042121E206","2067329011")</f>
        <v>615521.4</v>
      </c>
      <c r="I668" s="48">
        <f>[1]!BexGetData("DP_2","DL719O2RYNIY3MZ1QVCEEWBN7","17","E","13042121E206","2067329011")</f>
        <v>0</v>
      </c>
    </row>
    <row r="669" spans="1:9" x14ac:dyDescent="0.2">
      <c r="A669" s="46" t="s">
        <v>32</v>
      </c>
      <c r="B669" s="46" t="s">
        <v>32</v>
      </c>
      <c r="C669" s="46" t="s">
        <v>32</v>
      </c>
      <c r="D669" s="46" t="s">
        <v>32</v>
      </c>
      <c r="E669" s="46" t="s">
        <v>32</v>
      </c>
      <c r="F669" s="47">
        <f>[1]!BexGetData("DP_2","DL719O2RYNC0Y217V0FVT1R77","17","E","13042121E206","2067333011")</f>
        <v>98095.98</v>
      </c>
      <c r="G669" s="48">
        <f>[1]!BexGetData("DP_2","DL719O2RYNEBZX0HTMQQ0BY0J","17","E","13042121E206","2067333011")</f>
        <v>98095.98</v>
      </c>
      <c r="H669" s="48">
        <f>[1]!BexGetData("DP_2","DL719O2RYNGN1RZRS91K7M4TV","17","E","13042121E206","2067333011")</f>
        <v>98095.98</v>
      </c>
      <c r="I669" s="48">
        <f>[1]!BexGetData("DP_2","DL719O2RYNIY3MZ1QVCEEWBN7","17","E","13042121E206","2067333011")</f>
        <v>0</v>
      </c>
    </row>
    <row r="670" spans="1:9" x14ac:dyDescent="0.2">
      <c r="A670" s="46" t="s">
        <v>32</v>
      </c>
      <c r="B670" s="46" t="s">
        <v>32</v>
      </c>
      <c r="C670" s="46" t="s">
        <v>32</v>
      </c>
      <c r="D670" s="46" t="s">
        <v>32</v>
      </c>
      <c r="E670" s="46" t="s">
        <v>32</v>
      </c>
      <c r="F670" s="47">
        <f>[1]!BexGetData("DP_2","DL719O2RYNC0Y217V0FVT1R77","17","E","13042121E206","2067336011")</f>
        <v>63511.62</v>
      </c>
      <c r="G670" s="48">
        <f>[1]!BexGetData("DP_2","DL719O2RYNEBZX0HTMQQ0BY0J","17","E","13042121E206","2067336011")</f>
        <v>63511.62</v>
      </c>
      <c r="H670" s="48">
        <f>[1]!BexGetData("DP_2","DL719O2RYNGN1RZRS91K7M4TV","17","E","13042121E206","2067336011")</f>
        <v>58100.22</v>
      </c>
      <c r="I670" s="48">
        <f>[1]!BexGetData("DP_2","DL719O2RYNIY3MZ1QVCEEWBN7","17","E","13042121E206","2067336011")</f>
        <v>0</v>
      </c>
    </row>
    <row r="671" spans="1:9" x14ac:dyDescent="0.2">
      <c r="A671" s="46" t="s">
        <v>32</v>
      </c>
      <c r="B671" s="46" t="s">
        <v>32</v>
      </c>
      <c r="C671" s="46" t="s">
        <v>32</v>
      </c>
      <c r="D671" s="46" t="s">
        <v>32</v>
      </c>
      <c r="E671" s="46" t="s">
        <v>32</v>
      </c>
      <c r="F671" s="47">
        <f>[1]!BexGetData("DP_2","DL719O2RYNC0Y217V0FVT1R77","17","E","13042121E206","2067339011")</f>
        <v>58000</v>
      </c>
      <c r="G671" s="48">
        <f>[1]!BexGetData("DP_2","DL719O2RYNEBZX0HTMQQ0BY0J","17","E","13042121E206","2067339011")</f>
        <v>58000</v>
      </c>
      <c r="H671" s="48">
        <f>[1]!BexGetData("DP_2","DL719O2RYNGN1RZRS91K7M4TV","17","E","13042121E206","2067339011")</f>
        <v>44080</v>
      </c>
      <c r="I671" s="48">
        <f>[1]!BexGetData("DP_2","DL719O2RYNIY3MZ1QVCEEWBN7","17","E","13042121E206","2067339011")</f>
        <v>0</v>
      </c>
    </row>
    <row r="672" spans="1:9" x14ac:dyDescent="0.2">
      <c r="A672" s="46" t="s">
        <v>32</v>
      </c>
      <c r="B672" s="46" t="s">
        <v>32</v>
      </c>
      <c r="C672" s="46" t="s">
        <v>32</v>
      </c>
      <c r="D672" s="46" t="s">
        <v>32</v>
      </c>
      <c r="E672" s="46" t="s">
        <v>32</v>
      </c>
      <c r="F672" s="47">
        <f>[1]!BexGetData("DP_2","DL719O2RYNC0Y217V0FVT1R77","17","E","13042121E206","2067339021")</f>
        <v>0</v>
      </c>
      <c r="G672" s="48">
        <f>[1]!BexGetData("DP_2","DL719O2RYNEBZX0HTMQQ0BY0J","17","E","13042121E206","2067339021")</f>
        <v>0</v>
      </c>
      <c r="H672" s="48">
        <f>[1]!BexGetData("DP_2","DL719O2RYNGN1RZRS91K7M4TV","17","E","13042121E206","2067339021")</f>
        <v>0</v>
      </c>
      <c r="I672" s="48">
        <f>[1]!BexGetData("DP_2","DL719O2RYNIY3MZ1QVCEEWBN7","17","E","13042121E206","2067339021")</f>
        <v>0</v>
      </c>
    </row>
    <row r="673" spans="1:9" x14ac:dyDescent="0.2">
      <c r="A673" s="46" t="s">
        <v>32</v>
      </c>
      <c r="B673" s="46" t="s">
        <v>32</v>
      </c>
      <c r="C673" s="46" t="s">
        <v>32</v>
      </c>
      <c r="D673" s="46" t="s">
        <v>32</v>
      </c>
      <c r="E673" s="46" t="s">
        <v>32</v>
      </c>
      <c r="F673" s="47">
        <f>[1]!BexGetData("DP_2","DL719O2RYNC0Y217V0FVT1R77","17","E","13042121E206","2067347011")</f>
        <v>1302.7</v>
      </c>
      <c r="G673" s="48">
        <f>[1]!BexGetData("DP_2","DL719O2RYNEBZX0HTMQQ0BY0J","17","E","13042121E206","2067347011")</f>
        <v>1302.7</v>
      </c>
      <c r="H673" s="48">
        <f>[1]!BexGetData("DP_2","DL719O2RYNGN1RZRS91K7M4TV","17","E","13042121E206","2067347011")</f>
        <v>1302.7</v>
      </c>
      <c r="I673" s="48">
        <f>[1]!BexGetData("DP_2","DL719O2RYNIY3MZ1QVCEEWBN7","17","E","13042121E206","2067347011")</f>
        <v>0</v>
      </c>
    </row>
    <row r="674" spans="1:9" x14ac:dyDescent="0.2">
      <c r="A674" s="46" t="s">
        <v>32</v>
      </c>
      <c r="B674" s="46" t="s">
        <v>32</v>
      </c>
      <c r="C674" s="46" t="s">
        <v>32</v>
      </c>
      <c r="D674" s="46" t="s">
        <v>32</v>
      </c>
      <c r="E674" s="46" t="s">
        <v>32</v>
      </c>
      <c r="F674" s="47">
        <f>[1]!BexGetData("DP_2","DL719O2RYNC0Y217V0FVT1R77","17","E","13042121E206","2067353011")</f>
        <v>0</v>
      </c>
      <c r="G674" s="48">
        <f>[1]!BexGetData("DP_2","DL719O2RYNEBZX0HTMQQ0BY0J","17","E","13042121E206","2067353011")</f>
        <v>0</v>
      </c>
      <c r="H674" s="48">
        <f>[1]!BexGetData("DP_2","DL719O2RYNGN1RZRS91K7M4TV","17","E","13042121E206","2067353011")</f>
        <v>0</v>
      </c>
      <c r="I674" s="48">
        <f>[1]!BexGetData("DP_2","DL719O2RYNIY3MZ1QVCEEWBN7","17","E","13042121E206","2067353011")</f>
        <v>0</v>
      </c>
    </row>
    <row r="675" spans="1:9" x14ac:dyDescent="0.2">
      <c r="A675" s="46" t="s">
        <v>32</v>
      </c>
      <c r="B675" s="46" t="s">
        <v>32</v>
      </c>
      <c r="C675" s="46" t="s">
        <v>32</v>
      </c>
      <c r="D675" s="46" t="s">
        <v>32</v>
      </c>
      <c r="E675" s="46" t="s">
        <v>32</v>
      </c>
      <c r="F675" s="47">
        <f>[1]!BexGetData("DP_2","DL719O2RYNC0Y217V0FVT1R77","17","E","13042121E206","2067358011")</f>
        <v>244.2</v>
      </c>
      <c r="G675" s="48">
        <f>[1]!BexGetData("DP_2","DL719O2RYNEBZX0HTMQQ0BY0J","17","E","13042121E206","2067358011")</f>
        <v>244.2</v>
      </c>
      <c r="H675" s="48">
        <f>[1]!BexGetData("DP_2","DL719O2RYNGN1RZRS91K7M4TV","17","E","13042121E206","2067358011")</f>
        <v>244.2</v>
      </c>
      <c r="I675" s="48">
        <f>[1]!BexGetData("DP_2","DL719O2RYNIY3MZ1QVCEEWBN7","17","E","13042121E206","2067358011")</f>
        <v>0</v>
      </c>
    </row>
    <row r="676" spans="1:9" x14ac:dyDescent="0.2">
      <c r="A676" s="46" t="s">
        <v>32</v>
      </c>
      <c r="B676" s="46" t="s">
        <v>32</v>
      </c>
      <c r="C676" s="46" t="s">
        <v>32</v>
      </c>
      <c r="D676" s="46" t="s">
        <v>32</v>
      </c>
      <c r="E676" s="46" t="s">
        <v>32</v>
      </c>
      <c r="F676" s="47">
        <f>[1]!BexGetData("DP_2","DL719O2RYNC0Y217V0FVT1R77","17","E","13042121E206","2067361011")</f>
        <v>5564.13</v>
      </c>
      <c r="G676" s="48">
        <f>[1]!BexGetData("DP_2","DL719O2RYNEBZX0HTMQQ0BY0J","17","E","13042121E206","2067361011")</f>
        <v>5564.13</v>
      </c>
      <c r="H676" s="48">
        <f>[1]!BexGetData("DP_2","DL719O2RYNGN1RZRS91K7M4TV","17","E","13042121E206","2067361011")</f>
        <v>5564.13</v>
      </c>
      <c r="I676" s="48">
        <f>[1]!BexGetData("DP_2","DL719O2RYNIY3MZ1QVCEEWBN7","17","E","13042121E206","2067361011")</f>
        <v>0</v>
      </c>
    </row>
    <row r="677" spans="1:9" x14ac:dyDescent="0.2">
      <c r="A677" s="46" t="s">
        <v>32</v>
      </c>
      <c r="B677" s="46" t="s">
        <v>32</v>
      </c>
      <c r="C677" s="46" t="s">
        <v>32</v>
      </c>
      <c r="D677" s="46" t="s">
        <v>32</v>
      </c>
      <c r="E677" s="46" t="s">
        <v>32</v>
      </c>
      <c r="F677" s="47">
        <f>[1]!BexGetData("DP_2","DL719O2RYNC0Y217V0FVT1R77","17","E","13042121E206","2067371011")</f>
        <v>9981</v>
      </c>
      <c r="G677" s="48">
        <f>[1]!BexGetData("DP_2","DL719O2RYNEBZX0HTMQQ0BY0J","17","E","13042121E206","2067371011")</f>
        <v>9981</v>
      </c>
      <c r="H677" s="48">
        <f>[1]!BexGetData("DP_2","DL719O2RYNGN1RZRS91K7M4TV","17","E","13042121E206","2067371011")</f>
        <v>0</v>
      </c>
      <c r="I677" s="48">
        <f>[1]!BexGetData("DP_2","DL719O2RYNIY3MZ1QVCEEWBN7","17","E","13042121E206","2067371011")</f>
        <v>0</v>
      </c>
    </row>
    <row r="678" spans="1:9" x14ac:dyDescent="0.2">
      <c r="A678" s="46" t="s">
        <v>32</v>
      </c>
      <c r="B678" s="46" t="s">
        <v>32</v>
      </c>
      <c r="C678" s="46" t="s">
        <v>32</v>
      </c>
      <c r="D678" s="46" t="s">
        <v>32</v>
      </c>
      <c r="E678" s="46" t="s">
        <v>32</v>
      </c>
      <c r="F678" s="47">
        <f>[1]!BexGetData("DP_2","DL719O2RYNC0Y217V0FVT1R77","17","E","13042121E206","2067372011")</f>
        <v>2490</v>
      </c>
      <c r="G678" s="48">
        <f>[1]!BexGetData("DP_2","DL719O2RYNEBZX0HTMQQ0BY0J","17","E","13042121E206","2067372011")</f>
        <v>2490</v>
      </c>
      <c r="H678" s="48">
        <f>[1]!BexGetData("DP_2","DL719O2RYNGN1RZRS91K7M4TV","17","E","13042121E206","2067372011")</f>
        <v>2490</v>
      </c>
      <c r="I678" s="48">
        <f>[1]!BexGetData("DP_2","DL719O2RYNIY3MZ1QVCEEWBN7","17","E","13042121E206","2067372011")</f>
        <v>0</v>
      </c>
    </row>
    <row r="679" spans="1:9" x14ac:dyDescent="0.2">
      <c r="A679" s="46" t="s">
        <v>32</v>
      </c>
      <c r="B679" s="46" t="s">
        <v>32</v>
      </c>
      <c r="C679" s="46" t="s">
        <v>32</v>
      </c>
      <c r="D679" s="46" t="s">
        <v>32</v>
      </c>
      <c r="E679" s="46" t="s">
        <v>32</v>
      </c>
      <c r="F679" s="47">
        <f>[1]!BexGetData("DP_2","DL719O2RYNC0Y217V0FVT1R77","17","E","13042121E206","2067375011")</f>
        <v>3000</v>
      </c>
      <c r="G679" s="48">
        <f>[1]!BexGetData("DP_2","DL719O2RYNEBZX0HTMQQ0BY0J","17","E","13042121E206","2067375011")</f>
        <v>3000</v>
      </c>
      <c r="H679" s="48">
        <f>[1]!BexGetData("DP_2","DL719O2RYNGN1RZRS91K7M4TV","17","E","13042121E206","2067375011")</f>
        <v>3000</v>
      </c>
      <c r="I679" s="48">
        <f>[1]!BexGetData("DP_2","DL719O2RYNIY3MZ1QVCEEWBN7","17","E","13042121E206","2067375011")</f>
        <v>0</v>
      </c>
    </row>
    <row r="680" spans="1:9" x14ac:dyDescent="0.2">
      <c r="A680" s="46" t="s">
        <v>32</v>
      </c>
      <c r="B680" s="46" t="s">
        <v>32</v>
      </c>
      <c r="C680" s="46" t="s">
        <v>32</v>
      </c>
      <c r="D680" s="46" t="s">
        <v>32</v>
      </c>
      <c r="E680" s="46" t="s">
        <v>32</v>
      </c>
      <c r="F680" s="47">
        <f>[1]!BexGetData("DP_2","DL719O2RYNC0Y217V0FVT1R77","17","E","13042121E206","2067382011")</f>
        <v>87000</v>
      </c>
      <c r="G680" s="48">
        <f>[1]!BexGetData("DP_2","DL719O2RYNEBZX0HTMQQ0BY0J","17","E","13042121E206","2067382011")</f>
        <v>87000</v>
      </c>
      <c r="H680" s="48">
        <f>[1]!BexGetData("DP_2","DL719O2RYNGN1RZRS91K7M4TV","17","E","13042121E206","2067382011")</f>
        <v>87000</v>
      </c>
      <c r="I680" s="48">
        <f>[1]!BexGetData("DP_2","DL719O2RYNIY3MZ1QVCEEWBN7","17","E","13042121E206","2067382011")</f>
        <v>0</v>
      </c>
    </row>
    <row r="681" spans="1:9" x14ac:dyDescent="0.2">
      <c r="A681" s="46" t="s">
        <v>32</v>
      </c>
      <c r="B681" s="46" t="s">
        <v>32</v>
      </c>
      <c r="C681" s="46" t="s">
        <v>32</v>
      </c>
      <c r="D681" s="46" t="s">
        <v>32</v>
      </c>
      <c r="E681" s="46" t="s">
        <v>32</v>
      </c>
      <c r="F681" s="47">
        <f>[1]!BexGetData("DP_2","DL719O2RYNC0Y217V0FVT1R77","17","E","13042121E206","2067382021")</f>
        <v>2669077.71</v>
      </c>
      <c r="G681" s="48">
        <f>[1]!BexGetData("DP_2","DL719O2RYNEBZX0HTMQQ0BY0J","17","E","13042121E206","2067382021")</f>
        <v>2669077.71</v>
      </c>
      <c r="H681" s="48">
        <f>[1]!BexGetData("DP_2","DL719O2RYNGN1RZRS91K7M4TV","17","E","13042121E206","2067382021")</f>
        <v>2232769.9300000002</v>
      </c>
      <c r="I681" s="48">
        <f>[1]!BexGetData("DP_2","DL719O2RYNIY3MZ1QVCEEWBN7","17","E","13042121E206","2067382021")</f>
        <v>0</v>
      </c>
    </row>
    <row r="682" spans="1:9" x14ac:dyDescent="0.2">
      <c r="A682" s="46" t="s">
        <v>32</v>
      </c>
      <c r="B682" s="46" t="s">
        <v>32</v>
      </c>
      <c r="C682" s="46" t="s">
        <v>32</v>
      </c>
      <c r="D682" s="46" t="s">
        <v>32</v>
      </c>
      <c r="E682" s="46" t="s">
        <v>32</v>
      </c>
      <c r="F682" s="47">
        <f>[1]!BexGetData("DP_2","DL719O2RYNC0Y217V0FVT1R77","17","E","13042121E206","2067382031")</f>
        <v>0</v>
      </c>
      <c r="G682" s="48">
        <f>[1]!BexGetData("DP_2","DL719O2RYNEBZX0HTMQQ0BY0J","17","E","13042121E206","2067382031")</f>
        <v>0</v>
      </c>
      <c r="H682" s="48">
        <f>[1]!BexGetData("DP_2","DL719O2RYNGN1RZRS91K7M4TV","17","E","13042121E206","2067382031")</f>
        <v>0</v>
      </c>
      <c r="I682" s="48">
        <f>[1]!BexGetData("DP_2","DL719O2RYNIY3MZ1QVCEEWBN7","17","E","13042121E206","2067382031")</f>
        <v>0</v>
      </c>
    </row>
    <row r="683" spans="1:9" x14ac:dyDescent="0.2">
      <c r="A683" s="46" t="s">
        <v>32</v>
      </c>
      <c r="B683" s="46" t="s">
        <v>32</v>
      </c>
      <c r="C683" s="46" t="s">
        <v>32</v>
      </c>
      <c r="D683" s="46" t="s">
        <v>32</v>
      </c>
      <c r="E683" s="46" t="s">
        <v>32</v>
      </c>
      <c r="F683" s="47">
        <f>[1]!BexGetData("DP_2","DL719O2RYNC0Y217V0FVT1R77","17","E","13042121E206","2067385011")</f>
        <v>0</v>
      </c>
      <c r="G683" s="48">
        <f>[1]!BexGetData("DP_2","DL719O2RYNEBZX0HTMQQ0BY0J","17","E","13042121E206","2067385011")</f>
        <v>0</v>
      </c>
      <c r="H683" s="48">
        <f>[1]!BexGetData("DP_2","DL719O2RYNGN1RZRS91K7M4TV","17","E","13042121E206","2067385011")</f>
        <v>0</v>
      </c>
      <c r="I683" s="48">
        <f>[1]!BexGetData("DP_2","DL719O2RYNIY3MZ1QVCEEWBN7","17","E","13042121E206","2067385011")</f>
        <v>0</v>
      </c>
    </row>
    <row r="684" spans="1:9" x14ac:dyDescent="0.2">
      <c r="A684" s="46" t="s">
        <v>32</v>
      </c>
      <c r="B684" s="46" t="s">
        <v>32</v>
      </c>
      <c r="C684" s="46" t="s">
        <v>32</v>
      </c>
      <c r="D684" s="46" t="s">
        <v>32</v>
      </c>
      <c r="E684" s="46" t="s">
        <v>32</v>
      </c>
      <c r="F684" s="47">
        <f>[1]!BexGetData("DP_2","DL719O2RYNC0Y217V0FVT1R77","17","E","13042121E206","2067441011")</f>
        <v>5000</v>
      </c>
      <c r="G684" s="48">
        <f>[1]!BexGetData("DP_2","DL719O2RYNEBZX0HTMQQ0BY0J","17","E","13042121E206","2067441011")</f>
        <v>5000</v>
      </c>
      <c r="H684" s="48">
        <f>[1]!BexGetData("DP_2","DL719O2RYNGN1RZRS91K7M4TV","17","E","13042121E206","2067441011")</f>
        <v>5000</v>
      </c>
      <c r="I684" s="48">
        <f>[1]!BexGetData("DP_2","DL719O2RYNIY3MZ1QVCEEWBN7","17","E","13042121E206","2067441011")</f>
        <v>0</v>
      </c>
    </row>
    <row r="685" spans="1:9" x14ac:dyDescent="0.2">
      <c r="A685" s="46" t="s">
        <v>32</v>
      </c>
      <c r="B685" s="46" t="s">
        <v>32</v>
      </c>
      <c r="C685" s="46" t="s">
        <v>96</v>
      </c>
      <c r="D685" s="46" t="s">
        <v>96</v>
      </c>
      <c r="E685" s="46" t="s">
        <v>32</v>
      </c>
      <c r="F685" s="47">
        <f>[1]!BexGetData("DP_2","DL719O2RYNC0Y217V0FVT1R77","17","E","13051061E101","2067113011")</f>
        <v>0</v>
      </c>
      <c r="G685" s="48">
        <f>[1]!BexGetData("DP_2","DL719O2RYNEBZX0HTMQQ0BY0J","17","E","13051061E101","2067113011")</f>
        <v>0</v>
      </c>
      <c r="H685" s="48">
        <f>[1]!BexGetData("DP_2","DL719O2RYNGN1RZRS91K7M4TV","17","E","13051061E101","2067113011")</f>
        <v>0</v>
      </c>
      <c r="I685" s="48">
        <f>[1]!BexGetData("DP_2","DL719O2RYNIY3MZ1QVCEEWBN7","17","E","13051061E101","2067113011")</f>
        <v>0</v>
      </c>
    </row>
    <row r="686" spans="1:9" x14ac:dyDescent="0.2">
      <c r="A686" s="46" t="s">
        <v>32</v>
      </c>
      <c r="B686" s="46" t="s">
        <v>32</v>
      </c>
      <c r="C686" s="46" t="s">
        <v>32</v>
      </c>
      <c r="D686" s="46" t="s">
        <v>32</v>
      </c>
      <c r="E686" s="46" t="s">
        <v>32</v>
      </c>
      <c r="F686" s="47">
        <f>[1]!BexGetData("DP_2","DL719O2RYNC0Y217V0FVT1R77","17","E","13051061E101","2067113021")</f>
        <v>0</v>
      </c>
      <c r="G686" s="48">
        <f>[1]!BexGetData("DP_2","DL719O2RYNEBZX0HTMQQ0BY0J","17","E","13051061E101","2067113021")</f>
        <v>0</v>
      </c>
      <c r="H686" s="48">
        <f>[1]!BexGetData("DP_2","DL719O2RYNGN1RZRS91K7M4TV","17","E","13051061E101","2067113021")</f>
        <v>0</v>
      </c>
      <c r="I686" s="48">
        <f>[1]!BexGetData("DP_2","DL719O2RYNIY3MZ1QVCEEWBN7","17","E","13051061E101","2067113021")</f>
        <v>0</v>
      </c>
    </row>
    <row r="687" spans="1:9" x14ac:dyDescent="0.2">
      <c r="A687" s="46" t="s">
        <v>32</v>
      </c>
      <c r="B687" s="46" t="s">
        <v>32</v>
      </c>
      <c r="C687" s="46" t="s">
        <v>32</v>
      </c>
      <c r="D687" s="46" t="s">
        <v>32</v>
      </c>
      <c r="E687" s="46" t="s">
        <v>32</v>
      </c>
      <c r="F687" s="47">
        <f>[1]!BexGetData("DP_2","DL719O2RYNC0Y217V0FVT1R77","17","E","13051061E101","2067131011")</f>
        <v>0</v>
      </c>
      <c r="G687" s="48">
        <f>[1]!BexGetData("DP_2","DL719O2RYNEBZX0HTMQQ0BY0J","17","E","13051061E101","2067131011")</f>
        <v>0</v>
      </c>
      <c r="H687" s="48">
        <f>[1]!BexGetData("DP_2","DL719O2RYNGN1RZRS91K7M4TV","17","E","13051061E101","2067131011")</f>
        <v>0</v>
      </c>
      <c r="I687" s="48">
        <f>[1]!BexGetData("DP_2","DL719O2RYNIY3MZ1QVCEEWBN7","17","E","13051061E101","2067131011")</f>
        <v>0</v>
      </c>
    </row>
    <row r="688" spans="1:9" x14ac:dyDescent="0.2">
      <c r="A688" s="46" t="s">
        <v>32</v>
      </c>
      <c r="B688" s="46" t="s">
        <v>32</v>
      </c>
      <c r="C688" s="46" t="s">
        <v>32</v>
      </c>
      <c r="D688" s="46" t="s">
        <v>32</v>
      </c>
      <c r="E688" s="46" t="s">
        <v>32</v>
      </c>
      <c r="F688" s="47">
        <f>[1]!BexGetData("DP_2","DL719O2RYNC0Y217V0FVT1R77","17","E","13051061E101","2067131021")</f>
        <v>0</v>
      </c>
      <c r="G688" s="48">
        <f>[1]!BexGetData("DP_2","DL719O2RYNEBZX0HTMQQ0BY0J","17","E","13051061E101","2067131021")</f>
        <v>0</v>
      </c>
      <c r="H688" s="48">
        <f>[1]!BexGetData("DP_2","DL719O2RYNGN1RZRS91K7M4TV","17","E","13051061E101","2067131021")</f>
        <v>0</v>
      </c>
      <c r="I688" s="48">
        <f>[1]!BexGetData("DP_2","DL719O2RYNIY3MZ1QVCEEWBN7","17","E","13051061E101","2067131021")</f>
        <v>0</v>
      </c>
    </row>
    <row r="689" spans="1:9" x14ac:dyDescent="0.2">
      <c r="A689" s="46" t="s">
        <v>32</v>
      </c>
      <c r="B689" s="46" t="s">
        <v>32</v>
      </c>
      <c r="C689" s="46" t="s">
        <v>32</v>
      </c>
      <c r="D689" s="46" t="s">
        <v>32</v>
      </c>
      <c r="E689" s="46" t="s">
        <v>32</v>
      </c>
      <c r="F689" s="47">
        <f>[1]!BexGetData("DP_2","DL719O2RYNC0Y217V0FVT1R77","17","E","13051061E101","2067132011")</f>
        <v>0</v>
      </c>
      <c r="G689" s="48">
        <f>[1]!BexGetData("DP_2","DL719O2RYNEBZX0HTMQQ0BY0J","17","E","13051061E101","2067132011")</f>
        <v>0</v>
      </c>
      <c r="H689" s="48">
        <f>[1]!BexGetData("DP_2","DL719O2RYNGN1RZRS91K7M4TV","17","E","13051061E101","2067132011")</f>
        <v>0</v>
      </c>
      <c r="I689" s="48">
        <f>[1]!BexGetData("DP_2","DL719O2RYNIY3MZ1QVCEEWBN7","17","E","13051061E101","2067132011")</f>
        <v>0</v>
      </c>
    </row>
    <row r="690" spans="1:9" x14ac:dyDescent="0.2">
      <c r="A690" s="46" t="s">
        <v>32</v>
      </c>
      <c r="B690" s="46" t="s">
        <v>32</v>
      </c>
      <c r="C690" s="46" t="s">
        <v>32</v>
      </c>
      <c r="D690" s="46" t="s">
        <v>32</v>
      </c>
      <c r="E690" s="46" t="s">
        <v>32</v>
      </c>
      <c r="F690" s="47">
        <f>[1]!BexGetData("DP_2","DL719O2RYNC0Y217V0FVT1R77","17","E","13051061E101","2067132021")</f>
        <v>0</v>
      </c>
      <c r="G690" s="48">
        <f>[1]!BexGetData("DP_2","DL719O2RYNEBZX0HTMQQ0BY0J","17","E","13051061E101","2067132021")</f>
        <v>0</v>
      </c>
      <c r="H690" s="48">
        <f>[1]!BexGetData("DP_2","DL719O2RYNGN1RZRS91K7M4TV","17","E","13051061E101","2067132021")</f>
        <v>0</v>
      </c>
      <c r="I690" s="48">
        <f>[1]!BexGetData("DP_2","DL719O2RYNIY3MZ1QVCEEWBN7","17","E","13051061E101","2067132021")</f>
        <v>0</v>
      </c>
    </row>
    <row r="691" spans="1:9" x14ac:dyDescent="0.2">
      <c r="A691" s="46" t="s">
        <v>32</v>
      </c>
      <c r="B691" s="46" t="s">
        <v>32</v>
      </c>
      <c r="C691" s="46" t="s">
        <v>32</v>
      </c>
      <c r="D691" s="46" t="s">
        <v>32</v>
      </c>
      <c r="E691" s="46" t="s">
        <v>32</v>
      </c>
      <c r="F691" s="47">
        <f>[1]!BexGetData("DP_2","DL719O2RYNC0Y217V0FVT1R77","17","E","13051061E101","2067134021")</f>
        <v>0</v>
      </c>
      <c r="G691" s="48">
        <f>[1]!BexGetData("DP_2","DL719O2RYNEBZX0HTMQQ0BY0J","17","E","13051061E101","2067134021")</f>
        <v>0</v>
      </c>
      <c r="H691" s="48">
        <f>[1]!BexGetData("DP_2","DL719O2RYNGN1RZRS91K7M4TV","17","E","13051061E101","2067134021")</f>
        <v>0</v>
      </c>
      <c r="I691" s="48">
        <f>[1]!BexGetData("DP_2","DL719O2RYNIY3MZ1QVCEEWBN7","17","E","13051061E101","2067134021")</f>
        <v>0</v>
      </c>
    </row>
    <row r="692" spans="1:9" x14ac:dyDescent="0.2">
      <c r="A692" s="46" t="s">
        <v>32</v>
      </c>
      <c r="B692" s="46" t="s">
        <v>32</v>
      </c>
      <c r="C692" s="46" t="s">
        <v>32</v>
      </c>
      <c r="D692" s="46" t="s">
        <v>32</v>
      </c>
      <c r="E692" s="46" t="s">
        <v>32</v>
      </c>
      <c r="F692" s="47">
        <f>[1]!BexGetData("DP_2","DL719O2RYNC0Y217V0FVT1R77","17","E","13051061E101","2067141011")</f>
        <v>0</v>
      </c>
      <c r="G692" s="48">
        <f>[1]!BexGetData("DP_2","DL719O2RYNEBZX0HTMQQ0BY0J","17","E","13051061E101","2067141011")</f>
        <v>0</v>
      </c>
      <c r="H692" s="48">
        <f>[1]!BexGetData("DP_2","DL719O2RYNGN1RZRS91K7M4TV","17","E","13051061E101","2067141011")</f>
        <v>0</v>
      </c>
      <c r="I692" s="48">
        <f>[1]!BexGetData("DP_2","DL719O2RYNIY3MZ1QVCEEWBN7","17","E","13051061E101","2067141011")</f>
        <v>0</v>
      </c>
    </row>
    <row r="693" spans="1:9" x14ac:dyDescent="0.2">
      <c r="A693" s="46" t="s">
        <v>32</v>
      </c>
      <c r="B693" s="46" t="s">
        <v>32</v>
      </c>
      <c r="C693" s="46" t="s">
        <v>32</v>
      </c>
      <c r="D693" s="46" t="s">
        <v>32</v>
      </c>
      <c r="E693" s="46" t="s">
        <v>32</v>
      </c>
      <c r="F693" s="47">
        <f>[1]!BexGetData("DP_2","DL719O2RYNC0Y217V0FVT1R77","17","E","13051061E101","2067141021")</f>
        <v>0</v>
      </c>
      <c r="G693" s="48">
        <f>[1]!BexGetData("DP_2","DL719O2RYNEBZX0HTMQQ0BY0J","17","E","13051061E101","2067141021")</f>
        <v>0</v>
      </c>
      <c r="H693" s="48">
        <f>[1]!BexGetData("DP_2","DL719O2RYNGN1RZRS91K7M4TV","17","E","13051061E101","2067141021")</f>
        <v>0</v>
      </c>
      <c r="I693" s="48">
        <f>[1]!BexGetData("DP_2","DL719O2RYNIY3MZ1QVCEEWBN7","17","E","13051061E101","2067141021")</f>
        <v>0</v>
      </c>
    </row>
    <row r="694" spans="1:9" x14ac:dyDescent="0.2">
      <c r="A694" s="46" t="s">
        <v>32</v>
      </c>
      <c r="B694" s="46" t="s">
        <v>32</v>
      </c>
      <c r="C694" s="46" t="s">
        <v>32</v>
      </c>
      <c r="D694" s="46" t="s">
        <v>32</v>
      </c>
      <c r="E694" s="46" t="s">
        <v>32</v>
      </c>
      <c r="F694" s="47">
        <f>[1]!BexGetData("DP_2","DL719O2RYNC0Y217V0FVT1R77","17","E","13051061E101","2067143011")</f>
        <v>0</v>
      </c>
      <c r="G694" s="48">
        <f>[1]!BexGetData("DP_2","DL719O2RYNEBZX0HTMQQ0BY0J","17","E","13051061E101","2067143011")</f>
        <v>0</v>
      </c>
      <c r="H694" s="48">
        <f>[1]!BexGetData("DP_2","DL719O2RYNGN1RZRS91K7M4TV","17","E","13051061E101","2067143011")</f>
        <v>0</v>
      </c>
      <c r="I694" s="48">
        <f>[1]!BexGetData("DP_2","DL719O2RYNIY3MZ1QVCEEWBN7","17","E","13051061E101","2067143011")</f>
        <v>0</v>
      </c>
    </row>
    <row r="695" spans="1:9" x14ac:dyDescent="0.2">
      <c r="A695" s="46" t="s">
        <v>32</v>
      </c>
      <c r="B695" s="46" t="s">
        <v>32</v>
      </c>
      <c r="C695" s="46" t="s">
        <v>32</v>
      </c>
      <c r="D695" s="46" t="s">
        <v>32</v>
      </c>
      <c r="E695" s="46" t="s">
        <v>32</v>
      </c>
      <c r="F695" s="47">
        <f>[1]!BexGetData("DP_2","DL719O2RYNC0Y217V0FVT1R77","17","E","13051061E101","2067151011")</f>
        <v>0</v>
      </c>
      <c r="G695" s="48">
        <f>[1]!BexGetData("DP_2","DL719O2RYNEBZX0HTMQQ0BY0J","17","E","13051061E101","2067151011")</f>
        <v>0</v>
      </c>
      <c r="H695" s="48">
        <f>[1]!BexGetData("DP_2","DL719O2RYNGN1RZRS91K7M4TV","17","E","13051061E101","2067151011")</f>
        <v>0</v>
      </c>
      <c r="I695" s="48">
        <f>[1]!BexGetData("DP_2","DL719O2RYNIY3MZ1QVCEEWBN7","17","E","13051061E101","2067151011")</f>
        <v>0</v>
      </c>
    </row>
    <row r="696" spans="1:9" x14ac:dyDescent="0.2">
      <c r="A696" s="46" t="s">
        <v>32</v>
      </c>
      <c r="B696" s="46" t="s">
        <v>32</v>
      </c>
      <c r="C696" s="46" t="s">
        <v>32</v>
      </c>
      <c r="D696" s="46" t="s">
        <v>32</v>
      </c>
      <c r="E696" s="46" t="s">
        <v>32</v>
      </c>
      <c r="F696" s="47">
        <f>[1]!BexGetData("DP_2","DL719O2RYNC0Y217V0FVT1R77","17","E","13051061E101","2067154011")</f>
        <v>0</v>
      </c>
      <c r="G696" s="48">
        <f>[1]!BexGetData("DP_2","DL719O2RYNEBZX0HTMQQ0BY0J","17","E","13051061E101","2067154011")</f>
        <v>0</v>
      </c>
      <c r="H696" s="48">
        <f>[1]!BexGetData("DP_2","DL719O2RYNGN1RZRS91K7M4TV","17","E","13051061E101","2067154011")</f>
        <v>0</v>
      </c>
      <c r="I696" s="48">
        <f>[1]!BexGetData("DP_2","DL719O2RYNIY3MZ1QVCEEWBN7","17","E","13051061E101","2067154011")</f>
        <v>0</v>
      </c>
    </row>
    <row r="697" spans="1:9" x14ac:dyDescent="0.2">
      <c r="A697" s="46" t="s">
        <v>32</v>
      </c>
      <c r="B697" s="46" t="s">
        <v>32</v>
      </c>
      <c r="C697" s="46" t="s">
        <v>32</v>
      </c>
      <c r="D697" s="46" t="s">
        <v>32</v>
      </c>
      <c r="E697" s="46" t="s">
        <v>32</v>
      </c>
      <c r="F697" s="47">
        <f>[1]!BexGetData("DP_2","DL719O2RYNC0Y217V0FVT1R77","17","E","13051061E101","2067211011")</f>
        <v>0</v>
      </c>
      <c r="G697" s="48">
        <f>[1]!BexGetData("DP_2","DL719O2RYNEBZX0HTMQQ0BY0J","17","E","13051061E101","2067211011")</f>
        <v>0</v>
      </c>
      <c r="H697" s="48">
        <f>[1]!BexGetData("DP_2","DL719O2RYNGN1RZRS91K7M4TV","17","E","13051061E101","2067211011")</f>
        <v>0</v>
      </c>
      <c r="I697" s="48">
        <f>[1]!BexGetData("DP_2","DL719O2RYNIY3MZ1QVCEEWBN7","17","E","13051061E101","2067211011")</f>
        <v>0</v>
      </c>
    </row>
    <row r="698" spans="1:9" x14ac:dyDescent="0.2">
      <c r="A698" s="46" t="s">
        <v>32</v>
      </c>
      <c r="B698" s="46" t="s">
        <v>32</v>
      </c>
      <c r="C698" s="46" t="s">
        <v>32</v>
      </c>
      <c r="D698" s="46" t="s">
        <v>32</v>
      </c>
      <c r="E698" s="46" t="s">
        <v>32</v>
      </c>
      <c r="F698" s="47">
        <f>[1]!BexGetData("DP_2","DL719O2RYNC0Y217V0FVT1R77","17","E","13051061E101","2067214011")</f>
        <v>0</v>
      </c>
      <c r="G698" s="48">
        <f>[1]!BexGetData("DP_2","DL719O2RYNEBZX0HTMQQ0BY0J","17","E","13051061E101","2067214011")</f>
        <v>0</v>
      </c>
      <c r="H698" s="48">
        <f>[1]!BexGetData("DP_2","DL719O2RYNGN1RZRS91K7M4TV","17","E","13051061E101","2067214011")</f>
        <v>0</v>
      </c>
      <c r="I698" s="48">
        <f>[1]!BexGetData("DP_2","DL719O2RYNIY3MZ1QVCEEWBN7","17","E","13051061E101","2067214011")</f>
        <v>0</v>
      </c>
    </row>
    <row r="699" spans="1:9" x14ac:dyDescent="0.2">
      <c r="A699" s="46" t="s">
        <v>32</v>
      </c>
      <c r="B699" s="46" t="s">
        <v>32</v>
      </c>
      <c r="C699" s="46" t="s">
        <v>32</v>
      </c>
      <c r="D699" s="46" t="s">
        <v>32</v>
      </c>
      <c r="E699" s="46" t="s">
        <v>32</v>
      </c>
      <c r="F699" s="47">
        <f>[1]!BexGetData("DP_2","DL719O2RYNC0Y217V0FVT1R77","17","E","13051061E101","2067274011")</f>
        <v>0</v>
      </c>
      <c r="G699" s="48">
        <f>[1]!BexGetData("DP_2","DL719O2RYNEBZX0HTMQQ0BY0J","17","E","13051061E101","2067274011")</f>
        <v>0</v>
      </c>
      <c r="H699" s="48">
        <f>[1]!BexGetData("DP_2","DL719O2RYNGN1RZRS91K7M4TV","17","E","13051061E101","2067274011")</f>
        <v>0</v>
      </c>
      <c r="I699" s="48">
        <f>[1]!BexGetData("DP_2","DL719O2RYNIY3MZ1QVCEEWBN7","17","E","13051061E101","2067274011")</f>
        <v>0</v>
      </c>
    </row>
    <row r="700" spans="1:9" x14ac:dyDescent="0.2">
      <c r="A700" s="46" t="s">
        <v>32</v>
      </c>
      <c r="B700" s="46" t="s">
        <v>32</v>
      </c>
      <c r="C700" s="46" t="s">
        <v>32</v>
      </c>
      <c r="D700" s="46" t="s">
        <v>32</v>
      </c>
      <c r="E700" s="46" t="s">
        <v>32</v>
      </c>
      <c r="F700" s="47">
        <f>[1]!BexGetData("DP_2","DL719O2RYNC0Y217V0FVT1R77","17","E","13051061E101","2067336011")</f>
        <v>0</v>
      </c>
      <c r="G700" s="48">
        <f>[1]!BexGetData("DP_2","DL719O2RYNEBZX0HTMQQ0BY0J","17","E","13051061E101","2067336011")</f>
        <v>0</v>
      </c>
      <c r="H700" s="48">
        <f>[1]!BexGetData("DP_2","DL719O2RYNGN1RZRS91K7M4TV","17","E","13051061E101","2067336011")</f>
        <v>0</v>
      </c>
      <c r="I700" s="48">
        <f>[1]!BexGetData("DP_2","DL719O2RYNIY3MZ1QVCEEWBN7","17","E","13051061E101","2067336011")</f>
        <v>0</v>
      </c>
    </row>
    <row r="701" spans="1:9" x14ac:dyDescent="0.2">
      <c r="A701" s="46" t="s">
        <v>32</v>
      </c>
      <c r="B701" s="46" t="s">
        <v>32</v>
      </c>
      <c r="C701" s="46" t="s">
        <v>32</v>
      </c>
      <c r="D701" s="46" t="s">
        <v>32</v>
      </c>
      <c r="E701" s="46" t="s">
        <v>32</v>
      </c>
      <c r="F701" s="47">
        <f>[1]!BexGetData("DP_2","DL719O2RYNC0Y217V0FVT1R77","17","E","13051061E101","2067372011")</f>
        <v>0</v>
      </c>
      <c r="G701" s="48">
        <f>[1]!BexGetData("DP_2","DL719O2RYNEBZX0HTMQQ0BY0J","17","E","13051061E101","2067372011")</f>
        <v>0</v>
      </c>
      <c r="H701" s="48">
        <f>[1]!BexGetData("DP_2","DL719O2RYNGN1RZRS91K7M4TV","17","E","13051061E101","2067372011")</f>
        <v>0</v>
      </c>
      <c r="I701" s="48">
        <f>[1]!BexGetData("DP_2","DL719O2RYNIY3MZ1QVCEEWBN7","17","E","13051061E101","2067372011")</f>
        <v>0</v>
      </c>
    </row>
    <row r="702" spans="1:9" x14ac:dyDescent="0.2">
      <c r="A702" s="46" t="s">
        <v>32</v>
      </c>
      <c r="B702" s="46" t="s">
        <v>32</v>
      </c>
      <c r="C702" s="46" t="s">
        <v>97</v>
      </c>
      <c r="D702" s="46" t="s">
        <v>97</v>
      </c>
      <c r="E702" s="46" t="s">
        <v>32</v>
      </c>
      <c r="F702" s="47">
        <f>[1]!BexGetData("DP_2","DL719O2RYNC0Y217V0FVT1R77","17","E","13071081E205","2067113011")</f>
        <v>122985.36</v>
      </c>
      <c r="G702" s="48">
        <f>[1]!BexGetData("DP_2","DL719O2RYNEBZX0HTMQQ0BY0J","17","E","13071081E205","2067113011")</f>
        <v>122985.36</v>
      </c>
      <c r="H702" s="48">
        <f>[1]!BexGetData("DP_2","DL719O2RYNGN1RZRS91K7M4TV","17","E","13071081E205","2067113011")</f>
        <v>122985.36</v>
      </c>
      <c r="I702" s="48">
        <f>[1]!BexGetData("DP_2","DL719O2RYNIY3MZ1QVCEEWBN7","17","E","13071081E205","2067113011")</f>
        <v>0</v>
      </c>
    </row>
    <row r="703" spans="1:9" x14ac:dyDescent="0.2">
      <c r="A703" s="46" t="s">
        <v>32</v>
      </c>
      <c r="B703" s="46" t="s">
        <v>32</v>
      </c>
      <c r="C703" s="46" t="s">
        <v>32</v>
      </c>
      <c r="D703" s="46" t="s">
        <v>32</v>
      </c>
      <c r="E703" s="46" t="s">
        <v>32</v>
      </c>
      <c r="F703" s="47">
        <f>[1]!BexGetData("DP_2","DL719O2RYNC0Y217V0FVT1R77","17","E","13071081E205","2067113021")</f>
        <v>217424.16</v>
      </c>
      <c r="G703" s="48">
        <f>[1]!BexGetData("DP_2","DL719O2RYNEBZX0HTMQQ0BY0J","17","E","13071081E205","2067113021")</f>
        <v>217424.16</v>
      </c>
      <c r="H703" s="48">
        <f>[1]!BexGetData("DP_2","DL719O2RYNGN1RZRS91K7M4TV","17","E","13071081E205","2067113021")</f>
        <v>217424.16</v>
      </c>
      <c r="I703" s="48">
        <f>[1]!BexGetData("DP_2","DL719O2RYNIY3MZ1QVCEEWBN7","17","E","13071081E205","2067113021")</f>
        <v>0</v>
      </c>
    </row>
    <row r="704" spans="1:9" x14ac:dyDescent="0.2">
      <c r="A704" s="46" t="s">
        <v>32</v>
      </c>
      <c r="B704" s="46" t="s">
        <v>32</v>
      </c>
      <c r="C704" s="46" t="s">
        <v>32</v>
      </c>
      <c r="D704" s="46" t="s">
        <v>32</v>
      </c>
      <c r="E704" s="46" t="s">
        <v>32</v>
      </c>
      <c r="F704" s="47">
        <f>[1]!BexGetData("DP_2","DL719O2RYNC0Y217V0FVT1R77","17","E","13071081E205","2067122011")</f>
        <v>1039040.6</v>
      </c>
      <c r="G704" s="48">
        <f>[1]!BexGetData("DP_2","DL719O2RYNEBZX0HTMQQ0BY0J","17","E","13071081E205","2067122011")</f>
        <v>1039040.6</v>
      </c>
      <c r="H704" s="48">
        <f>[1]!BexGetData("DP_2","DL719O2RYNGN1RZRS91K7M4TV","17","E","13071081E205","2067122011")</f>
        <v>1039040.6</v>
      </c>
      <c r="I704" s="48">
        <f>[1]!BexGetData("DP_2","DL719O2RYNIY3MZ1QVCEEWBN7","17","E","13071081E205","2067122011")</f>
        <v>0</v>
      </c>
    </row>
    <row r="705" spans="1:9" x14ac:dyDescent="0.2">
      <c r="A705" s="46" t="s">
        <v>32</v>
      </c>
      <c r="B705" s="46" t="s">
        <v>32</v>
      </c>
      <c r="C705" s="46" t="s">
        <v>32</v>
      </c>
      <c r="D705" s="46" t="s">
        <v>32</v>
      </c>
      <c r="E705" s="46" t="s">
        <v>32</v>
      </c>
      <c r="F705" s="47">
        <f>[1]!BexGetData("DP_2","DL719O2RYNC0Y217V0FVT1R77","17","E","13071081E205","2067131011")</f>
        <v>18159.86</v>
      </c>
      <c r="G705" s="48">
        <f>[1]!BexGetData("DP_2","DL719O2RYNEBZX0HTMQQ0BY0J","17","E","13071081E205","2067131011")</f>
        <v>18159.86</v>
      </c>
      <c r="H705" s="48">
        <f>[1]!BexGetData("DP_2","DL719O2RYNGN1RZRS91K7M4TV","17","E","13071081E205","2067131011")</f>
        <v>18159.86</v>
      </c>
      <c r="I705" s="48">
        <f>[1]!BexGetData("DP_2","DL719O2RYNIY3MZ1QVCEEWBN7","17","E","13071081E205","2067131011")</f>
        <v>0</v>
      </c>
    </row>
    <row r="706" spans="1:9" x14ac:dyDescent="0.2">
      <c r="A706" s="46" t="s">
        <v>32</v>
      </c>
      <c r="B706" s="46" t="s">
        <v>32</v>
      </c>
      <c r="C706" s="46" t="s">
        <v>32</v>
      </c>
      <c r="D706" s="46" t="s">
        <v>32</v>
      </c>
      <c r="E706" s="46" t="s">
        <v>32</v>
      </c>
      <c r="F706" s="47">
        <f>[1]!BexGetData("DP_2","DL719O2RYNC0Y217V0FVT1R77","17","E","13071081E205","2067132011")</f>
        <v>13984.62</v>
      </c>
      <c r="G706" s="48">
        <f>[1]!BexGetData("DP_2","DL719O2RYNEBZX0HTMQQ0BY0J","17","E","13071081E205","2067132011")</f>
        <v>13984.62</v>
      </c>
      <c r="H706" s="48">
        <f>[1]!BexGetData("DP_2","DL719O2RYNGN1RZRS91K7M4TV","17","E","13071081E205","2067132011")</f>
        <v>13984.62</v>
      </c>
      <c r="I706" s="48">
        <f>[1]!BexGetData("DP_2","DL719O2RYNIY3MZ1QVCEEWBN7","17","E","13071081E205","2067132011")</f>
        <v>0</v>
      </c>
    </row>
    <row r="707" spans="1:9" x14ac:dyDescent="0.2">
      <c r="A707" s="46" t="s">
        <v>32</v>
      </c>
      <c r="B707" s="46" t="s">
        <v>32</v>
      </c>
      <c r="C707" s="46" t="s">
        <v>32</v>
      </c>
      <c r="D707" s="46" t="s">
        <v>32</v>
      </c>
      <c r="E707" s="46" t="s">
        <v>32</v>
      </c>
      <c r="F707" s="47">
        <f>[1]!BexGetData("DP_2","DL719O2RYNC0Y217V0FVT1R77","17","E","13071081E205","2067132021")</f>
        <v>113205.58</v>
      </c>
      <c r="G707" s="48">
        <f>[1]!BexGetData("DP_2","DL719O2RYNEBZX0HTMQQ0BY0J","17","E","13071081E205","2067132021")</f>
        <v>113205.58</v>
      </c>
      <c r="H707" s="48">
        <f>[1]!BexGetData("DP_2","DL719O2RYNGN1RZRS91K7M4TV","17","E","13071081E205","2067132021")</f>
        <v>113205.58</v>
      </c>
      <c r="I707" s="48">
        <f>[1]!BexGetData("DP_2","DL719O2RYNIY3MZ1QVCEEWBN7","17","E","13071081E205","2067132021")</f>
        <v>0</v>
      </c>
    </row>
    <row r="708" spans="1:9" x14ac:dyDescent="0.2">
      <c r="A708" s="46" t="s">
        <v>32</v>
      </c>
      <c r="B708" s="46" t="s">
        <v>32</v>
      </c>
      <c r="C708" s="46" t="s">
        <v>32</v>
      </c>
      <c r="D708" s="46" t="s">
        <v>32</v>
      </c>
      <c r="E708" s="46" t="s">
        <v>32</v>
      </c>
      <c r="F708" s="47">
        <f>[1]!BexGetData("DP_2","DL719O2RYNC0Y217V0FVT1R77","17","E","13071081E205","2067134011")</f>
        <v>405641.99</v>
      </c>
      <c r="G708" s="48">
        <f>[1]!BexGetData("DP_2","DL719O2RYNEBZX0HTMQQ0BY0J","17","E","13071081E205","2067134011")</f>
        <v>405641.99</v>
      </c>
      <c r="H708" s="48">
        <f>[1]!BexGetData("DP_2","DL719O2RYNGN1RZRS91K7M4TV","17","E","13071081E205","2067134011")</f>
        <v>412049.15</v>
      </c>
      <c r="I708" s="48">
        <f>[1]!BexGetData("DP_2","DL719O2RYNIY3MZ1QVCEEWBN7","17","E","13071081E205","2067134011")</f>
        <v>0</v>
      </c>
    </row>
    <row r="709" spans="1:9" x14ac:dyDescent="0.2">
      <c r="A709" s="46" t="s">
        <v>32</v>
      </c>
      <c r="B709" s="46" t="s">
        <v>32</v>
      </c>
      <c r="C709" s="46" t="s">
        <v>32</v>
      </c>
      <c r="D709" s="46" t="s">
        <v>32</v>
      </c>
      <c r="E709" s="46" t="s">
        <v>32</v>
      </c>
      <c r="F709" s="47">
        <f>[1]!BexGetData("DP_2","DL719O2RYNC0Y217V0FVT1R77","17","E","13071081E205","2067134021")</f>
        <v>475029.89</v>
      </c>
      <c r="G709" s="48">
        <f>[1]!BexGetData("DP_2","DL719O2RYNEBZX0HTMQQ0BY0J","17","E","13071081E205","2067134021")</f>
        <v>475029.89</v>
      </c>
      <c r="H709" s="48">
        <f>[1]!BexGetData("DP_2","DL719O2RYNGN1RZRS91K7M4TV","17","E","13071081E205","2067134021")</f>
        <v>475029.89</v>
      </c>
      <c r="I709" s="48">
        <f>[1]!BexGetData("DP_2","DL719O2RYNIY3MZ1QVCEEWBN7","17","E","13071081E205","2067134021")</f>
        <v>0</v>
      </c>
    </row>
    <row r="710" spans="1:9" x14ac:dyDescent="0.2">
      <c r="A710" s="46" t="s">
        <v>32</v>
      </c>
      <c r="B710" s="46" t="s">
        <v>32</v>
      </c>
      <c r="C710" s="46" t="s">
        <v>32</v>
      </c>
      <c r="D710" s="46" t="s">
        <v>32</v>
      </c>
      <c r="E710" s="46" t="s">
        <v>32</v>
      </c>
      <c r="F710" s="47">
        <f>[1]!BexGetData("DP_2","DL719O2RYNC0Y217V0FVT1R77","17","E","13071081E205","2067141011")</f>
        <v>190580.37</v>
      </c>
      <c r="G710" s="48">
        <f>[1]!BexGetData("DP_2","DL719O2RYNEBZX0HTMQQ0BY0J","17","E","13071081E205","2067141011")</f>
        <v>190580.37</v>
      </c>
      <c r="H710" s="48">
        <f>[1]!BexGetData("DP_2","DL719O2RYNGN1RZRS91K7M4TV","17","E","13071081E205","2067141011")</f>
        <v>190580.37</v>
      </c>
      <c r="I710" s="48">
        <f>[1]!BexGetData("DP_2","DL719O2RYNIY3MZ1QVCEEWBN7","17","E","13071081E205","2067141011")</f>
        <v>0</v>
      </c>
    </row>
    <row r="711" spans="1:9" x14ac:dyDescent="0.2">
      <c r="A711" s="46" t="s">
        <v>32</v>
      </c>
      <c r="B711" s="46" t="s">
        <v>32</v>
      </c>
      <c r="C711" s="46" t="s">
        <v>32</v>
      </c>
      <c r="D711" s="46" t="s">
        <v>32</v>
      </c>
      <c r="E711" s="46" t="s">
        <v>32</v>
      </c>
      <c r="F711" s="47">
        <f>[1]!BexGetData("DP_2","DL719O2RYNC0Y217V0FVT1R77","17","E","13071081E205","2067141021")</f>
        <v>56776.24</v>
      </c>
      <c r="G711" s="48">
        <f>[1]!BexGetData("DP_2","DL719O2RYNEBZX0HTMQQ0BY0J","17","E","13071081E205","2067141021")</f>
        <v>56776.24</v>
      </c>
      <c r="H711" s="48">
        <f>[1]!BexGetData("DP_2","DL719O2RYNGN1RZRS91K7M4TV","17","E","13071081E205","2067141021")</f>
        <v>56776.24</v>
      </c>
      <c r="I711" s="48">
        <f>[1]!BexGetData("DP_2","DL719O2RYNIY3MZ1QVCEEWBN7","17","E","13071081E205","2067141021")</f>
        <v>0</v>
      </c>
    </row>
    <row r="712" spans="1:9" x14ac:dyDescent="0.2">
      <c r="A712" s="46" t="s">
        <v>32</v>
      </c>
      <c r="B712" s="46" t="s">
        <v>32</v>
      </c>
      <c r="C712" s="46" t="s">
        <v>32</v>
      </c>
      <c r="D712" s="46" t="s">
        <v>32</v>
      </c>
      <c r="E712" s="46" t="s">
        <v>32</v>
      </c>
      <c r="F712" s="47">
        <f>[1]!BexGetData("DP_2","DL719O2RYNC0Y217V0FVT1R77","17","E","13071081E205","2067143011")</f>
        <v>27025.7</v>
      </c>
      <c r="G712" s="48">
        <f>[1]!BexGetData("DP_2","DL719O2RYNEBZX0HTMQQ0BY0J","17","E","13071081E205","2067143011")</f>
        <v>27025.7</v>
      </c>
      <c r="H712" s="48">
        <f>[1]!BexGetData("DP_2","DL719O2RYNGN1RZRS91K7M4TV","17","E","13071081E205","2067143011")</f>
        <v>27025.7</v>
      </c>
      <c r="I712" s="48">
        <f>[1]!BexGetData("DP_2","DL719O2RYNIY3MZ1QVCEEWBN7","17","E","13071081E205","2067143011")</f>
        <v>0</v>
      </c>
    </row>
    <row r="713" spans="1:9" x14ac:dyDescent="0.2">
      <c r="A713" s="46" t="s">
        <v>32</v>
      </c>
      <c r="B713" s="46" t="s">
        <v>32</v>
      </c>
      <c r="C713" s="46" t="s">
        <v>32</v>
      </c>
      <c r="D713" s="46" t="s">
        <v>32</v>
      </c>
      <c r="E713" s="46" t="s">
        <v>32</v>
      </c>
      <c r="F713" s="47">
        <f>[1]!BexGetData("DP_2","DL719O2RYNC0Y217V0FVT1R77","17","E","13071081E205","2067151011")</f>
        <v>40874.400000000001</v>
      </c>
      <c r="G713" s="48">
        <f>[1]!BexGetData("DP_2","DL719O2RYNEBZX0HTMQQ0BY0J","17","E","13071081E205","2067151011")</f>
        <v>40874.400000000001</v>
      </c>
      <c r="H713" s="48">
        <f>[1]!BexGetData("DP_2","DL719O2RYNGN1RZRS91K7M4TV","17","E","13071081E205","2067151011")</f>
        <v>40874.400000000001</v>
      </c>
      <c r="I713" s="48">
        <f>[1]!BexGetData("DP_2","DL719O2RYNIY3MZ1QVCEEWBN7","17","E","13071081E205","2067151011")</f>
        <v>0</v>
      </c>
    </row>
    <row r="714" spans="1:9" x14ac:dyDescent="0.2">
      <c r="A714" s="46" t="s">
        <v>32</v>
      </c>
      <c r="B714" s="46" t="s">
        <v>32</v>
      </c>
      <c r="C714" s="46" t="s">
        <v>32</v>
      </c>
      <c r="D714" s="46" t="s">
        <v>32</v>
      </c>
      <c r="E714" s="46" t="s">
        <v>32</v>
      </c>
      <c r="F714" s="47">
        <f>[1]!BexGetData("DP_2","DL719O2RYNC0Y217V0FVT1R77","17","E","13071081E205","2067154011")</f>
        <v>140511.85</v>
      </c>
      <c r="G714" s="48">
        <f>[1]!BexGetData("DP_2","DL719O2RYNEBZX0HTMQQ0BY0J","17","E","13071081E205","2067154011")</f>
        <v>140511.85</v>
      </c>
      <c r="H714" s="48">
        <f>[1]!BexGetData("DP_2","DL719O2RYNGN1RZRS91K7M4TV","17","E","13071081E205","2067154011")</f>
        <v>140511.85</v>
      </c>
      <c r="I714" s="48">
        <f>[1]!BexGetData("DP_2","DL719O2RYNIY3MZ1QVCEEWBN7","17","E","13071081E205","2067154011")</f>
        <v>0</v>
      </c>
    </row>
    <row r="715" spans="1:9" x14ac:dyDescent="0.2">
      <c r="A715" s="46" t="s">
        <v>32</v>
      </c>
      <c r="B715" s="46" t="s">
        <v>32</v>
      </c>
      <c r="C715" s="46" t="s">
        <v>32</v>
      </c>
      <c r="D715" s="46" t="s">
        <v>32</v>
      </c>
      <c r="E715" s="46" t="s">
        <v>32</v>
      </c>
      <c r="F715" s="47">
        <f>[1]!BexGetData("DP_2","DL719O2RYNC0Y217V0FVT1R77","17","E","13071081E205","2067211011")</f>
        <v>40092.07</v>
      </c>
      <c r="G715" s="48">
        <f>[1]!BexGetData("DP_2","DL719O2RYNEBZX0HTMQQ0BY0J","17","E","13071081E205","2067211011")</f>
        <v>40092.07</v>
      </c>
      <c r="H715" s="48">
        <f>[1]!BexGetData("DP_2","DL719O2RYNGN1RZRS91K7M4TV","17","E","13071081E205","2067211011")</f>
        <v>40092.07</v>
      </c>
      <c r="I715" s="48">
        <f>[1]!BexGetData("DP_2","DL719O2RYNIY3MZ1QVCEEWBN7","17","E","13071081E205","2067211011")</f>
        <v>0</v>
      </c>
    </row>
    <row r="716" spans="1:9" x14ac:dyDescent="0.2">
      <c r="A716" s="46" t="s">
        <v>32</v>
      </c>
      <c r="B716" s="46" t="s">
        <v>32</v>
      </c>
      <c r="C716" s="46" t="s">
        <v>32</v>
      </c>
      <c r="D716" s="46" t="s">
        <v>32</v>
      </c>
      <c r="E716" s="46" t="s">
        <v>32</v>
      </c>
      <c r="F716" s="47">
        <f>[1]!BexGetData("DP_2","DL719O2RYNC0Y217V0FVT1R77","17","E","13071081E205","2067211021")</f>
        <v>15756.58</v>
      </c>
      <c r="G716" s="48">
        <f>[1]!BexGetData("DP_2","DL719O2RYNEBZX0HTMQQ0BY0J","17","E","13071081E205","2067211021")</f>
        <v>15756.58</v>
      </c>
      <c r="H716" s="48">
        <f>[1]!BexGetData("DP_2","DL719O2RYNGN1RZRS91K7M4TV","17","E","13071081E205","2067211021")</f>
        <v>15756.58</v>
      </c>
      <c r="I716" s="48">
        <f>[1]!BexGetData("DP_2","DL719O2RYNIY3MZ1QVCEEWBN7","17","E","13071081E205","2067211021")</f>
        <v>0</v>
      </c>
    </row>
    <row r="717" spans="1:9" x14ac:dyDescent="0.2">
      <c r="A717" s="46" t="s">
        <v>32</v>
      </c>
      <c r="B717" s="46" t="s">
        <v>32</v>
      </c>
      <c r="C717" s="46" t="s">
        <v>32</v>
      </c>
      <c r="D717" s="46" t="s">
        <v>32</v>
      </c>
      <c r="E717" s="46" t="s">
        <v>32</v>
      </c>
      <c r="F717" s="47">
        <f>[1]!BexGetData("DP_2","DL719O2RYNC0Y217V0FVT1R77","17","E","13071081E205","2067214011")</f>
        <v>27065.4</v>
      </c>
      <c r="G717" s="48">
        <f>[1]!BexGetData("DP_2","DL719O2RYNEBZX0HTMQQ0BY0J","17","E","13071081E205","2067214011")</f>
        <v>27065.4</v>
      </c>
      <c r="H717" s="48">
        <f>[1]!BexGetData("DP_2","DL719O2RYNGN1RZRS91K7M4TV","17","E","13071081E205","2067214011")</f>
        <v>27065.4</v>
      </c>
      <c r="I717" s="48">
        <f>[1]!BexGetData("DP_2","DL719O2RYNIY3MZ1QVCEEWBN7","17","E","13071081E205","2067214011")</f>
        <v>0</v>
      </c>
    </row>
    <row r="718" spans="1:9" x14ac:dyDescent="0.2">
      <c r="A718" s="46" t="s">
        <v>32</v>
      </c>
      <c r="B718" s="46" t="s">
        <v>32</v>
      </c>
      <c r="C718" s="46" t="s">
        <v>32</v>
      </c>
      <c r="D718" s="46" t="s">
        <v>32</v>
      </c>
      <c r="E718" s="46" t="s">
        <v>32</v>
      </c>
      <c r="F718" s="47">
        <f>[1]!BexGetData("DP_2","DL719O2RYNC0Y217V0FVT1R77","17","E","13071081E205","2067214021")</f>
        <v>5997.2</v>
      </c>
      <c r="G718" s="48">
        <f>[1]!BexGetData("DP_2","DL719O2RYNEBZX0HTMQQ0BY0J","17","E","13071081E205","2067214021")</f>
        <v>5997.2</v>
      </c>
      <c r="H718" s="48">
        <f>[1]!BexGetData("DP_2","DL719O2RYNGN1RZRS91K7M4TV","17","E","13071081E205","2067214021")</f>
        <v>5997.2</v>
      </c>
      <c r="I718" s="48">
        <f>[1]!BexGetData("DP_2","DL719O2RYNIY3MZ1QVCEEWBN7","17","E","13071081E205","2067214021")</f>
        <v>0</v>
      </c>
    </row>
    <row r="719" spans="1:9" x14ac:dyDescent="0.2">
      <c r="A719" s="46" t="s">
        <v>32</v>
      </c>
      <c r="B719" s="46" t="s">
        <v>32</v>
      </c>
      <c r="C719" s="46" t="s">
        <v>32</v>
      </c>
      <c r="D719" s="46" t="s">
        <v>32</v>
      </c>
      <c r="E719" s="46" t="s">
        <v>32</v>
      </c>
      <c r="F719" s="47">
        <f>[1]!BexGetData("DP_2","DL719O2RYNC0Y217V0FVT1R77","17","E","13071081E205","2067216011")</f>
        <v>54974.95</v>
      </c>
      <c r="G719" s="48">
        <f>[1]!BexGetData("DP_2","DL719O2RYNEBZX0HTMQQ0BY0J","17","E","13071081E205","2067216011")</f>
        <v>54974.95</v>
      </c>
      <c r="H719" s="48">
        <f>[1]!BexGetData("DP_2","DL719O2RYNGN1RZRS91K7M4TV","17","E","13071081E205","2067216011")</f>
        <v>54974.95</v>
      </c>
      <c r="I719" s="48">
        <f>[1]!BexGetData("DP_2","DL719O2RYNIY3MZ1QVCEEWBN7","17","E","13071081E205","2067216011")</f>
        <v>0</v>
      </c>
    </row>
    <row r="720" spans="1:9" x14ac:dyDescent="0.2">
      <c r="A720" s="46" t="s">
        <v>32</v>
      </c>
      <c r="B720" s="46" t="s">
        <v>32</v>
      </c>
      <c r="C720" s="46" t="s">
        <v>32</v>
      </c>
      <c r="D720" s="46" t="s">
        <v>32</v>
      </c>
      <c r="E720" s="46" t="s">
        <v>32</v>
      </c>
      <c r="F720" s="47">
        <f>[1]!BexGetData("DP_2","DL719O2RYNC0Y217V0FVT1R77","17","E","13071081E205","2067221011")</f>
        <v>9077.4</v>
      </c>
      <c r="G720" s="48">
        <f>[1]!BexGetData("DP_2","DL719O2RYNEBZX0HTMQQ0BY0J","17","E","13071081E205","2067221011")</f>
        <v>9077.4</v>
      </c>
      <c r="H720" s="48">
        <f>[1]!BexGetData("DP_2","DL719O2RYNGN1RZRS91K7M4TV","17","E","13071081E205","2067221011")</f>
        <v>9077.4</v>
      </c>
      <c r="I720" s="48">
        <f>[1]!BexGetData("DP_2","DL719O2RYNIY3MZ1QVCEEWBN7","17","E","13071081E205","2067221011")</f>
        <v>0</v>
      </c>
    </row>
    <row r="721" spans="1:9" x14ac:dyDescent="0.2">
      <c r="A721" s="46" t="s">
        <v>32</v>
      </c>
      <c r="B721" s="46" t="s">
        <v>32</v>
      </c>
      <c r="C721" s="46" t="s">
        <v>32</v>
      </c>
      <c r="D721" s="46" t="s">
        <v>32</v>
      </c>
      <c r="E721" s="46" t="s">
        <v>32</v>
      </c>
      <c r="F721" s="47">
        <f>[1]!BexGetData("DP_2","DL719O2RYNC0Y217V0FVT1R77","17","E","13071081E205","2067221021")</f>
        <v>21743</v>
      </c>
      <c r="G721" s="48">
        <f>[1]!BexGetData("DP_2","DL719O2RYNEBZX0HTMQQ0BY0J","17","E","13071081E205","2067221021")</f>
        <v>21743</v>
      </c>
      <c r="H721" s="48">
        <f>[1]!BexGetData("DP_2","DL719O2RYNGN1RZRS91K7M4TV","17","E","13071081E205","2067221021")</f>
        <v>21743</v>
      </c>
      <c r="I721" s="48">
        <f>[1]!BexGetData("DP_2","DL719O2RYNIY3MZ1QVCEEWBN7","17","E","13071081E205","2067221021")</f>
        <v>0</v>
      </c>
    </row>
    <row r="722" spans="1:9" x14ac:dyDescent="0.2">
      <c r="A722" s="46" t="s">
        <v>32</v>
      </c>
      <c r="B722" s="46" t="s">
        <v>32</v>
      </c>
      <c r="C722" s="46" t="s">
        <v>32</v>
      </c>
      <c r="D722" s="46" t="s">
        <v>32</v>
      </c>
      <c r="E722" s="46" t="s">
        <v>32</v>
      </c>
      <c r="F722" s="47">
        <f>[1]!BexGetData("DP_2","DL719O2RYNC0Y217V0FVT1R77","17","E","13071081E205","2067221031")</f>
        <v>5073</v>
      </c>
      <c r="G722" s="48">
        <f>[1]!BexGetData("DP_2","DL719O2RYNEBZX0HTMQQ0BY0J","17","E","13071081E205","2067221031")</f>
        <v>5073</v>
      </c>
      <c r="H722" s="48">
        <f>[1]!BexGetData("DP_2","DL719O2RYNGN1RZRS91K7M4TV","17","E","13071081E205","2067221031")</f>
        <v>5073</v>
      </c>
      <c r="I722" s="48">
        <f>[1]!BexGetData("DP_2","DL719O2RYNIY3MZ1QVCEEWBN7","17","E","13071081E205","2067221031")</f>
        <v>0</v>
      </c>
    </row>
    <row r="723" spans="1:9" x14ac:dyDescent="0.2">
      <c r="A723" s="46" t="s">
        <v>32</v>
      </c>
      <c r="B723" s="46" t="s">
        <v>32</v>
      </c>
      <c r="C723" s="46" t="s">
        <v>32</v>
      </c>
      <c r="D723" s="46" t="s">
        <v>32</v>
      </c>
      <c r="E723" s="46" t="s">
        <v>32</v>
      </c>
      <c r="F723" s="47">
        <f>[1]!BexGetData("DP_2","DL719O2RYNC0Y217V0FVT1R77","17","E","13071081E205","2067246011")</f>
        <v>1808.73</v>
      </c>
      <c r="G723" s="48">
        <f>[1]!BexGetData("DP_2","DL719O2RYNEBZX0HTMQQ0BY0J","17","E","13071081E205","2067246011")</f>
        <v>1808.73</v>
      </c>
      <c r="H723" s="48">
        <f>[1]!BexGetData("DP_2","DL719O2RYNGN1RZRS91K7M4TV","17","E","13071081E205","2067246011")</f>
        <v>1808.73</v>
      </c>
      <c r="I723" s="48">
        <f>[1]!BexGetData("DP_2","DL719O2RYNIY3MZ1QVCEEWBN7","17","E","13071081E205","2067246011")</f>
        <v>0</v>
      </c>
    </row>
    <row r="724" spans="1:9" x14ac:dyDescent="0.2">
      <c r="A724" s="46" t="s">
        <v>32</v>
      </c>
      <c r="B724" s="46" t="s">
        <v>32</v>
      </c>
      <c r="C724" s="46" t="s">
        <v>32</v>
      </c>
      <c r="D724" s="46" t="s">
        <v>32</v>
      </c>
      <c r="E724" s="46" t="s">
        <v>32</v>
      </c>
      <c r="F724" s="47">
        <f>[1]!BexGetData("DP_2","DL719O2RYNC0Y217V0FVT1R77","17","E","13071081E205","2067247011")</f>
        <v>995.01</v>
      </c>
      <c r="G724" s="48">
        <f>[1]!BexGetData("DP_2","DL719O2RYNEBZX0HTMQQ0BY0J","17","E","13071081E205","2067247011")</f>
        <v>995.01</v>
      </c>
      <c r="H724" s="48">
        <f>[1]!BexGetData("DP_2","DL719O2RYNGN1RZRS91K7M4TV","17","E","13071081E205","2067247011")</f>
        <v>995.01</v>
      </c>
      <c r="I724" s="48">
        <f>[1]!BexGetData("DP_2","DL719O2RYNIY3MZ1QVCEEWBN7","17","E","13071081E205","2067247011")</f>
        <v>0</v>
      </c>
    </row>
    <row r="725" spans="1:9" x14ac:dyDescent="0.2">
      <c r="A725" s="46" t="s">
        <v>32</v>
      </c>
      <c r="B725" s="46" t="s">
        <v>32</v>
      </c>
      <c r="C725" s="46" t="s">
        <v>32</v>
      </c>
      <c r="D725" s="46" t="s">
        <v>32</v>
      </c>
      <c r="E725" s="46" t="s">
        <v>32</v>
      </c>
      <c r="F725" s="47">
        <f>[1]!BexGetData("DP_2","DL719O2RYNC0Y217V0FVT1R77","17","E","13071081E205","2067249011")</f>
        <v>8012.73</v>
      </c>
      <c r="G725" s="48">
        <f>[1]!BexGetData("DP_2","DL719O2RYNEBZX0HTMQQ0BY0J","17","E","13071081E205","2067249011")</f>
        <v>8012.73</v>
      </c>
      <c r="H725" s="48">
        <f>[1]!BexGetData("DP_2","DL719O2RYNGN1RZRS91K7M4TV","17","E","13071081E205","2067249011")</f>
        <v>8012.73</v>
      </c>
      <c r="I725" s="48">
        <f>[1]!BexGetData("DP_2","DL719O2RYNIY3MZ1QVCEEWBN7","17","E","13071081E205","2067249011")</f>
        <v>0</v>
      </c>
    </row>
    <row r="726" spans="1:9" x14ac:dyDescent="0.2">
      <c r="A726" s="46" t="s">
        <v>32</v>
      </c>
      <c r="B726" s="46" t="s">
        <v>32</v>
      </c>
      <c r="C726" s="46" t="s">
        <v>32</v>
      </c>
      <c r="D726" s="46" t="s">
        <v>32</v>
      </c>
      <c r="E726" s="46" t="s">
        <v>32</v>
      </c>
      <c r="F726" s="47">
        <f>[1]!BexGetData("DP_2","DL719O2RYNC0Y217V0FVT1R77","17","E","13071081E205","2067256011")</f>
        <v>147.99</v>
      </c>
      <c r="G726" s="48">
        <f>[1]!BexGetData("DP_2","DL719O2RYNEBZX0HTMQQ0BY0J","17","E","13071081E205","2067256011")</f>
        <v>147.99</v>
      </c>
      <c r="H726" s="48">
        <f>[1]!BexGetData("DP_2","DL719O2RYNGN1RZRS91K7M4TV","17","E","13071081E205","2067256011")</f>
        <v>147.99</v>
      </c>
      <c r="I726" s="48">
        <f>[1]!BexGetData("DP_2","DL719O2RYNIY3MZ1QVCEEWBN7","17","E","13071081E205","2067256011")</f>
        <v>0</v>
      </c>
    </row>
    <row r="727" spans="1:9" x14ac:dyDescent="0.2">
      <c r="A727" s="46" t="s">
        <v>32</v>
      </c>
      <c r="B727" s="46" t="s">
        <v>32</v>
      </c>
      <c r="C727" s="46" t="s">
        <v>32</v>
      </c>
      <c r="D727" s="46" t="s">
        <v>32</v>
      </c>
      <c r="E727" s="46" t="s">
        <v>32</v>
      </c>
      <c r="F727" s="47">
        <f>[1]!BexGetData("DP_2","DL719O2RYNC0Y217V0FVT1R77","17","E","13071081E205","2067261011")</f>
        <v>1811.83</v>
      </c>
      <c r="G727" s="48">
        <f>[1]!BexGetData("DP_2","DL719O2RYNEBZX0HTMQQ0BY0J","17","E","13071081E205","2067261011")</f>
        <v>1811.83</v>
      </c>
      <c r="H727" s="48">
        <f>[1]!BexGetData("DP_2","DL719O2RYNGN1RZRS91K7M4TV","17","E","13071081E205","2067261011")</f>
        <v>1811.83</v>
      </c>
      <c r="I727" s="48">
        <f>[1]!BexGetData("DP_2","DL719O2RYNIY3MZ1QVCEEWBN7","17","E","13071081E205","2067261011")</f>
        <v>0</v>
      </c>
    </row>
    <row r="728" spans="1:9" x14ac:dyDescent="0.2">
      <c r="A728" s="46" t="s">
        <v>32</v>
      </c>
      <c r="B728" s="46" t="s">
        <v>32</v>
      </c>
      <c r="C728" s="46" t="s">
        <v>32</v>
      </c>
      <c r="D728" s="46" t="s">
        <v>32</v>
      </c>
      <c r="E728" s="46" t="s">
        <v>32</v>
      </c>
      <c r="F728" s="47">
        <f>[1]!BexGetData("DP_2","DL719O2RYNC0Y217V0FVT1R77","17","E","13071081E205","2067261021")</f>
        <v>1197.6199999999999</v>
      </c>
      <c r="G728" s="48">
        <f>[1]!BexGetData("DP_2","DL719O2RYNEBZX0HTMQQ0BY0J","17","E","13071081E205","2067261021")</f>
        <v>1197.6199999999999</v>
      </c>
      <c r="H728" s="48">
        <f>[1]!BexGetData("DP_2","DL719O2RYNGN1RZRS91K7M4TV","17","E","13071081E205","2067261021")</f>
        <v>1197.6199999999999</v>
      </c>
      <c r="I728" s="48">
        <f>[1]!BexGetData("DP_2","DL719O2RYNIY3MZ1QVCEEWBN7","17","E","13071081E205","2067261021")</f>
        <v>0</v>
      </c>
    </row>
    <row r="729" spans="1:9" x14ac:dyDescent="0.2">
      <c r="A729" s="46" t="s">
        <v>32</v>
      </c>
      <c r="B729" s="46" t="s">
        <v>32</v>
      </c>
      <c r="C729" s="46" t="s">
        <v>32</v>
      </c>
      <c r="D729" s="46" t="s">
        <v>32</v>
      </c>
      <c r="E729" s="46" t="s">
        <v>32</v>
      </c>
      <c r="F729" s="47">
        <f>[1]!BexGetData("DP_2","DL719O2RYNC0Y217V0FVT1R77","17","E","13071081E205","2067274011")</f>
        <v>329.94</v>
      </c>
      <c r="G729" s="48">
        <f>[1]!BexGetData("DP_2","DL719O2RYNEBZX0HTMQQ0BY0J","17","E","13071081E205","2067274011")</f>
        <v>329.94</v>
      </c>
      <c r="H729" s="48">
        <f>[1]!BexGetData("DP_2","DL719O2RYNGN1RZRS91K7M4TV","17","E","13071081E205","2067274011")</f>
        <v>329.94</v>
      </c>
      <c r="I729" s="48">
        <f>[1]!BexGetData("DP_2","DL719O2RYNIY3MZ1QVCEEWBN7","17","E","13071081E205","2067274011")</f>
        <v>0</v>
      </c>
    </row>
    <row r="730" spans="1:9" x14ac:dyDescent="0.2">
      <c r="A730" s="46" t="s">
        <v>32</v>
      </c>
      <c r="B730" s="46" t="s">
        <v>32</v>
      </c>
      <c r="C730" s="46" t="s">
        <v>32</v>
      </c>
      <c r="D730" s="46" t="s">
        <v>32</v>
      </c>
      <c r="E730" s="46" t="s">
        <v>32</v>
      </c>
      <c r="F730" s="47">
        <f>[1]!BexGetData("DP_2","DL719O2RYNC0Y217V0FVT1R77","17","E","13071081E205","2067275011")</f>
        <v>31.8</v>
      </c>
      <c r="G730" s="48">
        <f>[1]!BexGetData("DP_2","DL719O2RYNEBZX0HTMQQ0BY0J","17","E","13071081E205","2067275011")</f>
        <v>31.8</v>
      </c>
      <c r="H730" s="48">
        <f>[1]!BexGetData("DP_2","DL719O2RYNGN1RZRS91K7M4TV","17","E","13071081E205","2067275011")</f>
        <v>31.8</v>
      </c>
      <c r="I730" s="48">
        <f>[1]!BexGetData("DP_2","DL719O2RYNIY3MZ1QVCEEWBN7","17","E","13071081E205","2067275011")</f>
        <v>0</v>
      </c>
    </row>
    <row r="731" spans="1:9" x14ac:dyDescent="0.2">
      <c r="A731" s="46" t="s">
        <v>32</v>
      </c>
      <c r="B731" s="46" t="s">
        <v>32</v>
      </c>
      <c r="C731" s="46" t="s">
        <v>32</v>
      </c>
      <c r="D731" s="46" t="s">
        <v>32</v>
      </c>
      <c r="E731" s="46" t="s">
        <v>32</v>
      </c>
      <c r="F731" s="47">
        <f>[1]!BexGetData("DP_2","DL719O2RYNC0Y217V0FVT1R77","17","E","13071081E205","2067291011")</f>
        <v>374.77</v>
      </c>
      <c r="G731" s="48">
        <f>[1]!BexGetData("DP_2","DL719O2RYNEBZX0HTMQQ0BY0J","17","E","13071081E205","2067291011")</f>
        <v>374.77</v>
      </c>
      <c r="H731" s="48">
        <f>[1]!BexGetData("DP_2","DL719O2RYNGN1RZRS91K7M4TV","17","E","13071081E205","2067291011")</f>
        <v>374.77</v>
      </c>
      <c r="I731" s="48">
        <f>[1]!BexGetData("DP_2","DL719O2RYNIY3MZ1QVCEEWBN7","17","E","13071081E205","2067291011")</f>
        <v>0</v>
      </c>
    </row>
    <row r="732" spans="1:9" x14ac:dyDescent="0.2">
      <c r="A732" s="46" t="s">
        <v>32</v>
      </c>
      <c r="B732" s="46" t="s">
        <v>32</v>
      </c>
      <c r="C732" s="46" t="s">
        <v>32</v>
      </c>
      <c r="D732" s="46" t="s">
        <v>32</v>
      </c>
      <c r="E732" s="46" t="s">
        <v>32</v>
      </c>
      <c r="F732" s="47">
        <f>[1]!BexGetData("DP_2","DL719O2RYNC0Y217V0FVT1R77","17","E","13071081E205","2067292011")</f>
        <v>429.06</v>
      </c>
      <c r="G732" s="48">
        <f>[1]!BexGetData("DP_2","DL719O2RYNEBZX0HTMQQ0BY0J","17","E","13071081E205","2067292011")</f>
        <v>429.06</v>
      </c>
      <c r="H732" s="48">
        <f>[1]!BexGetData("DP_2","DL719O2RYNGN1RZRS91K7M4TV","17","E","13071081E205","2067292011")</f>
        <v>429.06</v>
      </c>
      <c r="I732" s="48">
        <f>[1]!BexGetData("DP_2","DL719O2RYNIY3MZ1QVCEEWBN7","17","E","13071081E205","2067292011")</f>
        <v>0</v>
      </c>
    </row>
    <row r="733" spans="1:9" x14ac:dyDescent="0.2">
      <c r="A733" s="46" t="s">
        <v>32</v>
      </c>
      <c r="B733" s="46" t="s">
        <v>32</v>
      </c>
      <c r="C733" s="46" t="s">
        <v>32</v>
      </c>
      <c r="D733" s="46" t="s">
        <v>32</v>
      </c>
      <c r="E733" s="46" t="s">
        <v>32</v>
      </c>
      <c r="F733" s="47">
        <f>[1]!BexGetData("DP_2","DL719O2RYNC0Y217V0FVT1R77","17","E","13071081E205","2067293031")</f>
        <v>382.5</v>
      </c>
      <c r="G733" s="48">
        <f>[1]!BexGetData("DP_2","DL719O2RYNEBZX0HTMQQ0BY0J","17","E","13071081E205","2067293031")</f>
        <v>382.5</v>
      </c>
      <c r="H733" s="48">
        <f>[1]!BexGetData("DP_2","DL719O2RYNGN1RZRS91K7M4TV","17","E","13071081E205","2067293031")</f>
        <v>382.5</v>
      </c>
      <c r="I733" s="48">
        <f>[1]!BexGetData("DP_2","DL719O2RYNIY3MZ1QVCEEWBN7","17","E","13071081E205","2067293031")</f>
        <v>0</v>
      </c>
    </row>
    <row r="734" spans="1:9" x14ac:dyDescent="0.2">
      <c r="A734" s="46" t="s">
        <v>32</v>
      </c>
      <c r="B734" s="46" t="s">
        <v>32</v>
      </c>
      <c r="C734" s="46" t="s">
        <v>32</v>
      </c>
      <c r="D734" s="46" t="s">
        <v>32</v>
      </c>
      <c r="E734" s="46" t="s">
        <v>32</v>
      </c>
      <c r="F734" s="47">
        <f>[1]!BexGetData("DP_2","DL719O2RYNC0Y217V0FVT1R77","17","E","13071081E205","2067296011")</f>
        <v>31205.68</v>
      </c>
      <c r="G734" s="48">
        <f>[1]!BexGetData("DP_2","DL719O2RYNEBZX0HTMQQ0BY0J","17","E","13071081E205","2067296011")</f>
        <v>31205.68</v>
      </c>
      <c r="H734" s="48">
        <f>[1]!BexGetData("DP_2","DL719O2RYNGN1RZRS91K7M4TV","17","E","13071081E205","2067296011")</f>
        <v>31205.68</v>
      </c>
      <c r="I734" s="48">
        <f>[1]!BexGetData("DP_2","DL719O2RYNIY3MZ1QVCEEWBN7","17","E","13071081E205","2067296011")</f>
        <v>0</v>
      </c>
    </row>
    <row r="735" spans="1:9" x14ac:dyDescent="0.2">
      <c r="A735" s="46" t="s">
        <v>32</v>
      </c>
      <c r="B735" s="46" t="s">
        <v>32</v>
      </c>
      <c r="C735" s="46" t="s">
        <v>32</v>
      </c>
      <c r="D735" s="46" t="s">
        <v>32</v>
      </c>
      <c r="E735" s="46" t="s">
        <v>32</v>
      </c>
      <c r="F735" s="47">
        <f>[1]!BexGetData("DP_2","DL719O2RYNC0Y217V0FVT1R77","17","E","13071081E205","2067311011")</f>
        <v>14563.8</v>
      </c>
      <c r="G735" s="48">
        <f>[1]!BexGetData("DP_2","DL719O2RYNEBZX0HTMQQ0BY0J","17","E","13071081E205","2067311011")</f>
        <v>14563.8</v>
      </c>
      <c r="H735" s="48">
        <f>[1]!BexGetData("DP_2","DL719O2RYNGN1RZRS91K7M4TV","17","E","13071081E205","2067311011")</f>
        <v>13266.8</v>
      </c>
      <c r="I735" s="48">
        <f>[1]!BexGetData("DP_2","DL719O2RYNIY3MZ1QVCEEWBN7","17","E","13071081E205","2067311011")</f>
        <v>0</v>
      </c>
    </row>
    <row r="736" spans="1:9" x14ac:dyDescent="0.2">
      <c r="A736" s="46" t="s">
        <v>32</v>
      </c>
      <c r="B736" s="46" t="s">
        <v>32</v>
      </c>
      <c r="C736" s="46" t="s">
        <v>32</v>
      </c>
      <c r="D736" s="46" t="s">
        <v>32</v>
      </c>
      <c r="E736" s="46" t="s">
        <v>32</v>
      </c>
      <c r="F736" s="47">
        <f>[1]!BexGetData("DP_2","DL719O2RYNC0Y217V0FVT1R77","17","E","13071081E205","2067313011")</f>
        <v>10002.879999999999</v>
      </c>
      <c r="G736" s="48">
        <f>[1]!BexGetData("DP_2","DL719O2RYNEBZX0HTMQQ0BY0J","17","E","13071081E205","2067313011")</f>
        <v>10002.879999999999</v>
      </c>
      <c r="H736" s="48">
        <f>[1]!BexGetData("DP_2","DL719O2RYNGN1RZRS91K7M4TV","17","E","13071081E205","2067313011")</f>
        <v>10002.879999999999</v>
      </c>
      <c r="I736" s="48">
        <f>[1]!BexGetData("DP_2","DL719O2RYNIY3MZ1QVCEEWBN7","17","E","13071081E205","2067313011")</f>
        <v>0</v>
      </c>
    </row>
    <row r="737" spans="1:9" x14ac:dyDescent="0.2">
      <c r="A737" s="46" t="s">
        <v>32</v>
      </c>
      <c r="B737" s="46" t="s">
        <v>32</v>
      </c>
      <c r="C737" s="46" t="s">
        <v>32</v>
      </c>
      <c r="D737" s="46" t="s">
        <v>32</v>
      </c>
      <c r="E737" s="46" t="s">
        <v>32</v>
      </c>
      <c r="F737" s="47">
        <f>[1]!BexGetData("DP_2","DL719O2RYNC0Y217V0FVT1R77","17","E","13071081E205","2067314011")</f>
        <v>15026.99</v>
      </c>
      <c r="G737" s="48">
        <f>[1]!BexGetData("DP_2","DL719O2RYNEBZX0HTMQQ0BY0J","17","E","13071081E205","2067314011")</f>
        <v>15026.99</v>
      </c>
      <c r="H737" s="48">
        <f>[1]!BexGetData("DP_2","DL719O2RYNGN1RZRS91K7M4TV","17","E","13071081E205","2067314011")</f>
        <v>15026.99</v>
      </c>
      <c r="I737" s="48">
        <f>[1]!BexGetData("DP_2","DL719O2RYNIY3MZ1QVCEEWBN7","17","E","13071081E205","2067314011")</f>
        <v>0</v>
      </c>
    </row>
    <row r="738" spans="1:9" x14ac:dyDescent="0.2">
      <c r="A738" s="46" t="s">
        <v>32</v>
      </c>
      <c r="B738" s="46" t="s">
        <v>32</v>
      </c>
      <c r="C738" s="46" t="s">
        <v>32</v>
      </c>
      <c r="D738" s="46" t="s">
        <v>32</v>
      </c>
      <c r="E738" s="46" t="s">
        <v>32</v>
      </c>
      <c r="F738" s="47">
        <f>[1]!BexGetData("DP_2","DL719O2RYNC0Y217V0FVT1R77","17","E","13071081E205","2067322011")</f>
        <v>155372.25</v>
      </c>
      <c r="G738" s="48">
        <f>[1]!BexGetData("DP_2","DL719O2RYNEBZX0HTMQQ0BY0J","17","E","13071081E205","2067322011")</f>
        <v>155372.25</v>
      </c>
      <c r="H738" s="48">
        <f>[1]!BexGetData("DP_2","DL719O2RYNGN1RZRS91K7M4TV","17","E","13071081E205","2067322011")</f>
        <v>141247.5</v>
      </c>
      <c r="I738" s="48">
        <f>[1]!BexGetData("DP_2","DL719O2RYNIY3MZ1QVCEEWBN7","17","E","13071081E205","2067322011")</f>
        <v>0</v>
      </c>
    </row>
    <row r="739" spans="1:9" x14ac:dyDescent="0.2">
      <c r="A739" s="46" t="s">
        <v>32</v>
      </c>
      <c r="B739" s="46" t="s">
        <v>32</v>
      </c>
      <c r="C739" s="46" t="s">
        <v>32</v>
      </c>
      <c r="D739" s="46" t="s">
        <v>32</v>
      </c>
      <c r="E739" s="46" t="s">
        <v>32</v>
      </c>
      <c r="F739" s="47">
        <f>[1]!BexGetData("DP_2","DL719O2RYNC0Y217V0FVT1R77","17","E","13071081E205","2067329011")</f>
        <v>62412.639999999999</v>
      </c>
      <c r="G739" s="48">
        <f>[1]!BexGetData("DP_2","DL719O2RYNEBZX0HTMQQ0BY0J","17","E","13071081E205","2067329011")</f>
        <v>62412.639999999999</v>
      </c>
      <c r="H739" s="48">
        <f>[1]!BexGetData("DP_2","DL719O2RYNGN1RZRS91K7M4TV","17","E","13071081E205","2067329011")</f>
        <v>62412.639999999999</v>
      </c>
      <c r="I739" s="48">
        <f>[1]!BexGetData("DP_2","DL719O2RYNIY3MZ1QVCEEWBN7","17","E","13071081E205","2067329011")</f>
        <v>0</v>
      </c>
    </row>
    <row r="740" spans="1:9" x14ac:dyDescent="0.2">
      <c r="A740" s="46" t="s">
        <v>32</v>
      </c>
      <c r="B740" s="46" t="s">
        <v>32</v>
      </c>
      <c r="C740" s="46" t="s">
        <v>32</v>
      </c>
      <c r="D740" s="46" t="s">
        <v>32</v>
      </c>
      <c r="E740" s="46" t="s">
        <v>32</v>
      </c>
      <c r="F740" s="47">
        <f>[1]!BexGetData("DP_2","DL719O2RYNC0Y217V0FVT1R77","17","E","13071081E205","2067336011")</f>
        <v>129932.15</v>
      </c>
      <c r="G740" s="48">
        <f>[1]!BexGetData("DP_2","DL719O2RYNEBZX0HTMQQ0BY0J","17","E","13071081E205","2067336011")</f>
        <v>129932.15</v>
      </c>
      <c r="H740" s="48">
        <f>[1]!BexGetData("DP_2","DL719O2RYNGN1RZRS91K7M4TV","17","E","13071081E205","2067336011")</f>
        <v>123552.15</v>
      </c>
      <c r="I740" s="48">
        <f>[1]!BexGetData("DP_2","DL719O2RYNIY3MZ1QVCEEWBN7","17","E","13071081E205","2067336011")</f>
        <v>0</v>
      </c>
    </row>
    <row r="741" spans="1:9" x14ac:dyDescent="0.2">
      <c r="A741" s="46" t="s">
        <v>32</v>
      </c>
      <c r="B741" s="46" t="s">
        <v>32</v>
      </c>
      <c r="C741" s="46" t="s">
        <v>32</v>
      </c>
      <c r="D741" s="46" t="s">
        <v>32</v>
      </c>
      <c r="E741" s="46" t="s">
        <v>32</v>
      </c>
      <c r="F741" s="47">
        <f>[1]!BexGetData("DP_2","DL719O2RYNC0Y217V0FVT1R77","17","E","13071081E205","2067347011")</f>
        <v>297.12</v>
      </c>
      <c r="G741" s="48">
        <f>[1]!BexGetData("DP_2","DL719O2RYNEBZX0HTMQQ0BY0J","17","E","13071081E205","2067347011")</f>
        <v>297.12</v>
      </c>
      <c r="H741" s="48">
        <f>[1]!BexGetData("DP_2","DL719O2RYNGN1RZRS91K7M4TV","17","E","13071081E205","2067347011")</f>
        <v>297.12</v>
      </c>
      <c r="I741" s="48">
        <f>[1]!BexGetData("DP_2","DL719O2RYNIY3MZ1QVCEEWBN7","17","E","13071081E205","2067347011")</f>
        <v>0</v>
      </c>
    </row>
    <row r="742" spans="1:9" x14ac:dyDescent="0.2">
      <c r="A742" s="46" t="s">
        <v>32</v>
      </c>
      <c r="B742" s="46" t="s">
        <v>32</v>
      </c>
      <c r="C742" s="46" t="s">
        <v>32</v>
      </c>
      <c r="D742" s="46" t="s">
        <v>32</v>
      </c>
      <c r="E742" s="46" t="s">
        <v>32</v>
      </c>
      <c r="F742" s="47">
        <f>[1]!BexGetData("DP_2","DL719O2RYNC0Y217V0FVT1R77","17","E","13071081E205","2067355011")</f>
        <v>20280.509999999998</v>
      </c>
      <c r="G742" s="48">
        <f>[1]!BexGetData("DP_2","DL719O2RYNEBZX0HTMQQ0BY0J","17","E","13071081E205","2067355011")</f>
        <v>20280.509999999998</v>
      </c>
      <c r="H742" s="48">
        <f>[1]!BexGetData("DP_2","DL719O2RYNGN1RZRS91K7M4TV","17","E","13071081E205","2067355011")</f>
        <v>8425.31</v>
      </c>
      <c r="I742" s="48">
        <f>[1]!BexGetData("DP_2","DL719O2RYNIY3MZ1QVCEEWBN7","17","E","13071081E205","2067355011")</f>
        <v>0</v>
      </c>
    </row>
    <row r="743" spans="1:9" x14ac:dyDescent="0.2">
      <c r="A743" s="46" t="s">
        <v>32</v>
      </c>
      <c r="B743" s="46" t="s">
        <v>32</v>
      </c>
      <c r="C743" s="46" t="s">
        <v>32</v>
      </c>
      <c r="D743" s="46" t="s">
        <v>32</v>
      </c>
      <c r="E743" s="46" t="s">
        <v>32</v>
      </c>
      <c r="F743" s="47">
        <f>[1]!BexGetData("DP_2","DL719O2RYNC0Y217V0FVT1R77","17","E","13071081E205","2067364011")</f>
        <v>800.17</v>
      </c>
      <c r="G743" s="48">
        <f>[1]!BexGetData("DP_2","DL719O2RYNEBZX0HTMQQ0BY0J","17","E","13071081E205","2067364011")</f>
        <v>800.17</v>
      </c>
      <c r="H743" s="48">
        <f>[1]!BexGetData("DP_2","DL719O2RYNGN1RZRS91K7M4TV","17","E","13071081E205","2067364011")</f>
        <v>800.17</v>
      </c>
      <c r="I743" s="48">
        <f>[1]!BexGetData("DP_2","DL719O2RYNIY3MZ1QVCEEWBN7","17","E","13071081E205","2067364011")</f>
        <v>0</v>
      </c>
    </row>
    <row r="744" spans="1:9" x14ac:dyDescent="0.2">
      <c r="A744" s="46" t="s">
        <v>32</v>
      </c>
      <c r="B744" s="46" t="s">
        <v>32</v>
      </c>
      <c r="C744" s="46" t="s">
        <v>32</v>
      </c>
      <c r="D744" s="46" t="s">
        <v>32</v>
      </c>
      <c r="E744" s="46" t="s">
        <v>32</v>
      </c>
      <c r="F744" s="47">
        <f>[1]!BexGetData("DP_2","DL719O2RYNC0Y217V0FVT1R77","17","E","13071081E205","2067511012")</f>
        <v>3920.22</v>
      </c>
      <c r="G744" s="48">
        <f>[1]!BexGetData("DP_2","DL719O2RYNEBZX0HTMQQ0BY0J","17","E","13071081E205","2067511012")</f>
        <v>3920.22</v>
      </c>
      <c r="H744" s="48">
        <f>[1]!BexGetData("DP_2","DL719O2RYNGN1RZRS91K7M4TV","17","E","13071081E205","2067511012")</f>
        <v>3920.22</v>
      </c>
      <c r="I744" s="48">
        <f>[1]!BexGetData("DP_2","DL719O2RYNIY3MZ1QVCEEWBN7","17","E","13071081E205","2067511012")</f>
        <v>0</v>
      </c>
    </row>
    <row r="745" spans="1:9" x14ac:dyDescent="0.2">
      <c r="A745" s="46" t="s">
        <v>32</v>
      </c>
      <c r="B745" s="46" t="s">
        <v>32</v>
      </c>
      <c r="C745" s="46" t="s">
        <v>32</v>
      </c>
      <c r="D745" s="46" t="s">
        <v>32</v>
      </c>
      <c r="E745" s="46" t="s">
        <v>32</v>
      </c>
      <c r="F745" s="47">
        <f>[1]!BexGetData("DP_2","DL719O2RYNC0Y217V0FVT1R77","17","E","13071081E205","2067515012")</f>
        <v>43917.599999999999</v>
      </c>
      <c r="G745" s="48">
        <f>[1]!BexGetData("DP_2","DL719O2RYNEBZX0HTMQQ0BY0J","17","E","13071081E205","2067515012")</f>
        <v>43917.599999999999</v>
      </c>
      <c r="H745" s="48">
        <f>[1]!BexGetData("DP_2","DL719O2RYNGN1RZRS91K7M4TV","17","E","13071081E205","2067515012")</f>
        <v>43917.599999999999</v>
      </c>
      <c r="I745" s="48">
        <f>[1]!BexGetData("DP_2","DL719O2RYNIY3MZ1QVCEEWBN7","17","E","13071081E205","2067515012")</f>
        <v>0</v>
      </c>
    </row>
    <row r="746" spans="1:9" x14ac:dyDescent="0.2">
      <c r="A746" s="46" t="s">
        <v>32</v>
      </c>
      <c r="B746" s="46" t="s">
        <v>32</v>
      </c>
      <c r="C746" s="46" t="s">
        <v>32</v>
      </c>
      <c r="D746" s="46" t="s">
        <v>32</v>
      </c>
      <c r="E746" s="46" t="s">
        <v>32</v>
      </c>
      <c r="F746" s="47">
        <f>[1]!BexGetData("DP_2","DL719O2RYNC0Y217V0FVT1R77","17","E","13071081E205","2067521012")</f>
        <v>6240.8</v>
      </c>
      <c r="G746" s="48">
        <f>[1]!BexGetData("DP_2","DL719O2RYNEBZX0HTMQQ0BY0J","17","E","13071081E205","2067521012")</f>
        <v>6240.8</v>
      </c>
      <c r="H746" s="48">
        <f>[1]!BexGetData("DP_2","DL719O2RYNGN1RZRS91K7M4TV","17","E","13071081E205","2067521012")</f>
        <v>6240.8</v>
      </c>
      <c r="I746" s="48">
        <f>[1]!BexGetData("DP_2","DL719O2RYNIY3MZ1QVCEEWBN7","17","E","13071081E205","2067521012")</f>
        <v>0</v>
      </c>
    </row>
    <row r="747" spans="1:9" x14ac:dyDescent="0.2">
      <c r="A747" s="46" t="s">
        <v>32</v>
      </c>
      <c r="B747" s="46" t="s">
        <v>32</v>
      </c>
      <c r="C747" s="46" t="s">
        <v>32</v>
      </c>
      <c r="D747" s="46" t="s">
        <v>32</v>
      </c>
      <c r="E747" s="46" t="s">
        <v>32</v>
      </c>
      <c r="F747" s="47">
        <f>[1]!BexGetData("DP_2","DL719O2RYNC0Y217V0FVT1R77","17","E","13071081E205","2067523012")</f>
        <v>4524</v>
      </c>
      <c r="G747" s="48">
        <f>[1]!BexGetData("DP_2","DL719O2RYNEBZX0HTMQQ0BY0J","17","E","13071081E205","2067523012")</f>
        <v>4524</v>
      </c>
      <c r="H747" s="48">
        <f>[1]!BexGetData("DP_2","DL719O2RYNGN1RZRS91K7M4TV","17","E","13071081E205","2067523012")</f>
        <v>4524</v>
      </c>
      <c r="I747" s="48">
        <f>[1]!BexGetData("DP_2","DL719O2RYNIY3MZ1QVCEEWBN7","17","E","13071081E205","2067523012")</f>
        <v>0</v>
      </c>
    </row>
    <row r="748" spans="1:9" x14ac:dyDescent="0.2">
      <c r="A748" s="46" t="s">
        <v>32</v>
      </c>
      <c r="B748" s="46" t="s">
        <v>32</v>
      </c>
      <c r="C748" s="46" t="s">
        <v>98</v>
      </c>
      <c r="D748" s="46" t="s">
        <v>98</v>
      </c>
      <c r="E748" s="46" t="s">
        <v>32</v>
      </c>
      <c r="F748" s="47">
        <f>[1]!BexGetData("DP_2","DL719O2RYNC0Y217V0FVT1R77","17","E","13071082E205","2067113011")</f>
        <v>0</v>
      </c>
      <c r="G748" s="48">
        <f>[1]!BexGetData("DP_2","DL719O2RYNEBZX0HTMQQ0BY0J","17","E","13071082E205","2067113011")</f>
        <v>0</v>
      </c>
      <c r="H748" s="48">
        <f>[1]!BexGetData("DP_2","DL719O2RYNGN1RZRS91K7M4TV","17","E","13071082E205","2067113011")</f>
        <v>0</v>
      </c>
      <c r="I748" s="48">
        <f>[1]!BexGetData("DP_2","DL719O2RYNIY3MZ1QVCEEWBN7","17","E","13071082E205","2067113011")</f>
        <v>0</v>
      </c>
    </row>
    <row r="749" spans="1:9" x14ac:dyDescent="0.2">
      <c r="A749" s="46" t="s">
        <v>32</v>
      </c>
      <c r="B749" s="46" t="s">
        <v>32</v>
      </c>
      <c r="C749" s="46" t="s">
        <v>32</v>
      </c>
      <c r="D749" s="46" t="s">
        <v>32</v>
      </c>
      <c r="E749" s="46" t="s">
        <v>32</v>
      </c>
      <c r="F749" s="47">
        <f>[1]!BexGetData("DP_2","DL719O2RYNC0Y217V0FVT1R77","17","E","13071082E205","2067113021")</f>
        <v>0</v>
      </c>
      <c r="G749" s="48">
        <f>[1]!BexGetData("DP_2","DL719O2RYNEBZX0HTMQQ0BY0J","17","E","13071082E205","2067113021")</f>
        <v>0</v>
      </c>
      <c r="H749" s="48">
        <f>[1]!BexGetData("DP_2","DL719O2RYNGN1RZRS91K7M4TV","17","E","13071082E205","2067113021")</f>
        <v>0</v>
      </c>
      <c r="I749" s="48">
        <f>[1]!BexGetData("DP_2","DL719O2RYNIY3MZ1QVCEEWBN7","17","E","13071082E205","2067113021")</f>
        <v>0</v>
      </c>
    </row>
    <row r="750" spans="1:9" x14ac:dyDescent="0.2">
      <c r="A750" s="46" t="s">
        <v>32</v>
      </c>
      <c r="B750" s="46" t="s">
        <v>32</v>
      </c>
      <c r="C750" s="46" t="s">
        <v>32</v>
      </c>
      <c r="D750" s="46" t="s">
        <v>32</v>
      </c>
      <c r="E750" s="46" t="s">
        <v>32</v>
      </c>
      <c r="F750" s="47">
        <f>[1]!BexGetData("DP_2","DL719O2RYNC0Y217V0FVT1R77","17","E","13071082E205","2067131011")</f>
        <v>0</v>
      </c>
      <c r="G750" s="48">
        <f>[1]!BexGetData("DP_2","DL719O2RYNEBZX0HTMQQ0BY0J","17","E","13071082E205","2067131011")</f>
        <v>0</v>
      </c>
      <c r="H750" s="48">
        <f>[1]!BexGetData("DP_2","DL719O2RYNGN1RZRS91K7M4TV","17","E","13071082E205","2067131011")</f>
        <v>0</v>
      </c>
      <c r="I750" s="48">
        <f>[1]!BexGetData("DP_2","DL719O2RYNIY3MZ1QVCEEWBN7","17","E","13071082E205","2067131011")</f>
        <v>0</v>
      </c>
    </row>
    <row r="751" spans="1:9" x14ac:dyDescent="0.2">
      <c r="A751" s="46" t="s">
        <v>32</v>
      </c>
      <c r="B751" s="46" t="s">
        <v>32</v>
      </c>
      <c r="C751" s="46" t="s">
        <v>32</v>
      </c>
      <c r="D751" s="46" t="s">
        <v>32</v>
      </c>
      <c r="E751" s="46" t="s">
        <v>32</v>
      </c>
      <c r="F751" s="47">
        <f>[1]!BexGetData("DP_2","DL719O2RYNC0Y217V0FVT1R77","17","E","13071082E205","2067131021")</f>
        <v>0</v>
      </c>
      <c r="G751" s="48">
        <f>[1]!BexGetData("DP_2","DL719O2RYNEBZX0HTMQQ0BY0J","17","E","13071082E205","2067131021")</f>
        <v>0</v>
      </c>
      <c r="H751" s="48">
        <f>[1]!BexGetData("DP_2","DL719O2RYNGN1RZRS91K7M4TV","17","E","13071082E205","2067131021")</f>
        <v>0</v>
      </c>
      <c r="I751" s="48">
        <f>[1]!BexGetData("DP_2","DL719O2RYNIY3MZ1QVCEEWBN7","17","E","13071082E205","2067131021")</f>
        <v>0</v>
      </c>
    </row>
    <row r="752" spans="1:9" x14ac:dyDescent="0.2">
      <c r="A752" s="46" t="s">
        <v>32</v>
      </c>
      <c r="B752" s="46" t="s">
        <v>32</v>
      </c>
      <c r="C752" s="46" t="s">
        <v>32</v>
      </c>
      <c r="D752" s="46" t="s">
        <v>32</v>
      </c>
      <c r="E752" s="46" t="s">
        <v>32</v>
      </c>
      <c r="F752" s="47">
        <f>[1]!BexGetData("DP_2","DL719O2RYNC0Y217V0FVT1R77","17","E","13071082E205","2067132011")</f>
        <v>0</v>
      </c>
      <c r="G752" s="48">
        <f>[1]!BexGetData("DP_2","DL719O2RYNEBZX0HTMQQ0BY0J","17","E","13071082E205","2067132011")</f>
        <v>0</v>
      </c>
      <c r="H752" s="48">
        <f>[1]!BexGetData("DP_2","DL719O2RYNGN1RZRS91K7M4TV","17","E","13071082E205","2067132011")</f>
        <v>0</v>
      </c>
      <c r="I752" s="48">
        <f>[1]!BexGetData("DP_2","DL719O2RYNIY3MZ1QVCEEWBN7","17","E","13071082E205","2067132011")</f>
        <v>0</v>
      </c>
    </row>
    <row r="753" spans="1:9" x14ac:dyDescent="0.2">
      <c r="A753" s="46" t="s">
        <v>32</v>
      </c>
      <c r="B753" s="46" t="s">
        <v>32</v>
      </c>
      <c r="C753" s="46" t="s">
        <v>32</v>
      </c>
      <c r="D753" s="46" t="s">
        <v>32</v>
      </c>
      <c r="E753" s="46" t="s">
        <v>32</v>
      </c>
      <c r="F753" s="47">
        <f>[1]!BexGetData("DP_2","DL719O2RYNC0Y217V0FVT1R77","17","E","13071082E205","2067132021")</f>
        <v>0</v>
      </c>
      <c r="G753" s="48">
        <f>[1]!BexGetData("DP_2","DL719O2RYNEBZX0HTMQQ0BY0J","17","E","13071082E205","2067132021")</f>
        <v>0</v>
      </c>
      <c r="H753" s="48">
        <f>[1]!BexGetData("DP_2","DL719O2RYNGN1RZRS91K7M4TV","17","E","13071082E205","2067132021")</f>
        <v>0</v>
      </c>
      <c r="I753" s="48">
        <f>[1]!BexGetData("DP_2","DL719O2RYNIY3MZ1QVCEEWBN7","17","E","13071082E205","2067132021")</f>
        <v>0</v>
      </c>
    </row>
    <row r="754" spans="1:9" x14ac:dyDescent="0.2">
      <c r="A754" s="46" t="s">
        <v>32</v>
      </c>
      <c r="B754" s="46" t="s">
        <v>32</v>
      </c>
      <c r="C754" s="46" t="s">
        <v>32</v>
      </c>
      <c r="D754" s="46" t="s">
        <v>32</v>
      </c>
      <c r="E754" s="46" t="s">
        <v>32</v>
      </c>
      <c r="F754" s="47">
        <f>[1]!BexGetData("DP_2","DL719O2RYNC0Y217V0FVT1R77","17","E","13071082E205","2067134021")</f>
        <v>0</v>
      </c>
      <c r="G754" s="48">
        <f>[1]!BexGetData("DP_2","DL719O2RYNEBZX0HTMQQ0BY0J","17","E","13071082E205","2067134021")</f>
        <v>0</v>
      </c>
      <c r="H754" s="48">
        <f>[1]!BexGetData("DP_2","DL719O2RYNGN1RZRS91K7M4TV","17","E","13071082E205","2067134021")</f>
        <v>0</v>
      </c>
      <c r="I754" s="48">
        <f>[1]!BexGetData("DP_2","DL719O2RYNIY3MZ1QVCEEWBN7","17","E","13071082E205","2067134021")</f>
        <v>0</v>
      </c>
    </row>
    <row r="755" spans="1:9" x14ac:dyDescent="0.2">
      <c r="A755" s="46" t="s">
        <v>32</v>
      </c>
      <c r="B755" s="46" t="s">
        <v>32</v>
      </c>
      <c r="C755" s="46" t="s">
        <v>32</v>
      </c>
      <c r="D755" s="46" t="s">
        <v>32</v>
      </c>
      <c r="E755" s="46" t="s">
        <v>32</v>
      </c>
      <c r="F755" s="47">
        <f>[1]!BexGetData("DP_2","DL719O2RYNC0Y217V0FVT1R77","17","E","13071082E205","2067141011")</f>
        <v>0</v>
      </c>
      <c r="G755" s="48">
        <f>[1]!BexGetData("DP_2","DL719O2RYNEBZX0HTMQQ0BY0J","17","E","13071082E205","2067141011")</f>
        <v>0</v>
      </c>
      <c r="H755" s="48">
        <f>[1]!BexGetData("DP_2","DL719O2RYNGN1RZRS91K7M4TV","17","E","13071082E205","2067141011")</f>
        <v>0</v>
      </c>
      <c r="I755" s="48">
        <f>[1]!BexGetData("DP_2","DL719O2RYNIY3MZ1QVCEEWBN7","17","E","13071082E205","2067141011")</f>
        <v>0</v>
      </c>
    </row>
    <row r="756" spans="1:9" x14ac:dyDescent="0.2">
      <c r="A756" s="46" t="s">
        <v>32</v>
      </c>
      <c r="B756" s="46" t="s">
        <v>32</v>
      </c>
      <c r="C756" s="46" t="s">
        <v>32</v>
      </c>
      <c r="D756" s="46" t="s">
        <v>32</v>
      </c>
      <c r="E756" s="46" t="s">
        <v>32</v>
      </c>
      <c r="F756" s="47">
        <f>[1]!BexGetData("DP_2","DL719O2RYNC0Y217V0FVT1R77","17","E","13071082E205","2067141021")</f>
        <v>0</v>
      </c>
      <c r="G756" s="48">
        <f>[1]!BexGetData("DP_2","DL719O2RYNEBZX0HTMQQ0BY0J","17","E","13071082E205","2067141021")</f>
        <v>0</v>
      </c>
      <c r="H756" s="48">
        <f>[1]!BexGetData("DP_2","DL719O2RYNGN1RZRS91K7M4TV","17","E","13071082E205","2067141021")</f>
        <v>0</v>
      </c>
      <c r="I756" s="48">
        <f>[1]!BexGetData("DP_2","DL719O2RYNIY3MZ1QVCEEWBN7","17","E","13071082E205","2067141021")</f>
        <v>0</v>
      </c>
    </row>
    <row r="757" spans="1:9" x14ac:dyDescent="0.2">
      <c r="A757" s="46" t="s">
        <v>32</v>
      </c>
      <c r="B757" s="46" t="s">
        <v>32</v>
      </c>
      <c r="C757" s="46" t="s">
        <v>32</v>
      </c>
      <c r="D757" s="46" t="s">
        <v>32</v>
      </c>
      <c r="E757" s="46" t="s">
        <v>32</v>
      </c>
      <c r="F757" s="47">
        <f>[1]!BexGetData("DP_2","DL719O2RYNC0Y217V0FVT1R77","17","E","13071082E205","2067143011")</f>
        <v>0</v>
      </c>
      <c r="G757" s="48">
        <f>[1]!BexGetData("DP_2","DL719O2RYNEBZX0HTMQQ0BY0J","17","E","13071082E205","2067143011")</f>
        <v>0</v>
      </c>
      <c r="H757" s="48">
        <f>[1]!BexGetData("DP_2","DL719O2RYNGN1RZRS91K7M4TV","17","E","13071082E205","2067143011")</f>
        <v>0</v>
      </c>
      <c r="I757" s="48">
        <f>[1]!BexGetData("DP_2","DL719O2RYNIY3MZ1QVCEEWBN7","17","E","13071082E205","2067143011")</f>
        <v>0</v>
      </c>
    </row>
    <row r="758" spans="1:9" x14ac:dyDescent="0.2">
      <c r="A758" s="46" t="s">
        <v>32</v>
      </c>
      <c r="B758" s="46" t="s">
        <v>32</v>
      </c>
      <c r="C758" s="46" t="s">
        <v>32</v>
      </c>
      <c r="D758" s="46" t="s">
        <v>32</v>
      </c>
      <c r="E758" s="46" t="s">
        <v>32</v>
      </c>
      <c r="F758" s="47">
        <f>[1]!BexGetData("DP_2","DL719O2RYNC0Y217V0FVT1R77","17","E","13071082E205","2067151011")</f>
        <v>0</v>
      </c>
      <c r="G758" s="48">
        <f>[1]!BexGetData("DP_2","DL719O2RYNEBZX0HTMQQ0BY0J","17","E","13071082E205","2067151011")</f>
        <v>0</v>
      </c>
      <c r="H758" s="48">
        <f>[1]!BexGetData("DP_2","DL719O2RYNGN1RZRS91K7M4TV","17","E","13071082E205","2067151011")</f>
        <v>0</v>
      </c>
      <c r="I758" s="48">
        <f>[1]!BexGetData("DP_2","DL719O2RYNIY3MZ1QVCEEWBN7","17","E","13071082E205","2067151011")</f>
        <v>0</v>
      </c>
    </row>
    <row r="759" spans="1:9" x14ac:dyDescent="0.2">
      <c r="A759" s="46" t="s">
        <v>32</v>
      </c>
      <c r="B759" s="46" t="s">
        <v>32</v>
      </c>
      <c r="C759" s="46" t="s">
        <v>32</v>
      </c>
      <c r="D759" s="46" t="s">
        <v>32</v>
      </c>
      <c r="E759" s="46" t="s">
        <v>32</v>
      </c>
      <c r="F759" s="47">
        <f>[1]!BexGetData("DP_2","DL719O2RYNC0Y217V0FVT1R77","17","E","13071082E205","2067154011")</f>
        <v>0</v>
      </c>
      <c r="G759" s="48">
        <f>[1]!BexGetData("DP_2","DL719O2RYNEBZX0HTMQQ0BY0J","17","E","13071082E205","2067154011")</f>
        <v>0</v>
      </c>
      <c r="H759" s="48">
        <f>[1]!BexGetData("DP_2","DL719O2RYNGN1RZRS91K7M4TV","17","E","13071082E205","2067154011")</f>
        <v>0</v>
      </c>
      <c r="I759" s="48">
        <f>[1]!BexGetData("DP_2","DL719O2RYNIY3MZ1QVCEEWBN7","17","E","13071082E205","2067154011")</f>
        <v>0</v>
      </c>
    </row>
    <row r="760" spans="1:9" x14ac:dyDescent="0.2">
      <c r="A760" s="46" t="s">
        <v>32</v>
      </c>
      <c r="B760" s="46" t="s">
        <v>32</v>
      </c>
      <c r="C760" s="46" t="s">
        <v>32</v>
      </c>
      <c r="D760" s="46" t="s">
        <v>32</v>
      </c>
      <c r="E760" s="46" t="s">
        <v>32</v>
      </c>
      <c r="F760" s="47">
        <f>[1]!BexGetData("DP_2","DL719O2RYNC0Y217V0FVT1R77","17","E","13071082E205","2067211011")</f>
        <v>0</v>
      </c>
      <c r="G760" s="48">
        <f>[1]!BexGetData("DP_2","DL719O2RYNEBZX0HTMQQ0BY0J","17","E","13071082E205","2067211011")</f>
        <v>0</v>
      </c>
      <c r="H760" s="48">
        <f>[1]!BexGetData("DP_2","DL719O2RYNGN1RZRS91K7M4TV","17","E","13071082E205","2067211011")</f>
        <v>0</v>
      </c>
      <c r="I760" s="48">
        <f>[1]!BexGetData("DP_2","DL719O2RYNIY3MZ1QVCEEWBN7","17","E","13071082E205","2067211011")</f>
        <v>0</v>
      </c>
    </row>
    <row r="761" spans="1:9" x14ac:dyDescent="0.2">
      <c r="A761" s="46" t="s">
        <v>32</v>
      </c>
      <c r="B761" s="46" t="s">
        <v>32</v>
      </c>
      <c r="C761" s="46" t="s">
        <v>32</v>
      </c>
      <c r="D761" s="46" t="s">
        <v>32</v>
      </c>
      <c r="E761" s="46" t="s">
        <v>32</v>
      </c>
      <c r="F761" s="47">
        <f>[1]!BexGetData("DP_2","DL719O2RYNC0Y217V0FVT1R77","17","E","13071082E205","2067214011")</f>
        <v>0</v>
      </c>
      <c r="G761" s="48">
        <f>[1]!BexGetData("DP_2","DL719O2RYNEBZX0HTMQQ0BY0J","17","E","13071082E205","2067214011")</f>
        <v>0</v>
      </c>
      <c r="H761" s="48">
        <f>[1]!BexGetData("DP_2","DL719O2RYNGN1RZRS91K7M4TV","17","E","13071082E205","2067214011")</f>
        <v>0</v>
      </c>
      <c r="I761" s="48">
        <f>[1]!BexGetData("DP_2","DL719O2RYNIY3MZ1QVCEEWBN7","17","E","13071082E205","2067214011")</f>
        <v>0</v>
      </c>
    </row>
    <row r="762" spans="1:9" x14ac:dyDescent="0.2">
      <c r="A762" s="46" t="s">
        <v>32</v>
      </c>
      <c r="B762" s="46" t="s">
        <v>32</v>
      </c>
      <c r="C762" s="46" t="s">
        <v>32</v>
      </c>
      <c r="D762" s="46" t="s">
        <v>32</v>
      </c>
      <c r="E762" s="46" t="s">
        <v>32</v>
      </c>
      <c r="F762" s="47">
        <f>[1]!BexGetData("DP_2","DL719O2RYNC0Y217V0FVT1R77","17","E","13071082E205","2067216011")</f>
        <v>0</v>
      </c>
      <c r="G762" s="48">
        <f>[1]!BexGetData("DP_2","DL719O2RYNEBZX0HTMQQ0BY0J","17","E","13071082E205","2067216011")</f>
        <v>0</v>
      </c>
      <c r="H762" s="48">
        <f>[1]!BexGetData("DP_2","DL719O2RYNGN1RZRS91K7M4TV","17","E","13071082E205","2067216011")</f>
        <v>0</v>
      </c>
      <c r="I762" s="48">
        <f>[1]!BexGetData("DP_2","DL719O2RYNIY3MZ1QVCEEWBN7","17","E","13071082E205","2067216011")</f>
        <v>0</v>
      </c>
    </row>
    <row r="763" spans="1:9" x14ac:dyDescent="0.2">
      <c r="A763" s="46" t="s">
        <v>32</v>
      </c>
      <c r="B763" s="46" t="s">
        <v>32</v>
      </c>
      <c r="C763" s="46" t="s">
        <v>32</v>
      </c>
      <c r="D763" s="46" t="s">
        <v>32</v>
      </c>
      <c r="E763" s="46" t="s">
        <v>32</v>
      </c>
      <c r="F763" s="47">
        <f>[1]!BexGetData("DP_2","DL719O2RYNC0Y217V0FVT1R77","17","E","13071082E205","2067372011")</f>
        <v>0</v>
      </c>
      <c r="G763" s="48">
        <f>[1]!BexGetData("DP_2","DL719O2RYNEBZX0HTMQQ0BY0J","17","E","13071082E205","2067372011")</f>
        <v>0</v>
      </c>
      <c r="H763" s="48">
        <f>[1]!BexGetData("DP_2","DL719O2RYNGN1RZRS91K7M4TV","17","E","13071082E205","2067372011")</f>
        <v>0</v>
      </c>
      <c r="I763" s="48">
        <f>[1]!BexGetData("DP_2","DL719O2RYNIY3MZ1QVCEEWBN7","17","E","13071082E205","2067372011")</f>
        <v>0</v>
      </c>
    </row>
    <row r="764" spans="1:9" x14ac:dyDescent="0.2">
      <c r="A764" s="46" t="s">
        <v>32</v>
      </c>
      <c r="B764" s="46" t="s">
        <v>32</v>
      </c>
      <c r="C764" s="46" t="s">
        <v>64</v>
      </c>
      <c r="D764" s="46" t="s">
        <v>64</v>
      </c>
      <c r="E764" s="46" t="s">
        <v>32</v>
      </c>
      <c r="F764" s="47">
        <f>[1]!BexGetData("DP_2","DL719O2RYNC0Y217V0FVT1R77","17","E","17011011E103","2067112011")</f>
        <v>2724423.08</v>
      </c>
      <c r="G764" s="48">
        <f>[1]!BexGetData("DP_2","DL719O2RYNEBZX0HTMQQ0BY0J","17","E","17011011E103","2067112011")</f>
        <v>2724423.08</v>
      </c>
      <c r="H764" s="48">
        <f>[1]!BexGetData("DP_2","DL719O2RYNGN1RZRS91K7M4TV","17","E","17011011E103","2067112011")</f>
        <v>2724423.08</v>
      </c>
      <c r="I764" s="48">
        <f>[1]!BexGetData("DP_2","DL719O2RYNIY3MZ1QVCEEWBN7","17","E","17011011E103","2067112011")</f>
        <v>0</v>
      </c>
    </row>
    <row r="765" spans="1:9" x14ac:dyDescent="0.2">
      <c r="A765" s="46" t="s">
        <v>32</v>
      </c>
      <c r="B765" s="46" t="s">
        <v>32</v>
      </c>
      <c r="C765" s="46" t="s">
        <v>32</v>
      </c>
      <c r="D765" s="46" t="s">
        <v>32</v>
      </c>
      <c r="E765" s="46" t="s">
        <v>32</v>
      </c>
      <c r="F765" s="47">
        <f>[1]!BexGetData("DP_2","DL719O2RYNC0Y217V0FVT1R77","17","E","17011011E103","2067132021")</f>
        <v>457344.33</v>
      </c>
      <c r="G765" s="48">
        <f>[1]!BexGetData("DP_2","DL719O2RYNEBZX0HTMQQ0BY0J","17","E","17011011E103","2067132021")</f>
        <v>457344.33</v>
      </c>
      <c r="H765" s="48">
        <f>[1]!BexGetData("DP_2","DL719O2RYNGN1RZRS91K7M4TV","17","E","17011011E103","2067132021")</f>
        <v>457344.33</v>
      </c>
      <c r="I765" s="48">
        <f>[1]!BexGetData("DP_2","DL719O2RYNIY3MZ1QVCEEWBN7","17","E","17011011E103","2067132021")</f>
        <v>0</v>
      </c>
    </row>
    <row r="766" spans="1:9" x14ac:dyDescent="0.2">
      <c r="A766" s="46" t="s">
        <v>32</v>
      </c>
      <c r="B766" s="46" t="s">
        <v>32</v>
      </c>
      <c r="C766" s="46" t="s">
        <v>32</v>
      </c>
      <c r="D766" s="46" t="s">
        <v>32</v>
      </c>
      <c r="E766" s="46" t="s">
        <v>32</v>
      </c>
      <c r="F766" s="47">
        <f>[1]!BexGetData("DP_2","DL719O2RYNC0Y217V0FVT1R77","17","E","17011011E103","2067134011")</f>
        <v>5575408.8099999996</v>
      </c>
      <c r="G766" s="48">
        <f>[1]!BexGetData("DP_2","DL719O2RYNEBZX0HTMQQ0BY0J","17","E","17011011E103","2067134011")</f>
        <v>5575408.8099999996</v>
      </c>
      <c r="H766" s="48">
        <f>[1]!BexGetData("DP_2","DL719O2RYNGN1RZRS91K7M4TV","17","E","17011011E103","2067134011")</f>
        <v>5671280.46</v>
      </c>
      <c r="I766" s="48">
        <f>[1]!BexGetData("DP_2","DL719O2RYNIY3MZ1QVCEEWBN7","17","E","17011011E103","2067134011")</f>
        <v>2.0000000000000001E-9</v>
      </c>
    </row>
    <row r="767" spans="1:9" x14ac:dyDescent="0.2">
      <c r="A767" s="46" t="s">
        <v>32</v>
      </c>
      <c r="B767" s="46" t="s">
        <v>32</v>
      </c>
      <c r="C767" s="46" t="s">
        <v>32</v>
      </c>
      <c r="D767" s="46" t="s">
        <v>32</v>
      </c>
      <c r="E767" s="46" t="s">
        <v>32</v>
      </c>
      <c r="F767" s="47">
        <f>[1]!BexGetData("DP_2","DL719O2RYNC0Y217V0FVT1R77","17","E","17011011E103","2067141011")</f>
        <v>10084168.68</v>
      </c>
      <c r="G767" s="48">
        <f>[1]!BexGetData("DP_2","DL719O2RYNEBZX0HTMQQ0BY0J","17","E","17011011E103","2067141011")</f>
        <v>10084168.68</v>
      </c>
      <c r="H767" s="48">
        <f>[1]!BexGetData("DP_2","DL719O2RYNGN1RZRS91K7M4TV","17","E","17011011E103","2067141011")</f>
        <v>10084168.68</v>
      </c>
      <c r="I767" s="48">
        <f>[1]!BexGetData("DP_2","DL719O2RYNIY3MZ1QVCEEWBN7","17","E","17011011E103","2067141011")</f>
        <v>-2.0000000000000001E-9</v>
      </c>
    </row>
    <row r="768" spans="1:9" x14ac:dyDescent="0.2">
      <c r="A768" s="46" t="s">
        <v>32</v>
      </c>
      <c r="B768" s="46" t="s">
        <v>32</v>
      </c>
      <c r="C768" s="46" t="s">
        <v>32</v>
      </c>
      <c r="D768" s="46" t="s">
        <v>32</v>
      </c>
      <c r="E768" s="46" t="s">
        <v>32</v>
      </c>
      <c r="F768" s="47">
        <f>[1]!BexGetData("DP_2","DL719O2RYNC0Y217V0FVT1R77","17","E","17011011E103","2067141021")</f>
        <v>3261821.89</v>
      </c>
      <c r="G768" s="48">
        <f>[1]!BexGetData("DP_2","DL719O2RYNEBZX0HTMQQ0BY0J","17","E","17011011E103","2067141021")</f>
        <v>3261821.89</v>
      </c>
      <c r="H768" s="48">
        <f>[1]!BexGetData("DP_2","DL719O2RYNGN1RZRS91K7M4TV","17","E","17011011E103","2067141021")</f>
        <v>3261821.89</v>
      </c>
      <c r="I768" s="48">
        <f>[1]!BexGetData("DP_2","DL719O2RYNIY3MZ1QVCEEWBN7","17","E","17011011E103","2067141021")</f>
        <v>0</v>
      </c>
    </row>
    <row r="769" spans="1:9" x14ac:dyDescent="0.2">
      <c r="A769" s="46" t="s">
        <v>32</v>
      </c>
      <c r="B769" s="46" t="s">
        <v>32</v>
      </c>
      <c r="C769" s="46" t="s">
        <v>32</v>
      </c>
      <c r="D769" s="46" t="s">
        <v>32</v>
      </c>
      <c r="E769" s="46" t="s">
        <v>32</v>
      </c>
      <c r="F769" s="47">
        <f>[1]!BexGetData("DP_2","DL719O2RYNC0Y217V0FVT1R77","17","E","17011011E103","2067143011")</f>
        <v>1552608.07</v>
      </c>
      <c r="G769" s="48">
        <f>[1]!BexGetData("DP_2","DL719O2RYNEBZX0HTMQQ0BY0J","17","E","17011011E103","2067143011")</f>
        <v>1552608.07</v>
      </c>
      <c r="H769" s="48">
        <f>[1]!BexGetData("DP_2","DL719O2RYNGN1RZRS91K7M4TV","17","E","17011011E103","2067143011")</f>
        <v>1552608.07</v>
      </c>
      <c r="I769" s="48">
        <f>[1]!BexGetData("DP_2","DL719O2RYNIY3MZ1QVCEEWBN7","17","E","17011011E103","2067143011")</f>
        <v>0</v>
      </c>
    </row>
    <row r="770" spans="1:9" x14ac:dyDescent="0.2">
      <c r="A770" s="46" t="s">
        <v>32</v>
      </c>
      <c r="B770" s="46" t="s">
        <v>32</v>
      </c>
      <c r="C770" s="46" t="s">
        <v>32</v>
      </c>
      <c r="D770" s="46" t="s">
        <v>32</v>
      </c>
      <c r="E770" s="46" t="s">
        <v>32</v>
      </c>
      <c r="F770" s="47">
        <f>[1]!BexGetData("DP_2","DL719O2RYNC0Y217V0FVT1R77","17","E","17011011E103","2067171021")</f>
        <v>0</v>
      </c>
      <c r="G770" s="48">
        <f>[1]!BexGetData("DP_2","DL719O2RYNEBZX0HTMQQ0BY0J","17","E","17011011E103","2067171021")</f>
        <v>0</v>
      </c>
      <c r="H770" s="48">
        <f>[1]!BexGetData("DP_2","DL719O2RYNGN1RZRS91K7M4TV","17","E","17011011E103","2067171021")</f>
        <v>0</v>
      </c>
      <c r="I770" s="48">
        <f>[1]!BexGetData("DP_2","DL719O2RYNIY3MZ1QVCEEWBN7","17","E","17011011E103","2067171021")</f>
        <v>1.0000000000000001E-9</v>
      </c>
    </row>
    <row r="771" spans="1:9" x14ac:dyDescent="0.2">
      <c r="A771" s="46" t="s">
        <v>32</v>
      </c>
      <c r="B771" s="46" t="s">
        <v>32</v>
      </c>
      <c r="C771" s="46" t="s">
        <v>32</v>
      </c>
      <c r="D771" s="46" t="s">
        <v>32</v>
      </c>
      <c r="E771" s="46" t="s">
        <v>32</v>
      </c>
      <c r="F771" s="47">
        <f>[1]!BexGetData("DP_2","DL719O2RYNC0Y217V0FVT1R77","17","E","17011011E103","2067211011")</f>
        <v>67816.61</v>
      </c>
      <c r="G771" s="48">
        <f>[1]!BexGetData("DP_2","DL719O2RYNEBZX0HTMQQ0BY0J","17","E","17011011E103","2067211011")</f>
        <v>67816.61</v>
      </c>
      <c r="H771" s="48">
        <f>[1]!BexGetData("DP_2","DL719O2RYNGN1RZRS91K7M4TV","17","E","17011011E103","2067211011")</f>
        <v>63052.47</v>
      </c>
      <c r="I771" s="48">
        <f>[1]!BexGetData("DP_2","DL719O2RYNIY3MZ1QVCEEWBN7","17","E","17011011E103","2067211011")</f>
        <v>0</v>
      </c>
    </row>
    <row r="772" spans="1:9" x14ac:dyDescent="0.2">
      <c r="A772" s="46" t="s">
        <v>32</v>
      </c>
      <c r="B772" s="46" t="s">
        <v>32</v>
      </c>
      <c r="C772" s="46" t="s">
        <v>32</v>
      </c>
      <c r="D772" s="46" t="s">
        <v>32</v>
      </c>
      <c r="E772" s="46" t="s">
        <v>32</v>
      </c>
      <c r="F772" s="47">
        <f>[1]!BexGetData("DP_2","DL719O2RYNC0Y217V0FVT1R77","17","E","17011011E103","2067211021")</f>
        <v>1186.2</v>
      </c>
      <c r="G772" s="48">
        <f>[1]!BexGetData("DP_2","DL719O2RYNEBZX0HTMQQ0BY0J","17","E","17011011E103","2067211021")</f>
        <v>1186.2</v>
      </c>
      <c r="H772" s="48">
        <f>[1]!BexGetData("DP_2","DL719O2RYNGN1RZRS91K7M4TV","17","E","17011011E103","2067211021")</f>
        <v>838.2</v>
      </c>
      <c r="I772" s="48">
        <f>[1]!BexGetData("DP_2","DL719O2RYNIY3MZ1QVCEEWBN7","17","E","17011011E103","2067211021")</f>
        <v>0</v>
      </c>
    </row>
    <row r="773" spans="1:9" x14ac:dyDescent="0.2">
      <c r="A773" s="46" t="s">
        <v>32</v>
      </c>
      <c r="B773" s="46" t="s">
        <v>32</v>
      </c>
      <c r="C773" s="46" t="s">
        <v>32</v>
      </c>
      <c r="D773" s="46" t="s">
        <v>32</v>
      </c>
      <c r="E773" s="46" t="s">
        <v>32</v>
      </c>
      <c r="F773" s="47">
        <f>[1]!BexGetData("DP_2","DL719O2RYNC0Y217V0FVT1R77","17","E","17011011E103","2067211031")</f>
        <v>0</v>
      </c>
      <c r="G773" s="48">
        <f>[1]!BexGetData("DP_2","DL719O2RYNEBZX0HTMQQ0BY0J","17","E","17011011E103","2067211031")</f>
        <v>0</v>
      </c>
      <c r="H773" s="48">
        <f>[1]!BexGetData("DP_2","DL719O2RYNGN1RZRS91K7M4TV","17","E","17011011E103","2067211031")</f>
        <v>0</v>
      </c>
      <c r="I773" s="48">
        <f>[1]!BexGetData("DP_2","DL719O2RYNIY3MZ1QVCEEWBN7","17","E","17011011E103","2067211031")</f>
        <v>0</v>
      </c>
    </row>
    <row r="774" spans="1:9" x14ac:dyDescent="0.2">
      <c r="A774" s="46" t="s">
        <v>32</v>
      </c>
      <c r="B774" s="46" t="s">
        <v>32</v>
      </c>
      <c r="C774" s="46" t="s">
        <v>32</v>
      </c>
      <c r="D774" s="46" t="s">
        <v>32</v>
      </c>
      <c r="E774" s="46" t="s">
        <v>32</v>
      </c>
      <c r="F774" s="47">
        <f>[1]!BexGetData("DP_2","DL719O2RYNC0Y217V0FVT1R77","17","E","17011011E103","2067214011")</f>
        <v>9889.98</v>
      </c>
      <c r="G774" s="48">
        <f>[1]!BexGetData("DP_2","DL719O2RYNEBZX0HTMQQ0BY0J","17","E","17011011E103","2067214011")</f>
        <v>9889.98</v>
      </c>
      <c r="H774" s="48">
        <f>[1]!BexGetData("DP_2","DL719O2RYNGN1RZRS91K7M4TV","17","E","17011011E103","2067214011")</f>
        <v>9889.98</v>
      </c>
      <c r="I774" s="48">
        <f>[1]!BexGetData("DP_2","DL719O2RYNIY3MZ1QVCEEWBN7","17","E","17011011E103","2067214011")</f>
        <v>0</v>
      </c>
    </row>
    <row r="775" spans="1:9" x14ac:dyDescent="0.2">
      <c r="A775" s="46" t="s">
        <v>32</v>
      </c>
      <c r="B775" s="46" t="s">
        <v>32</v>
      </c>
      <c r="C775" s="46" t="s">
        <v>32</v>
      </c>
      <c r="D775" s="46" t="s">
        <v>32</v>
      </c>
      <c r="E775" s="46" t="s">
        <v>32</v>
      </c>
      <c r="F775" s="47">
        <f>[1]!BexGetData("DP_2","DL719O2RYNC0Y217V0FVT1R77","17","E","17011011E103","2067214021")</f>
        <v>0</v>
      </c>
      <c r="G775" s="48">
        <f>[1]!BexGetData("DP_2","DL719O2RYNEBZX0HTMQQ0BY0J","17","E","17011011E103","2067214021")</f>
        <v>0</v>
      </c>
      <c r="H775" s="48">
        <f>[1]!BexGetData("DP_2","DL719O2RYNGN1RZRS91K7M4TV","17","E","17011011E103","2067214021")</f>
        <v>0</v>
      </c>
      <c r="I775" s="48">
        <f>[1]!BexGetData("DP_2","DL719O2RYNIY3MZ1QVCEEWBN7","17","E","17011011E103","2067214021")</f>
        <v>0</v>
      </c>
    </row>
    <row r="776" spans="1:9" x14ac:dyDescent="0.2">
      <c r="A776" s="46" t="s">
        <v>32</v>
      </c>
      <c r="B776" s="46" t="s">
        <v>32</v>
      </c>
      <c r="C776" s="46" t="s">
        <v>32</v>
      </c>
      <c r="D776" s="46" t="s">
        <v>32</v>
      </c>
      <c r="E776" s="46" t="s">
        <v>32</v>
      </c>
      <c r="F776" s="47">
        <f>[1]!BexGetData("DP_2","DL719O2RYNC0Y217V0FVT1R77","17","E","17011011E103","2067216011")</f>
        <v>33549.79</v>
      </c>
      <c r="G776" s="48">
        <f>[1]!BexGetData("DP_2","DL719O2RYNEBZX0HTMQQ0BY0J","17","E","17011011E103","2067216011")</f>
        <v>33549.79</v>
      </c>
      <c r="H776" s="48">
        <f>[1]!BexGetData("DP_2","DL719O2RYNGN1RZRS91K7M4TV","17","E","17011011E103","2067216011")</f>
        <v>7490.39</v>
      </c>
      <c r="I776" s="48">
        <f>[1]!BexGetData("DP_2","DL719O2RYNIY3MZ1QVCEEWBN7","17","E","17011011E103","2067216011")</f>
        <v>0</v>
      </c>
    </row>
    <row r="777" spans="1:9" x14ac:dyDescent="0.2">
      <c r="A777" s="46" t="s">
        <v>32</v>
      </c>
      <c r="B777" s="46" t="s">
        <v>32</v>
      </c>
      <c r="C777" s="46" t="s">
        <v>32</v>
      </c>
      <c r="D777" s="46" t="s">
        <v>32</v>
      </c>
      <c r="E777" s="46" t="s">
        <v>32</v>
      </c>
      <c r="F777" s="47">
        <f>[1]!BexGetData("DP_2","DL719O2RYNC0Y217V0FVT1R77","17","E","17011011E103","2067216031")</f>
        <v>0</v>
      </c>
      <c r="G777" s="48">
        <f>[1]!BexGetData("DP_2","DL719O2RYNEBZX0HTMQQ0BY0J","17","E","17011011E103","2067216031")</f>
        <v>0</v>
      </c>
      <c r="H777" s="48">
        <f>[1]!BexGetData("DP_2","DL719O2RYNGN1RZRS91K7M4TV","17","E","17011011E103","2067216031")</f>
        <v>0</v>
      </c>
      <c r="I777" s="48">
        <f>[1]!BexGetData("DP_2","DL719O2RYNIY3MZ1QVCEEWBN7","17","E","17011011E103","2067216031")</f>
        <v>0</v>
      </c>
    </row>
    <row r="778" spans="1:9" x14ac:dyDescent="0.2">
      <c r="A778" s="46" t="s">
        <v>32</v>
      </c>
      <c r="B778" s="46" t="s">
        <v>32</v>
      </c>
      <c r="C778" s="46" t="s">
        <v>32</v>
      </c>
      <c r="D778" s="46" t="s">
        <v>32</v>
      </c>
      <c r="E778" s="46" t="s">
        <v>32</v>
      </c>
      <c r="F778" s="47">
        <f>[1]!BexGetData("DP_2","DL719O2RYNC0Y217V0FVT1R77","17","E","17011011E103","2067217011")</f>
        <v>150.22</v>
      </c>
      <c r="G778" s="48">
        <f>[1]!BexGetData("DP_2","DL719O2RYNEBZX0HTMQQ0BY0J","17","E","17011011E103","2067217011")</f>
        <v>150.22</v>
      </c>
      <c r="H778" s="48">
        <f>[1]!BexGetData("DP_2","DL719O2RYNGN1RZRS91K7M4TV","17","E","17011011E103","2067217011")</f>
        <v>150.22</v>
      </c>
      <c r="I778" s="48">
        <f>[1]!BexGetData("DP_2","DL719O2RYNIY3MZ1QVCEEWBN7","17","E","17011011E103","2067217011")</f>
        <v>0</v>
      </c>
    </row>
    <row r="779" spans="1:9" x14ac:dyDescent="0.2">
      <c r="A779" s="46" t="s">
        <v>32</v>
      </c>
      <c r="B779" s="46" t="s">
        <v>32</v>
      </c>
      <c r="C779" s="46" t="s">
        <v>32</v>
      </c>
      <c r="D779" s="46" t="s">
        <v>32</v>
      </c>
      <c r="E779" s="46" t="s">
        <v>32</v>
      </c>
      <c r="F779" s="47">
        <f>[1]!BexGetData("DP_2","DL719O2RYNC0Y217V0FVT1R77","17","E","17011011E103","2067221011")</f>
        <v>4953.7299999999996</v>
      </c>
      <c r="G779" s="48">
        <f>[1]!BexGetData("DP_2","DL719O2RYNEBZX0HTMQQ0BY0J","17","E","17011011E103","2067221011")</f>
        <v>4953.7299999999996</v>
      </c>
      <c r="H779" s="48">
        <f>[1]!BexGetData("DP_2","DL719O2RYNGN1RZRS91K7M4TV","17","E","17011011E103","2067221011")</f>
        <v>4953.7299999999996</v>
      </c>
      <c r="I779" s="48">
        <f>[1]!BexGetData("DP_2","DL719O2RYNIY3MZ1QVCEEWBN7","17","E","17011011E103","2067221011")</f>
        <v>0</v>
      </c>
    </row>
    <row r="780" spans="1:9" x14ac:dyDescent="0.2">
      <c r="A780" s="46" t="s">
        <v>32</v>
      </c>
      <c r="B780" s="46" t="s">
        <v>32</v>
      </c>
      <c r="C780" s="46" t="s">
        <v>32</v>
      </c>
      <c r="D780" s="46" t="s">
        <v>32</v>
      </c>
      <c r="E780" s="46" t="s">
        <v>32</v>
      </c>
      <c r="F780" s="47">
        <f>[1]!BexGetData("DP_2","DL719O2RYNC0Y217V0FVT1R77","17","E","17011011E103","2067221021")</f>
        <v>1643</v>
      </c>
      <c r="G780" s="48">
        <f>[1]!BexGetData("DP_2","DL719O2RYNEBZX0HTMQQ0BY0J","17","E","17011011E103","2067221021")</f>
        <v>1643</v>
      </c>
      <c r="H780" s="48">
        <f>[1]!BexGetData("DP_2","DL719O2RYNGN1RZRS91K7M4TV","17","E","17011011E103","2067221021")</f>
        <v>1643</v>
      </c>
      <c r="I780" s="48">
        <f>[1]!BexGetData("DP_2","DL719O2RYNIY3MZ1QVCEEWBN7","17","E","17011011E103","2067221021")</f>
        <v>0</v>
      </c>
    </row>
    <row r="781" spans="1:9" x14ac:dyDescent="0.2">
      <c r="A781" s="46" t="s">
        <v>32</v>
      </c>
      <c r="B781" s="46" t="s">
        <v>32</v>
      </c>
      <c r="C781" s="46" t="s">
        <v>32</v>
      </c>
      <c r="D781" s="46" t="s">
        <v>32</v>
      </c>
      <c r="E781" s="46" t="s">
        <v>32</v>
      </c>
      <c r="F781" s="47">
        <f>[1]!BexGetData("DP_2","DL719O2RYNC0Y217V0FVT1R77","17","E","17011011E103","2067221031")</f>
        <v>112169.93</v>
      </c>
      <c r="G781" s="48">
        <f>[1]!BexGetData("DP_2","DL719O2RYNEBZX0HTMQQ0BY0J","17","E","17011011E103","2067221031")</f>
        <v>112169.93</v>
      </c>
      <c r="H781" s="48">
        <f>[1]!BexGetData("DP_2","DL719O2RYNGN1RZRS91K7M4TV","17","E","17011011E103","2067221031")</f>
        <v>112169.93</v>
      </c>
      <c r="I781" s="48">
        <f>[1]!BexGetData("DP_2","DL719O2RYNIY3MZ1QVCEEWBN7","17","E","17011011E103","2067221031")</f>
        <v>0</v>
      </c>
    </row>
    <row r="782" spans="1:9" x14ac:dyDescent="0.2">
      <c r="A782" s="46" t="s">
        <v>32</v>
      </c>
      <c r="B782" s="46" t="s">
        <v>32</v>
      </c>
      <c r="C782" s="46" t="s">
        <v>32</v>
      </c>
      <c r="D782" s="46" t="s">
        <v>32</v>
      </c>
      <c r="E782" s="46" t="s">
        <v>32</v>
      </c>
      <c r="F782" s="47">
        <f>[1]!BexGetData("DP_2","DL719O2RYNC0Y217V0FVT1R77","17","E","17011011E103","2067222011")</f>
        <v>72537.119999999995</v>
      </c>
      <c r="G782" s="48">
        <f>[1]!BexGetData("DP_2","DL719O2RYNEBZX0HTMQQ0BY0J","17","E","17011011E103","2067222011")</f>
        <v>72537.119999999995</v>
      </c>
      <c r="H782" s="48">
        <f>[1]!BexGetData("DP_2","DL719O2RYNGN1RZRS91K7M4TV","17","E","17011011E103","2067222011")</f>
        <v>72537.119999999995</v>
      </c>
      <c r="I782" s="48">
        <f>[1]!BexGetData("DP_2","DL719O2RYNIY3MZ1QVCEEWBN7","17","E","17011011E103","2067222011")</f>
        <v>0</v>
      </c>
    </row>
    <row r="783" spans="1:9" x14ac:dyDescent="0.2">
      <c r="A783" s="46" t="s">
        <v>32</v>
      </c>
      <c r="B783" s="46" t="s">
        <v>32</v>
      </c>
      <c r="C783" s="46" t="s">
        <v>32</v>
      </c>
      <c r="D783" s="46" t="s">
        <v>32</v>
      </c>
      <c r="E783" s="46" t="s">
        <v>32</v>
      </c>
      <c r="F783" s="47">
        <f>[1]!BexGetData("DP_2","DL719O2RYNC0Y217V0FVT1R77","17","E","17011011E103","2067241011")</f>
        <v>812</v>
      </c>
      <c r="G783" s="48">
        <f>[1]!BexGetData("DP_2","DL719O2RYNEBZX0HTMQQ0BY0J","17","E","17011011E103","2067241011")</f>
        <v>812</v>
      </c>
      <c r="H783" s="48">
        <f>[1]!BexGetData("DP_2","DL719O2RYNGN1RZRS91K7M4TV","17","E","17011011E103","2067241011")</f>
        <v>812</v>
      </c>
      <c r="I783" s="48">
        <f>[1]!BexGetData("DP_2","DL719O2RYNIY3MZ1QVCEEWBN7","17","E","17011011E103","2067241011")</f>
        <v>0</v>
      </c>
    </row>
    <row r="784" spans="1:9" x14ac:dyDescent="0.2">
      <c r="A784" s="46" t="s">
        <v>32</v>
      </c>
      <c r="B784" s="46" t="s">
        <v>32</v>
      </c>
      <c r="C784" s="46" t="s">
        <v>32</v>
      </c>
      <c r="D784" s="46" t="s">
        <v>32</v>
      </c>
      <c r="E784" s="46" t="s">
        <v>32</v>
      </c>
      <c r="F784" s="47">
        <f>[1]!BexGetData("DP_2","DL719O2RYNC0Y217V0FVT1R77","17","E","17011011E103","2067242011")</f>
        <v>0</v>
      </c>
      <c r="G784" s="48">
        <f>[1]!BexGetData("DP_2","DL719O2RYNEBZX0HTMQQ0BY0J","17","E","17011011E103","2067242011")</f>
        <v>0</v>
      </c>
      <c r="H784" s="48">
        <f>[1]!BexGetData("DP_2","DL719O2RYNGN1RZRS91K7M4TV","17","E","17011011E103","2067242011")</f>
        <v>0</v>
      </c>
      <c r="I784" s="48">
        <f>[1]!BexGetData("DP_2","DL719O2RYNIY3MZ1QVCEEWBN7","17","E","17011011E103","2067242011")</f>
        <v>0</v>
      </c>
    </row>
    <row r="785" spans="1:9" x14ac:dyDescent="0.2">
      <c r="A785" s="46" t="s">
        <v>32</v>
      </c>
      <c r="B785" s="46" t="s">
        <v>32</v>
      </c>
      <c r="C785" s="46" t="s">
        <v>32</v>
      </c>
      <c r="D785" s="46" t="s">
        <v>32</v>
      </c>
      <c r="E785" s="46" t="s">
        <v>32</v>
      </c>
      <c r="F785" s="47">
        <f>[1]!BexGetData("DP_2","DL719O2RYNC0Y217V0FVT1R77","17","E","17011011E103","2067243011")</f>
        <v>187</v>
      </c>
      <c r="G785" s="48">
        <f>[1]!BexGetData("DP_2","DL719O2RYNEBZX0HTMQQ0BY0J","17","E","17011011E103","2067243011")</f>
        <v>187</v>
      </c>
      <c r="H785" s="48">
        <f>[1]!BexGetData("DP_2","DL719O2RYNGN1RZRS91K7M4TV","17","E","17011011E103","2067243011")</f>
        <v>187</v>
      </c>
      <c r="I785" s="48">
        <f>[1]!BexGetData("DP_2","DL719O2RYNIY3MZ1QVCEEWBN7","17","E","17011011E103","2067243011")</f>
        <v>0</v>
      </c>
    </row>
    <row r="786" spans="1:9" x14ac:dyDescent="0.2">
      <c r="A786" s="46" t="s">
        <v>32</v>
      </c>
      <c r="B786" s="46" t="s">
        <v>32</v>
      </c>
      <c r="C786" s="46" t="s">
        <v>32</v>
      </c>
      <c r="D786" s="46" t="s">
        <v>32</v>
      </c>
      <c r="E786" s="46" t="s">
        <v>32</v>
      </c>
      <c r="F786" s="47">
        <f>[1]!BexGetData("DP_2","DL719O2RYNC0Y217V0FVT1R77","17","E","17011011E103","2067244011")</f>
        <v>6587.62</v>
      </c>
      <c r="G786" s="48">
        <f>[1]!BexGetData("DP_2","DL719O2RYNEBZX0HTMQQ0BY0J","17","E","17011011E103","2067244011")</f>
        <v>6587.62</v>
      </c>
      <c r="H786" s="48">
        <f>[1]!BexGetData("DP_2","DL719O2RYNGN1RZRS91K7M4TV","17","E","17011011E103","2067244011")</f>
        <v>6587.62</v>
      </c>
      <c r="I786" s="48">
        <f>[1]!BexGetData("DP_2","DL719O2RYNIY3MZ1QVCEEWBN7","17","E","17011011E103","2067244011")</f>
        <v>0</v>
      </c>
    </row>
    <row r="787" spans="1:9" x14ac:dyDescent="0.2">
      <c r="A787" s="46" t="s">
        <v>32</v>
      </c>
      <c r="B787" s="46" t="s">
        <v>32</v>
      </c>
      <c r="C787" s="46" t="s">
        <v>32</v>
      </c>
      <c r="D787" s="46" t="s">
        <v>32</v>
      </c>
      <c r="E787" s="46" t="s">
        <v>32</v>
      </c>
      <c r="F787" s="47">
        <f>[1]!BexGetData("DP_2","DL719O2RYNC0Y217V0FVT1R77","17","E","17011011E103","2067246011")</f>
        <v>19053.25</v>
      </c>
      <c r="G787" s="48">
        <f>[1]!BexGetData("DP_2","DL719O2RYNEBZX0HTMQQ0BY0J","17","E","17011011E103","2067246011")</f>
        <v>19053.25</v>
      </c>
      <c r="H787" s="48">
        <f>[1]!BexGetData("DP_2","DL719O2RYNGN1RZRS91K7M4TV","17","E","17011011E103","2067246011")</f>
        <v>15619.24</v>
      </c>
      <c r="I787" s="48">
        <f>[1]!BexGetData("DP_2","DL719O2RYNIY3MZ1QVCEEWBN7","17","E","17011011E103","2067246011")</f>
        <v>0</v>
      </c>
    </row>
    <row r="788" spans="1:9" x14ac:dyDescent="0.2">
      <c r="A788" s="46" t="s">
        <v>32</v>
      </c>
      <c r="B788" s="46" t="s">
        <v>32</v>
      </c>
      <c r="C788" s="46" t="s">
        <v>32</v>
      </c>
      <c r="D788" s="46" t="s">
        <v>32</v>
      </c>
      <c r="E788" s="46" t="s">
        <v>32</v>
      </c>
      <c r="F788" s="47">
        <f>[1]!BexGetData("DP_2","DL719O2RYNC0Y217V0FVT1R77","17","E","17011011E103","2067247011")</f>
        <v>5605.22</v>
      </c>
      <c r="G788" s="48">
        <f>[1]!BexGetData("DP_2","DL719O2RYNEBZX0HTMQQ0BY0J","17","E","17011011E103","2067247011")</f>
        <v>5605.22</v>
      </c>
      <c r="H788" s="48">
        <f>[1]!BexGetData("DP_2","DL719O2RYNGN1RZRS91K7M4TV","17","E","17011011E103","2067247011")</f>
        <v>5605.22</v>
      </c>
      <c r="I788" s="48">
        <f>[1]!BexGetData("DP_2","DL719O2RYNIY3MZ1QVCEEWBN7","17","E","17011011E103","2067247011")</f>
        <v>0</v>
      </c>
    </row>
    <row r="789" spans="1:9" x14ac:dyDescent="0.2">
      <c r="A789" s="46" t="s">
        <v>32</v>
      </c>
      <c r="B789" s="46" t="s">
        <v>32</v>
      </c>
      <c r="C789" s="46" t="s">
        <v>32</v>
      </c>
      <c r="D789" s="46" t="s">
        <v>32</v>
      </c>
      <c r="E789" s="46" t="s">
        <v>32</v>
      </c>
      <c r="F789" s="47">
        <f>[1]!BexGetData("DP_2","DL719O2RYNC0Y217V0FVT1R77","17","E","17011011E103","2067249011")</f>
        <v>24201.79</v>
      </c>
      <c r="G789" s="48">
        <f>[1]!BexGetData("DP_2","DL719O2RYNEBZX0HTMQQ0BY0J","17","E","17011011E103","2067249011")</f>
        <v>24201.79</v>
      </c>
      <c r="H789" s="48">
        <f>[1]!BexGetData("DP_2","DL719O2RYNGN1RZRS91K7M4TV","17","E","17011011E103","2067249011")</f>
        <v>23501.85</v>
      </c>
      <c r="I789" s="48">
        <f>[1]!BexGetData("DP_2","DL719O2RYNIY3MZ1QVCEEWBN7","17","E","17011011E103","2067249011")</f>
        <v>0</v>
      </c>
    </row>
    <row r="790" spans="1:9" x14ac:dyDescent="0.2">
      <c r="A790" s="46" t="s">
        <v>32</v>
      </c>
      <c r="B790" s="46" t="s">
        <v>32</v>
      </c>
      <c r="C790" s="46" t="s">
        <v>32</v>
      </c>
      <c r="D790" s="46" t="s">
        <v>32</v>
      </c>
      <c r="E790" s="46" t="s">
        <v>32</v>
      </c>
      <c r="F790" s="47">
        <f>[1]!BexGetData("DP_2","DL719O2RYNC0Y217V0FVT1R77","17","E","17011011E103","2067253011")</f>
        <v>0</v>
      </c>
      <c r="G790" s="48">
        <f>[1]!BexGetData("DP_2","DL719O2RYNEBZX0HTMQQ0BY0J","17","E","17011011E103","2067253011")</f>
        <v>0</v>
      </c>
      <c r="H790" s="48">
        <f>[1]!BexGetData("DP_2","DL719O2RYNGN1RZRS91K7M4TV","17","E","17011011E103","2067253011")</f>
        <v>0</v>
      </c>
      <c r="I790" s="48">
        <f>[1]!BexGetData("DP_2","DL719O2RYNIY3MZ1QVCEEWBN7","17","E","17011011E103","2067253011")</f>
        <v>0</v>
      </c>
    </row>
    <row r="791" spans="1:9" x14ac:dyDescent="0.2">
      <c r="A791" s="46" t="s">
        <v>32</v>
      </c>
      <c r="B791" s="46" t="s">
        <v>32</v>
      </c>
      <c r="C791" s="46" t="s">
        <v>32</v>
      </c>
      <c r="D791" s="46" t="s">
        <v>32</v>
      </c>
      <c r="E791" s="46" t="s">
        <v>32</v>
      </c>
      <c r="F791" s="47">
        <f>[1]!BexGetData("DP_2","DL719O2RYNC0Y217V0FVT1R77","17","E","17011011E103","2067253021")</f>
        <v>702.5</v>
      </c>
      <c r="G791" s="48">
        <f>[1]!BexGetData("DP_2","DL719O2RYNEBZX0HTMQQ0BY0J","17","E","17011011E103","2067253021")</f>
        <v>702.5</v>
      </c>
      <c r="H791" s="48">
        <f>[1]!BexGetData("DP_2","DL719O2RYNGN1RZRS91K7M4TV","17","E","17011011E103","2067253021")</f>
        <v>702.5</v>
      </c>
      <c r="I791" s="48">
        <f>[1]!BexGetData("DP_2","DL719O2RYNIY3MZ1QVCEEWBN7","17","E","17011011E103","2067253021")</f>
        <v>0</v>
      </c>
    </row>
    <row r="792" spans="1:9" x14ac:dyDescent="0.2">
      <c r="A792" s="46" t="s">
        <v>32</v>
      </c>
      <c r="B792" s="46" t="s">
        <v>32</v>
      </c>
      <c r="C792" s="46" t="s">
        <v>32</v>
      </c>
      <c r="D792" s="46" t="s">
        <v>32</v>
      </c>
      <c r="E792" s="46" t="s">
        <v>32</v>
      </c>
      <c r="F792" s="47">
        <f>[1]!BexGetData("DP_2","DL719O2RYNC0Y217V0FVT1R77","17","E","17011011E103","2067254011")</f>
        <v>0</v>
      </c>
      <c r="G792" s="48">
        <f>[1]!BexGetData("DP_2","DL719O2RYNEBZX0HTMQQ0BY0J","17","E","17011011E103","2067254011")</f>
        <v>0</v>
      </c>
      <c r="H792" s="48">
        <f>[1]!BexGetData("DP_2","DL719O2RYNGN1RZRS91K7M4TV","17","E","17011011E103","2067254011")</f>
        <v>0</v>
      </c>
      <c r="I792" s="48">
        <f>[1]!BexGetData("DP_2","DL719O2RYNIY3MZ1QVCEEWBN7","17","E","17011011E103","2067254011")</f>
        <v>0</v>
      </c>
    </row>
    <row r="793" spans="1:9" x14ac:dyDescent="0.2">
      <c r="A793" s="46" t="s">
        <v>32</v>
      </c>
      <c r="B793" s="46" t="s">
        <v>32</v>
      </c>
      <c r="C793" s="46" t="s">
        <v>32</v>
      </c>
      <c r="D793" s="46" t="s">
        <v>32</v>
      </c>
      <c r="E793" s="46" t="s">
        <v>32</v>
      </c>
      <c r="F793" s="47">
        <f>[1]!BexGetData("DP_2","DL719O2RYNC0Y217V0FVT1R77","17","E","17011011E103","2067254021")</f>
        <v>5535.18</v>
      </c>
      <c r="G793" s="48">
        <f>[1]!BexGetData("DP_2","DL719O2RYNEBZX0HTMQQ0BY0J","17","E","17011011E103","2067254021")</f>
        <v>5535.18</v>
      </c>
      <c r="H793" s="48">
        <f>[1]!BexGetData("DP_2","DL719O2RYNGN1RZRS91K7M4TV","17","E","17011011E103","2067254021")</f>
        <v>5535.18</v>
      </c>
      <c r="I793" s="48">
        <f>[1]!BexGetData("DP_2","DL719O2RYNIY3MZ1QVCEEWBN7","17","E","17011011E103","2067254021")</f>
        <v>0</v>
      </c>
    </row>
    <row r="794" spans="1:9" x14ac:dyDescent="0.2">
      <c r="A794" s="46" t="s">
        <v>32</v>
      </c>
      <c r="B794" s="46" t="s">
        <v>32</v>
      </c>
      <c r="C794" s="46" t="s">
        <v>32</v>
      </c>
      <c r="D794" s="46" t="s">
        <v>32</v>
      </c>
      <c r="E794" s="46" t="s">
        <v>32</v>
      </c>
      <c r="F794" s="47">
        <f>[1]!BexGetData("DP_2","DL719O2RYNC0Y217V0FVT1R77","17","E","17011011E103","2067256011")</f>
        <v>4396.12</v>
      </c>
      <c r="G794" s="48">
        <f>[1]!BexGetData("DP_2","DL719O2RYNEBZX0HTMQQ0BY0J","17","E","17011011E103","2067256011")</f>
        <v>4396.12</v>
      </c>
      <c r="H794" s="48">
        <f>[1]!BexGetData("DP_2","DL719O2RYNGN1RZRS91K7M4TV","17","E","17011011E103","2067256011")</f>
        <v>580.19000000000005</v>
      </c>
      <c r="I794" s="48">
        <f>[1]!BexGetData("DP_2","DL719O2RYNIY3MZ1QVCEEWBN7","17","E","17011011E103","2067256011")</f>
        <v>0</v>
      </c>
    </row>
    <row r="795" spans="1:9" x14ac:dyDescent="0.2">
      <c r="A795" s="46" t="s">
        <v>32</v>
      </c>
      <c r="B795" s="46" t="s">
        <v>32</v>
      </c>
      <c r="C795" s="46" t="s">
        <v>32</v>
      </c>
      <c r="D795" s="46" t="s">
        <v>32</v>
      </c>
      <c r="E795" s="46" t="s">
        <v>32</v>
      </c>
      <c r="F795" s="47">
        <f>[1]!BexGetData("DP_2","DL719O2RYNC0Y217V0FVT1R77","17","E","17011011E103","2067261011")</f>
        <v>5815863.8200000003</v>
      </c>
      <c r="G795" s="48">
        <f>[1]!BexGetData("DP_2","DL719O2RYNEBZX0HTMQQ0BY0J","17","E","17011011E103","2067261011")</f>
        <v>5815863.8200000003</v>
      </c>
      <c r="H795" s="48">
        <f>[1]!BexGetData("DP_2","DL719O2RYNGN1RZRS91K7M4TV","17","E","17011011E103","2067261011")</f>
        <v>5815863.8200000003</v>
      </c>
      <c r="I795" s="48">
        <f>[1]!BexGetData("DP_2","DL719O2RYNIY3MZ1QVCEEWBN7","17","E","17011011E103","2067261011")</f>
        <v>0</v>
      </c>
    </row>
    <row r="796" spans="1:9" x14ac:dyDescent="0.2">
      <c r="A796" s="46" t="s">
        <v>32</v>
      </c>
      <c r="B796" s="46" t="s">
        <v>32</v>
      </c>
      <c r="C796" s="46" t="s">
        <v>32</v>
      </c>
      <c r="D796" s="46" t="s">
        <v>32</v>
      </c>
      <c r="E796" s="46" t="s">
        <v>32</v>
      </c>
      <c r="F796" s="47">
        <f>[1]!BexGetData("DP_2","DL719O2RYNC0Y217V0FVT1R77","17","E","17011011E103","2067261021")</f>
        <v>41321.35</v>
      </c>
      <c r="G796" s="48">
        <f>[1]!BexGetData("DP_2","DL719O2RYNEBZX0HTMQQ0BY0J","17","E","17011011E103","2067261021")</f>
        <v>41321.35</v>
      </c>
      <c r="H796" s="48">
        <f>[1]!BexGetData("DP_2","DL719O2RYNGN1RZRS91K7M4TV","17","E","17011011E103","2067261021")</f>
        <v>36871.57</v>
      </c>
      <c r="I796" s="48">
        <f>[1]!BexGetData("DP_2","DL719O2RYNIY3MZ1QVCEEWBN7","17","E","17011011E103","2067261021")</f>
        <v>0</v>
      </c>
    </row>
    <row r="797" spans="1:9" x14ac:dyDescent="0.2">
      <c r="A797" s="46" t="s">
        <v>32</v>
      </c>
      <c r="B797" s="46" t="s">
        <v>32</v>
      </c>
      <c r="C797" s="46" t="s">
        <v>32</v>
      </c>
      <c r="D797" s="46" t="s">
        <v>32</v>
      </c>
      <c r="E797" s="46" t="s">
        <v>32</v>
      </c>
      <c r="F797" s="47">
        <f>[1]!BexGetData("DP_2","DL719O2RYNC0Y217V0FVT1R77","17","E","17011011E103","2067271011")</f>
        <v>51092.92</v>
      </c>
      <c r="G797" s="48">
        <f>[1]!BexGetData("DP_2","DL719O2RYNEBZX0HTMQQ0BY0J","17","E","17011011E103","2067271011")</f>
        <v>51092.92</v>
      </c>
      <c r="H797" s="48">
        <f>[1]!BexGetData("DP_2","DL719O2RYNGN1RZRS91K7M4TV","17","E","17011011E103","2067271011")</f>
        <v>51092.92</v>
      </c>
      <c r="I797" s="48">
        <f>[1]!BexGetData("DP_2","DL719O2RYNIY3MZ1QVCEEWBN7","17","E","17011011E103","2067271011")</f>
        <v>0</v>
      </c>
    </row>
    <row r="798" spans="1:9" x14ac:dyDescent="0.2">
      <c r="A798" s="46" t="s">
        <v>32</v>
      </c>
      <c r="B798" s="46" t="s">
        <v>32</v>
      </c>
      <c r="C798" s="46" t="s">
        <v>32</v>
      </c>
      <c r="D798" s="46" t="s">
        <v>32</v>
      </c>
      <c r="E798" s="46" t="s">
        <v>32</v>
      </c>
      <c r="F798" s="47">
        <f>[1]!BexGetData("DP_2","DL719O2RYNC0Y217V0FVT1R77","17","E","17011011E103","2067272011")</f>
        <v>860.02</v>
      </c>
      <c r="G798" s="48">
        <f>[1]!BexGetData("DP_2","DL719O2RYNEBZX0HTMQQ0BY0J","17","E","17011011E103","2067272011")</f>
        <v>860.02</v>
      </c>
      <c r="H798" s="48">
        <f>[1]!BexGetData("DP_2","DL719O2RYNGN1RZRS91K7M4TV","17","E","17011011E103","2067272011")</f>
        <v>0</v>
      </c>
      <c r="I798" s="48">
        <f>[1]!BexGetData("DP_2","DL719O2RYNIY3MZ1QVCEEWBN7","17","E","17011011E103","2067272011")</f>
        <v>0</v>
      </c>
    </row>
    <row r="799" spans="1:9" x14ac:dyDescent="0.2">
      <c r="A799" s="46" t="s">
        <v>32</v>
      </c>
      <c r="B799" s="46" t="s">
        <v>32</v>
      </c>
      <c r="C799" s="46" t="s">
        <v>32</v>
      </c>
      <c r="D799" s="46" t="s">
        <v>32</v>
      </c>
      <c r="E799" s="46" t="s">
        <v>32</v>
      </c>
      <c r="F799" s="47">
        <f>[1]!BexGetData("DP_2","DL719O2RYNC0Y217V0FVT1R77","17","E","17011011E103","2067273011")</f>
        <v>2320</v>
      </c>
      <c r="G799" s="48">
        <f>[1]!BexGetData("DP_2","DL719O2RYNEBZX0HTMQQ0BY0J","17","E","17011011E103","2067273011")</f>
        <v>2320</v>
      </c>
      <c r="H799" s="48">
        <f>[1]!BexGetData("DP_2","DL719O2RYNGN1RZRS91K7M4TV","17","E","17011011E103","2067273011")</f>
        <v>2320</v>
      </c>
      <c r="I799" s="48">
        <f>[1]!BexGetData("DP_2","DL719O2RYNIY3MZ1QVCEEWBN7","17","E","17011011E103","2067273011")</f>
        <v>0</v>
      </c>
    </row>
    <row r="800" spans="1:9" x14ac:dyDescent="0.2">
      <c r="A800" s="46" t="s">
        <v>32</v>
      </c>
      <c r="B800" s="46" t="s">
        <v>32</v>
      </c>
      <c r="C800" s="46" t="s">
        <v>32</v>
      </c>
      <c r="D800" s="46" t="s">
        <v>32</v>
      </c>
      <c r="E800" s="46" t="s">
        <v>32</v>
      </c>
      <c r="F800" s="47">
        <f>[1]!BexGetData("DP_2","DL719O2RYNC0Y217V0FVT1R77","17","E","17011011E103","2067274011")</f>
        <v>918.54</v>
      </c>
      <c r="G800" s="48">
        <f>[1]!BexGetData("DP_2","DL719O2RYNEBZX0HTMQQ0BY0J","17","E","17011011E103","2067274011")</f>
        <v>918.54</v>
      </c>
      <c r="H800" s="48">
        <f>[1]!BexGetData("DP_2","DL719O2RYNGN1RZRS91K7M4TV","17","E","17011011E103","2067274011")</f>
        <v>918.54</v>
      </c>
      <c r="I800" s="48">
        <f>[1]!BexGetData("DP_2","DL719O2RYNIY3MZ1QVCEEWBN7","17","E","17011011E103","2067274011")</f>
        <v>0</v>
      </c>
    </row>
    <row r="801" spans="1:9" x14ac:dyDescent="0.2">
      <c r="A801" s="46" t="s">
        <v>32</v>
      </c>
      <c r="B801" s="46" t="s">
        <v>32</v>
      </c>
      <c r="C801" s="46" t="s">
        <v>32</v>
      </c>
      <c r="D801" s="46" t="s">
        <v>32</v>
      </c>
      <c r="E801" s="46" t="s">
        <v>32</v>
      </c>
      <c r="F801" s="47">
        <f>[1]!BexGetData("DP_2","DL719O2RYNC0Y217V0FVT1R77","17","E","17011011E103","2067275011")</f>
        <v>118799.94</v>
      </c>
      <c r="G801" s="48">
        <f>[1]!BexGetData("DP_2","DL719O2RYNEBZX0HTMQQ0BY0J","17","E","17011011E103","2067275011")</f>
        <v>118799.94</v>
      </c>
      <c r="H801" s="48">
        <f>[1]!BexGetData("DP_2","DL719O2RYNGN1RZRS91K7M4TV","17","E","17011011E103","2067275011")</f>
        <v>118799.94</v>
      </c>
      <c r="I801" s="48">
        <f>[1]!BexGetData("DP_2","DL719O2RYNIY3MZ1QVCEEWBN7","17","E","17011011E103","2067275011")</f>
        <v>0</v>
      </c>
    </row>
    <row r="802" spans="1:9" x14ac:dyDescent="0.2">
      <c r="A802" s="46" t="s">
        <v>32</v>
      </c>
      <c r="B802" s="46" t="s">
        <v>32</v>
      </c>
      <c r="C802" s="46" t="s">
        <v>32</v>
      </c>
      <c r="D802" s="46" t="s">
        <v>32</v>
      </c>
      <c r="E802" s="46" t="s">
        <v>32</v>
      </c>
      <c r="F802" s="47">
        <f>[1]!BexGetData("DP_2","DL719O2RYNC0Y217V0FVT1R77","17","E","17011011E103","2067283011")</f>
        <v>1690</v>
      </c>
      <c r="G802" s="48">
        <f>[1]!BexGetData("DP_2","DL719O2RYNEBZX0HTMQQ0BY0J","17","E","17011011E103","2067283011")</f>
        <v>1690</v>
      </c>
      <c r="H802" s="48">
        <f>[1]!BexGetData("DP_2","DL719O2RYNGN1RZRS91K7M4TV","17","E","17011011E103","2067283011")</f>
        <v>1690</v>
      </c>
      <c r="I802" s="48">
        <f>[1]!BexGetData("DP_2","DL719O2RYNIY3MZ1QVCEEWBN7","17","E","17011011E103","2067283011")</f>
        <v>0</v>
      </c>
    </row>
    <row r="803" spans="1:9" x14ac:dyDescent="0.2">
      <c r="A803" s="46" t="s">
        <v>32</v>
      </c>
      <c r="B803" s="46" t="s">
        <v>32</v>
      </c>
      <c r="C803" s="46" t="s">
        <v>32</v>
      </c>
      <c r="D803" s="46" t="s">
        <v>32</v>
      </c>
      <c r="E803" s="46" t="s">
        <v>32</v>
      </c>
      <c r="F803" s="47">
        <f>[1]!BexGetData("DP_2","DL719O2RYNC0Y217V0FVT1R77","17","E","17011011E103","2067283021")</f>
        <v>2227.1999999999998</v>
      </c>
      <c r="G803" s="48">
        <f>[1]!BexGetData("DP_2","DL719O2RYNEBZX0HTMQQ0BY0J","17","E","17011011E103","2067283021")</f>
        <v>2227.1999999999998</v>
      </c>
      <c r="H803" s="48">
        <f>[1]!BexGetData("DP_2","DL719O2RYNGN1RZRS91K7M4TV","17","E","17011011E103","2067283021")</f>
        <v>2227.1999999999998</v>
      </c>
      <c r="I803" s="48">
        <f>[1]!BexGetData("DP_2","DL719O2RYNIY3MZ1QVCEEWBN7","17","E","17011011E103","2067283021")</f>
        <v>0</v>
      </c>
    </row>
    <row r="804" spans="1:9" x14ac:dyDescent="0.2">
      <c r="A804" s="46" t="s">
        <v>32</v>
      </c>
      <c r="B804" s="46" t="s">
        <v>32</v>
      </c>
      <c r="C804" s="46" t="s">
        <v>32</v>
      </c>
      <c r="D804" s="46" t="s">
        <v>32</v>
      </c>
      <c r="E804" s="46" t="s">
        <v>32</v>
      </c>
      <c r="F804" s="47">
        <f>[1]!BexGetData("DP_2","DL719O2RYNC0Y217V0FVT1R77","17","E","17011011E103","2067291011")</f>
        <v>57183.12</v>
      </c>
      <c r="G804" s="48">
        <f>[1]!BexGetData("DP_2","DL719O2RYNEBZX0HTMQQ0BY0J","17","E","17011011E103","2067291011")</f>
        <v>57183.12</v>
      </c>
      <c r="H804" s="48">
        <f>[1]!BexGetData("DP_2","DL719O2RYNGN1RZRS91K7M4TV","17","E","17011011E103","2067291011")</f>
        <v>16587.22</v>
      </c>
      <c r="I804" s="48">
        <f>[1]!BexGetData("DP_2","DL719O2RYNIY3MZ1QVCEEWBN7","17","E","17011011E103","2067291011")</f>
        <v>0</v>
      </c>
    </row>
    <row r="805" spans="1:9" x14ac:dyDescent="0.2">
      <c r="A805" s="46" t="s">
        <v>32</v>
      </c>
      <c r="B805" s="46" t="s">
        <v>32</v>
      </c>
      <c r="C805" s="46" t="s">
        <v>32</v>
      </c>
      <c r="D805" s="46" t="s">
        <v>32</v>
      </c>
      <c r="E805" s="46" t="s">
        <v>32</v>
      </c>
      <c r="F805" s="47">
        <f>[1]!BexGetData("DP_2","DL719O2RYNC0Y217V0FVT1R77","17","E","17011011E103","2067292011")</f>
        <v>232</v>
      </c>
      <c r="G805" s="48">
        <f>[1]!BexGetData("DP_2","DL719O2RYNEBZX0HTMQQ0BY0J","17","E","17011011E103","2067292011")</f>
        <v>232</v>
      </c>
      <c r="H805" s="48">
        <f>[1]!BexGetData("DP_2","DL719O2RYNGN1RZRS91K7M4TV","17","E","17011011E103","2067292011")</f>
        <v>232</v>
      </c>
      <c r="I805" s="48">
        <f>[1]!BexGetData("DP_2","DL719O2RYNIY3MZ1QVCEEWBN7","17","E","17011011E103","2067292011")</f>
        <v>0</v>
      </c>
    </row>
    <row r="806" spans="1:9" x14ac:dyDescent="0.2">
      <c r="A806" s="46" t="s">
        <v>32</v>
      </c>
      <c r="B806" s="46" t="s">
        <v>32</v>
      </c>
      <c r="C806" s="46" t="s">
        <v>32</v>
      </c>
      <c r="D806" s="46" t="s">
        <v>32</v>
      </c>
      <c r="E806" s="46" t="s">
        <v>32</v>
      </c>
      <c r="F806" s="47">
        <f>[1]!BexGetData("DP_2","DL719O2RYNC0Y217V0FVT1R77","17","E","17011011E103","2067293051")</f>
        <v>5394</v>
      </c>
      <c r="G806" s="48">
        <f>[1]!BexGetData("DP_2","DL719O2RYNEBZX0HTMQQ0BY0J","17","E","17011011E103","2067293051")</f>
        <v>5394</v>
      </c>
      <c r="H806" s="48">
        <f>[1]!BexGetData("DP_2","DL719O2RYNGN1RZRS91K7M4TV","17","E","17011011E103","2067293051")</f>
        <v>5394</v>
      </c>
      <c r="I806" s="48">
        <f>[1]!BexGetData("DP_2","DL719O2RYNIY3MZ1QVCEEWBN7","17","E","17011011E103","2067293051")</f>
        <v>0</v>
      </c>
    </row>
    <row r="807" spans="1:9" x14ac:dyDescent="0.2">
      <c r="A807" s="46" t="s">
        <v>32</v>
      </c>
      <c r="B807" s="46" t="s">
        <v>32</v>
      </c>
      <c r="C807" s="46" t="s">
        <v>32</v>
      </c>
      <c r="D807" s="46" t="s">
        <v>32</v>
      </c>
      <c r="E807" s="46" t="s">
        <v>32</v>
      </c>
      <c r="F807" s="47">
        <f>[1]!BexGetData("DP_2","DL719O2RYNC0Y217V0FVT1R77","17","E","17011011E103","2067294011")</f>
        <v>0</v>
      </c>
      <c r="G807" s="48">
        <f>[1]!BexGetData("DP_2","DL719O2RYNEBZX0HTMQQ0BY0J","17","E","17011011E103","2067294011")</f>
        <v>0</v>
      </c>
      <c r="H807" s="48">
        <f>[1]!BexGetData("DP_2","DL719O2RYNGN1RZRS91K7M4TV","17","E","17011011E103","2067294011")</f>
        <v>0</v>
      </c>
      <c r="I807" s="48">
        <f>[1]!BexGetData("DP_2","DL719O2RYNIY3MZ1QVCEEWBN7","17","E","17011011E103","2067294011")</f>
        <v>0</v>
      </c>
    </row>
    <row r="808" spans="1:9" x14ac:dyDescent="0.2">
      <c r="A808" s="46" t="s">
        <v>32</v>
      </c>
      <c r="B808" s="46" t="s">
        <v>32</v>
      </c>
      <c r="C808" s="46" t="s">
        <v>32</v>
      </c>
      <c r="D808" s="46" t="s">
        <v>32</v>
      </c>
      <c r="E808" s="46" t="s">
        <v>32</v>
      </c>
      <c r="F808" s="47">
        <f>[1]!BexGetData("DP_2","DL719O2RYNC0Y217V0FVT1R77","17","E","17011011E103","2067296011")</f>
        <v>146599.04000000001</v>
      </c>
      <c r="G808" s="48">
        <f>[1]!BexGetData("DP_2","DL719O2RYNEBZX0HTMQQ0BY0J","17","E","17011011E103","2067296011")</f>
        <v>146599.04000000001</v>
      </c>
      <c r="H808" s="48">
        <f>[1]!BexGetData("DP_2","DL719O2RYNGN1RZRS91K7M4TV","17","E","17011011E103","2067296011")</f>
        <v>72236.649999999994</v>
      </c>
      <c r="I808" s="48">
        <f>[1]!BexGetData("DP_2","DL719O2RYNIY3MZ1QVCEEWBN7","17","E","17011011E103","2067296011")</f>
        <v>0</v>
      </c>
    </row>
    <row r="809" spans="1:9" x14ac:dyDescent="0.2">
      <c r="A809" s="46" t="s">
        <v>32</v>
      </c>
      <c r="B809" s="46" t="s">
        <v>32</v>
      </c>
      <c r="C809" s="46" t="s">
        <v>32</v>
      </c>
      <c r="D809" s="46" t="s">
        <v>32</v>
      </c>
      <c r="E809" s="46" t="s">
        <v>32</v>
      </c>
      <c r="F809" s="47">
        <f>[1]!BexGetData("DP_2","DL719O2RYNC0Y217V0FVT1R77","17","E","17011011E103","2067298011")</f>
        <v>1856.46</v>
      </c>
      <c r="G809" s="48">
        <f>[1]!BexGetData("DP_2","DL719O2RYNEBZX0HTMQQ0BY0J","17","E","17011011E103","2067298011")</f>
        <v>1856.46</v>
      </c>
      <c r="H809" s="48">
        <f>[1]!BexGetData("DP_2","DL719O2RYNGN1RZRS91K7M4TV","17","E","17011011E103","2067298011")</f>
        <v>1856.46</v>
      </c>
      <c r="I809" s="48">
        <f>[1]!BexGetData("DP_2","DL719O2RYNIY3MZ1QVCEEWBN7","17","E","17011011E103","2067298011")</f>
        <v>0</v>
      </c>
    </row>
    <row r="810" spans="1:9" x14ac:dyDescent="0.2">
      <c r="A810" s="46" t="s">
        <v>32</v>
      </c>
      <c r="B810" s="46" t="s">
        <v>32</v>
      </c>
      <c r="C810" s="46" t="s">
        <v>32</v>
      </c>
      <c r="D810" s="46" t="s">
        <v>32</v>
      </c>
      <c r="E810" s="46" t="s">
        <v>32</v>
      </c>
      <c r="F810" s="47">
        <f>[1]!BexGetData("DP_2","DL719O2RYNC0Y217V0FVT1R77","17","E","17011011E103","2067298021")</f>
        <v>1740</v>
      </c>
      <c r="G810" s="48">
        <f>[1]!BexGetData("DP_2","DL719O2RYNEBZX0HTMQQ0BY0J","17","E","17011011E103","2067298021")</f>
        <v>1740</v>
      </c>
      <c r="H810" s="48">
        <f>[1]!BexGetData("DP_2","DL719O2RYNGN1RZRS91K7M4TV","17","E","17011011E103","2067298021")</f>
        <v>1740</v>
      </c>
      <c r="I810" s="48">
        <f>[1]!BexGetData("DP_2","DL719O2RYNIY3MZ1QVCEEWBN7","17","E","17011011E103","2067298021")</f>
        <v>0</v>
      </c>
    </row>
    <row r="811" spans="1:9" x14ac:dyDescent="0.2">
      <c r="A811" s="46" t="s">
        <v>32</v>
      </c>
      <c r="B811" s="46" t="s">
        <v>32</v>
      </c>
      <c r="C811" s="46" t="s">
        <v>32</v>
      </c>
      <c r="D811" s="46" t="s">
        <v>32</v>
      </c>
      <c r="E811" s="46" t="s">
        <v>32</v>
      </c>
      <c r="F811" s="47">
        <f>[1]!BexGetData("DP_2","DL719O2RYNC0Y217V0FVT1R77","17","E","17011011E103","2067298041")</f>
        <v>0</v>
      </c>
      <c r="G811" s="48">
        <f>[1]!BexGetData("DP_2","DL719O2RYNEBZX0HTMQQ0BY0J","17","E","17011011E103","2067298041")</f>
        <v>0</v>
      </c>
      <c r="H811" s="48">
        <f>[1]!BexGetData("DP_2","DL719O2RYNGN1RZRS91K7M4TV","17","E","17011011E103","2067298041")</f>
        <v>0</v>
      </c>
      <c r="I811" s="48">
        <f>[1]!BexGetData("DP_2","DL719O2RYNIY3MZ1QVCEEWBN7","17","E","17011011E103","2067298041")</f>
        <v>0</v>
      </c>
    </row>
    <row r="812" spans="1:9" x14ac:dyDescent="0.2">
      <c r="A812" s="46" t="s">
        <v>32</v>
      </c>
      <c r="B812" s="46" t="s">
        <v>32</v>
      </c>
      <c r="C812" s="46" t="s">
        <v>32</v>
      </c>
      <c r="D812" s="46" t="s">
        <v>32</v>
      </c>
      <c r="E812" s="46" t="s">
        <v>32</v>
      </c>
      <c r="F812" s="47">
        <f>[1]!BexGetData("DP_2","DL719O2RYNC0Y217V0FVT1R77","17","E","17011011E103","2067298071")</f>
        <v>659.98</v>
      </c>
      <c r="G812" s="48">
        <f>[1]!BexGetData("DP_2","DL719O2RYNEBZX0HTMQQ0BY0J","17","E","17011011E103","2067298071")</f>
        <v>659.98</v>
      </c>
      <c r="H812" s="48">
        <f>[1]!BexGetData("DP_2","DL719O2RYNGN1RZRS91K7M4TV","17","E","17011011E103","2067298071")</f>
        <v>659.98</v>
      </c>
      <c r="I812" s="48">
        <f>[1]!BexGetData("DP_2","DL719O2RYNIY3MZ1QVCEEWBN7","17","E","17011011E103","2067298071")</f>
        <v>0</v>
      </c>
    </row>
    <row r="813" spans="1:9" x14ac:dyDescent="0.2">
      <c r="A813" s="46" t="s">
        <v>32</v>
      </c>
      <c r="B813" s="46" t="s">
        <v>32</v>
      </c>
      <c r="C813" s="46" t="s">
        <v>32</v>
      </c>
      <c r="D813" s="46" t="s">
        <v>32</v>
      </c>
      <c r="E813" s="46" t="s">
        <v>32</v>
      </c>
      <c r="F813" s="47">
        <f>[1]!BexGetData("DP_2","DL719O2RYNC0Y217V0FVT1R77","17","E","17011011E103","2067299011")</f>
        <v>499</v>
      </c>
      <c r="G813" s="48">
        <f>[1]!BexGetData("DP_2","DL719O2RYNEBZX0HTMQQ0BY0J","17","E","17011011E103","2067299011")</f>
        <v>499</v>
      </c>
      <c r="H813" s="48">
        <f>[1]!BexGetData("DP_2","DL719O2RYNGN1RZRS91K7M4TV","17","E","17011011E103","2067299011")</f>
        <v>499</v>
      </c>
      <c r="I813" s="48">
        <f>[1]!BexGetData("DP_2","DL719O2RYNIY3MZ1QVCEEWBN7","17","E","17011011E103","2067299011")</f>
        <v>0</v>
      </c>
    </row>
    <row r="814" spans="1:9" x14ac:dyDescent="0.2">
      <c r="A814" s="46" t="s">
        <v>32</v>
      </c>
      <c r="B814" s="46" t="s">
        <v>32</v>
      </c>
      <c r="C814" s="46" t="s">
        <v>32</v>
      </c>
      <c r="D814" s="46" t="s">
        <v>32</v>
      </c>
      <c r="E814" s="46" t="s">
        <v>32</v>
      </c>
      <c r="F814" s="47">
        <f>[1]!BexGetData("DP_2","DL719O2RYNC0Y217V0FVT1R77","17","E","17011011E103","2067313011")</f>
        <v>1400</v>
      </c>
      <c r="G814" s="48">
        <f>[1]!BexGetData("DP_2","DL719O2RYNEBZX0HTMQQ0BY0J","17","E","17011011E103","2067313011")</f>
        <v>1400</v>
      </c>
      <c r="H814" s="48">
        <f>[1]!BexGetData("DP_2","DL719O2RYNGN1RZRS91K7M4TV","17","E","17011011E103","2067313011")</f>
        <v>1400</v>
      </c>
      <c r="I814" s="48">
        <f>[1]!BexGetData("DP_2","DL719O2RYNIY3MZ1QVCEEWBN7","17","E","17011011E103","2067313011")</f>
        <v>0</v>
      </c>
    </row>
    <row r="815" spans="1:9" x14ac:dyDescent="0.2">
      <c r="A815" s="46" t="s">
        <v>32</v>
      </c>
      <c r="B815" s="46" t="s">
        <v>32</v>
      </c>
      <c r="C815" s="46" t="s">
        <v>32</v>
      </c>
      <c r="D815" s="46" t="s">
        <v>32</v>
      </c>
      <c r="E815" s="46" t="s">
        <v>32</v>
      </c>
      <c r="F815" s="47">
        <f>[1]!BexGetData("DP_2","DL719O2RYNC0Y217V0FVT1R77","17","E","17011011E103","2067318011")</f>
        <v>759</v>
      </c>
      <c r="G815" s="48">
        <f>[1]!BexGetData("DP_2","DL719O2RYNEBZX0HTMQQ0BY0J","17","E","17011011E103","2067318011")</f>
        <v>759</v>
      </c>
      <c r="H815" s="48">
        <f>[1]!BexGetData("DP_2","DL719O2RYNGN1RZRS91K7M4TV","17","E","17011011E103","2067318011")</f>
        <v>759</v>
      </c>
      <c r="I815" s="48">
        <f>[1]!BexGetData("DP_2","DL719O2RYNIY3MZ1QVCEEWBN7","17","E","17011011E103","2067318011")</f>
        <v>0</v>
      </c>
    </row>
    <row r="816" spans="1:9" x14ac:dyDescent="0.2">
      <c r="A816" s="46" t="s">
        <v>32</v>
      </c>
      <c r="B816" s="46" t="s">
        <v>32</v>
      </c>
      <c r="C816" s="46" t="s">
        <v>32</v>
      </c>
      <c r="D816" s="46" t="s">
        <v>32</v>
      </c>
      <c r="E816" s="46" t="s">
        <v>32</v>
      </c>
      <c r="F816" s="47">
        <f>[1]!BexGetData("DP_2","DL719O2RYNC0Y217V0FVT1R77","17","E","17011011E103","2067329011")</f>
        <v>29548</v>
      </c>
      <c r="G816" s="48">
        <f>[1]!BexGetData("DP_2","DL719O2RYNEBZX0HTMQQ0BY0J","17","E","17011011E103","2067329011")</f>
        <v>29548</v>
      </c>
      <c r="H816" s="48">
        <f>[1]!BexGetData("DP_2","DL719O2RYNGN1RZRS91K7M4TV","17","E","17011011E103","2067329011")</f>
        <v>29548</v>
      </c>
      <c r="I816" s="48">
        <f>[1]!BexGetData("DP_2","DL719O2RYNIY3MZ1QVCEEWBN7","17","E","17011011E103","2067329011")</f>
        <v>0</v>
      </c>
    </row>
    <row r="817" spans="1:9" x14ac:dyDescent="0.2">
      <c r="A817" s="46" t="s">
        <v>32</v>
      </c>
      <c r="B817" s="46" t="s">
        <v>32</v>
      </c>
      <c r="C817" s="46" t="s">
        <v>32</v>
      </c>
      <c r="D817" s="46" t="s">
        <v>32</v>
      </c>
      <c r="E817" s="46" t="s">
        <v>32</v>
      </c>
      <c r="F817" s="47">
        <f>[1]!BexGetData("DP_2","DL719O2RYNC0Y217V0FVT1R77","17","E","17011011E103","2067336011")</f>
        <v>91325.08</v>
      </c>
      <c r="G817" s="48">
        <f>[1]!BexGetData("DP_2","DL719O2RYNEBZX0HTMQQ0BY0J","17","E","17011011E103","2067336011")</f>
        <v>91325.08</v>
      </c>
      <c r="H817" s="48">
        <f>[1]!BexGetData("DP_2","DL719O2RYNGN1RZRS91K7M4TV","17","E","17011011E103","2067336011")</f>
        <v>68364.91</v>
      </c>
      <c r="I817" s="48">
        <f>[1]!BexGetData("DP_2","DL719O2RYNIY3MZ1QVCEEWBN7","17","E","17011011E103","2067336011")</f>
        <v>0</v>
      </c>
    </row>
    <row r="818" spans="1:9" x14ac:dyDescent="0.2">
      <c r="A818" s="46" t="s">
        <v>32</v>
      </c>
      <c r="B818" s="46" t="s">
        <v>32</v>
      </c>
      <c r="C818" s="46" t="s">
        <v>32</v>
      </c>
      <c r="D818" s="46" t="s">
        <v>32</v>
      </c>
      <c r="E818" s="46" t="s">
        <v>32</v>
      </c>
      <c r="F818" s="47">
        <f>[1]!BexGetData("DP_2","DL719O2RYNC0Y217V0FVT1R77","17","E","17011011E103","2067351011")</f>
        <v>182816</v>
      </c>
      <c r="G818" s="48">
        <f>[1]!BexGetData("DP_2","DL719O2RYNEBZX0HTMQQ0BY0J","17","E","17011011E103","2067351011")</f>
        <v>182816</v>
      </c>
      <c r="H818" s="48">
        <f>[1]!BexGetData("DP_2","DL719O2RYNGN1RZRS91K7M4TV","17","E","17011011E103","2067351011")</f>
        <v>182816</v>
      </c>
      <c r="I818" s="48">
        <f>[1]!BexGetData("DP_2","DL719O2RYNIY3MZ1QVCEEWBN7","17","E","17011011E103","2067351011")</f>
        <v>0</v>
      </c>
    </row>
    <row r="819" spans="1:9" x14ac:dyDescent="0.2">
      <c r="A819" s="46" t="s">
        <v>32</v>
      </c>
      <c r="B819" s="46" t="s">
        <v>32</v>
      </c>
      <c r="C819" s="46" t="s">
        <v>32</v>
      </c>
      <c r="D819" s="46" t="s">
        <v>32</v>
      </c>
      <c r="E819" s="46" t="s">
        <v>32</v>
      </c>
      <c r="F819" s="47">
        <f>[1]!BexGetData("DP_2","DL719O2RYNC0Y217V0FVT1R77","17","E","17011011E103","2067355011")</f>
        <v>92744.57</v>
      </c>
      <c r="G819" s="48">
        <f>[1]!BexGetData("DP_2","DL719O2RYNEBZX0HTMQQ0BY0J","17","E","17011011E103","2067355011")</f>
        <v>92744.57</v>
      </c>
      <c r="H819" s="48">
        <f>[1]!BexGetData("DP_2","DL719O2RYNGN1RZRS91K7M4TV","17","E","17011011E103","2067355011")</f>
        <v>80113.19</v>
      </c>
      <c r="I819" s="48">
        <f>[1]!BexGetData("DP_2","DL719O2RYNIY3MZ1QVCEEWBN7","17","E","17011011E103","2067355011")</f>
        <v>0</v>
      </c>
    </row>
    <row r="820" spans="1:9" x14ac:dyDescent="0.2">
      <c r="A820" s="46" t="s">
        <v>32</v>
      </c>
      <c r="B820" s="46" t="s">
        <v>32</v>
      </c>
      <c r="C820" s="46" t="s">
        <v>32</v>
      </c>
      <c r="D820" s="46" t="s">
        <v>32</v>
      </c>
      <c r="E820" s="46" t="s">
        <v>32</v>
      </c>
      <c r="F820" s="47">
        <f>[1]!BexGetData("DP_2","DL719O2RYNC0Y217V0FVT1R77","17","E","17011011E103","2067357071")</f>
        <v>1554.99</v>
      </c>
      <c r="G820" s="48">
        <f>[1]!BexGetData("DP_2","DL719O2RYNEBZX0HTMQQ0BY0J","17","E","17011011E103","2067357071")</f>
        <v>1554.99</v>
      </c>
      <c r="H820" s="48">
        <f>[1]!BexGetData("DP_2","DL719O2RYNGN1RZRS91K7M4TV","17","E","17011011E103","2067357071")</f>
        <v>1554.99</v>
      </c>
      <c r="I820" s="48">
        <f>[1]!BexGetData("DP_2","DL719O2RYNIY3MZ1QVCEEWBN7","17","E","17011011E103","2067357071")</f>
        <v>0</v>
      </c>
    </row>
    <row r="821" spans="1:9" x14ac:dyDescent="0.2">
      <c r="A821" s="46" t="s">
        <v>32</v>
      </c>
      <c r="B821" s="46" t="s">
        <v>32</v>
      </c>
      <c r="C821" s="46" t="s">
        <v>32</v>
      </c>
      <c r="D821" s="46" t="s">
        <v>32</v>
      </c>
      <c r="E821" s="46" t="s">
        <v>32</v>
      </c>
      <c r="F821" s="47">
        <f>[1]!BexGetData("DP_2","DL719O2RYNC0Y217V0FVT1R77","17","E","17011011E103","2067358011")</f>
        <v>11310</v>
      </c>
      <c r="G821" s="48">
        <f>[1]!BexGetData("DP_2","DL719O2RYNEBZX0HTMQQ0BY0J","17","E","17011011E103","2067358011")</f>
        <v>11310</v>
      </c>
      <c r="H821" s="48">
        <f>[1]!BexGetData("DP_2","DL719O2RYNGN1RZRS91K7M4TV","17","E","17011011E103","2067358011")</f>
        <v>11310</v>
      </c>
      <c r="I821" s="48">
        <f>[1]!BexGetData("DP_2","DL719O2RYNIY3MZ1QVCEEWBN7","17","E","17011011E103","2067358011")</f>
        <v>0</v>
      </c>
    </row>
    <row r="822" spans="1:9" x14ac:dyDescent="0.2">
      <c r="A822" s="46" t="s">
        <v>32</v>
      </c>
      <c r="B822" s="46" t="s">
        <v>32</v>
      </c>
      <c r="C822" s="46" t="s">
        <v>32</v>
      </c>
      <c r="D822" s="46" t="s">
        <v>32</v>
      </c>
      <c r="E822" s="46" t="s">
        <v>32</v>
      </c>
      <c r="F822" s="47">
        <f>[1]!BexGetData("DP_2","DL719O2RYNC0Y217V0FVT1R77","17","E","17011011E103","2067359011")</f>
        <v>7540</v>
      </c>
      <c r="G822" s="48">
        <f>[1]!BexGetData("DP_2","DL719O2RYNEBZX0HTMQQ0BY0J","17","E","17011011E103","2067359011")</f>
        <v>7540</v>
      </c>
      <c r="H822" s="48">
        <f>[1]!BexGetData("DP_2","DL719O2RYNGN1RZRS91K7M4TV","17","E","17011011E103","2067359011")</f>
        <v>7540</v>
      </c>
      <c r="I822" s="48">
        <f>[1]!BexGetData("DP_2","DL719O2RYNIY3MZ1QVCEEWBN7","17","E","17011011E103","2067359011")</f>
        <v>0</v>
      </c>
    </row>
    <row r="823" spans="1:9" x14ac:dyDescent="0.2">
      <c r="A823" s="46" t="s">
        <v>32</v>
      </c>
      <c r="B823" s="46" t="s">
        <v>32</v>
      </c>
      <c r="C823" s="46" t="s">
        <v>32</v>
      </c>
      <c r="D823" s="46" t="s">
        <v>32</v>
      </c>
      <c r="E823" s="46" t="s">
        <v>32</v>
      </c>
      <c r="F823" s="47">
        <f>[1]!BexGetData("DP_2","DL719O2RYNC0Y217V0FVT1R77","17","E","17011011E103","2067372011")</f>
        <v>14594</v>
      </c>
      <c r="G823" s="48">
        <f>[1]!BexGetData("DP_2","DL719O2RYNEBZX0HTMQQ0BY0J","17","E","17011011E103","2067372011")</f>
        <v>14594</v>
      </c>
      <c r="H823" s="48">
        <f>[1]!BexGetData("DP_2","DL719O2RYNGN1RZRS91K7M4TV","17","E","17011011E103","2067372011")</f>
        <v>14594</v>
      </c>
      <c r="I823" s="48">
        <f>[1]!BexGetData("DP_2","DL719O2RYNIY3MZ1QVCEEWBN7","17","E","17011011E103","2067372011")</f>
        <v>0</v>
      </c>
    </row>
    <row r="824" spans="1:9" x14ac:dyDescent="0.2">
      <c r="A824" s="46" t="s">
        <v>32</v>
      </c>
      <c r="B824" s="46" t="s">
        <v>32</v>
      </c>
      <c r="C824" s="46" t="s">
        <v>32</v>
      </c>
      <c r="D824" s="46" t="s">
        <v>32</v>
      </c>
      <c r="E824" s="46" t="s">
        <v>32</v>
      </c>
      <c r="F824" s="47">
        <f>[1]!BexGetData("DP_2","DL719O2RYNC0Y217V0FVT1R77","17","E","17011011E103","2067375011")</f>
        <v>24000</v>
      </c>
      <c r="G824" s="48">
        <f>[1]!BexGetData("DP_2","DL719O2RYNEBZX0HTMQQ0BY0J","17","E","17011011E103","2067375011")</f>
        <v>24000</v>
      </c>
      <c r="H824" s="48">
        <f>[1]!BexGetData("DP_2","DL719O2RYNGN1RZRS91K7M4TV","17","E","17011011E103","2067375011")</f>
        <v>24000</v>
      </c>
      <c r="I824" s="48">
        <f>[1]!BexGetData("DP_2","DL719O2RYNIY3MZ1QVCEEWBN7","17","E","17011011E103","2067375011")</f>
        <v>0</v>
      </c>
    </row>
    <row r="825" spans="1:9" x14ac:dyDescent="0.2">
      <c r="A825" s="46" t="s">
        <v>32</v>
      </c>
      <c r="B825" s="46" t="s">
        <v>32</v>
      </c>
      <c r="C825" s="46" t="s">
        <v>32</v>
      </c>
      <c r="D825" s="46" t="s">
        <v>32</v>
      </c>
      <c r="E825" s="46" t="s">
        <v>32</v>
      </c>
      <c r="F825" s="47">
        <f>[1]!BexGetData("DP_2","DL719O2RYNC0Y217V0FVT1R77","17","E","17011011E103","2067382021")</f>
        <v>2320</v>
      </c>
      <c r="G825" s="48">
        <f>[1]!BexGetData("DP_2","DL719O2RYNEBZX0HTMQQ0BY0J","17","E","17011011E103","2067382021")</f>
        <v>2320</v>
      </c>
      <c r="H825" s="48">
        <f>[1]!BexGetData("DP_2","DL719O2RYNGN1RZRS91K7M4TV","17","E","17011011E103","2067382021")</f>
        <v>2320</v>
      </c>
      <c r="I825" s="48">
        <f>[1]!BexGetData("DP_2","DL719O2RYNIY3MZ1QVCEEWBN7","17","E","17011011E103","2067382021")</f>
        <v>0</v>
      </c>
    </row>
    <row r="826" spans="1:9" x14ac:dyDescent="0.2">
      <c r="A826" s="46" t="s">
        <v>32</v>
      </c>
      <c r="B826" s="46" t="s">
        <v>32</v>
      </c>
      <c r="C826" s="46" t="s">
        <v>32</v>
      </c>
      <c r="D826" s="46" t="s">
        <v>32</v>
      </c>
      <c r="E826" s="46" t="s">
        <v>32</v>
      </c>
      <c r="F826" s="47">
        <f>[1]!BexGetData("DP_2","DL719O2RYNC0Y217V0FVT1R77","17","E","17011011E103","2067512012")</f>
        <v>0</v>
      </c>
      <c r="G826" s="48">
        <f>[1]!BexGetData("DP_2","DL719O2RYNEBZX0HTMQQ0BY0J","17","E","17011011E103","2067512012")</f>
        <v>0</v>
      </c>
      <c r="H826" s="48">
        <f>[1]!BexGetData("DP_2","DL719O2RYNGN1RZRS91K7M4TV","17","E","17011011E103","2067512012")</f>
        <v>0</v>
      </c>
      <c r="I826" s="48">
        <f>[1]!BexGetData("DP_2","DL719O2RYNIY3MZ1QVCEEWBN7","17","E","17011011E103","2067512012")</f>
        <v>0</v>
      </c>
    </row>
    <row r="827" spans="1:9" x14ac:dyDescent="0.2">
      <c r="A827" s="46" t="s">
        <v>32</v>
      </c>
      <c r="B827" s="46" t="s">
        <v>32</v>
      </c>
      <c r="C827" s="46" t="s">
        <v>32</v>
      </c>
      <c r="D827" s="46" t="s">
        <v>32</v>
      </c>
      <c r="E827" s="46" t="s">
        <v>32</v>
      </c>
      <c r="F827" s="47">
        <f>[1]!BexGetData("DP_2","DL719O2RYNC0Y217V0FVT1R77","17","E","17011011E103","2067549012")</f>
        <v>5085892.08</v>
      </c>
      <c r="G827" s="48">
        <f>[1]!BexGetData("DP_2","DL719O2RYNEBZX0HTMQQ0BY0J","17","E","17011011E103","2067549012")</f>
        <v>5085892.08</v>
      </c>
      <c r="H827" s="48">
        <f>[1]!BexGetData("DP_2","DL719O2RYNGN1RZRS91K7M4TV","17","E","17011011E103","2067549012")</f>
        <v>5085892.08</v>
      </c>
      <c r="I827" s="48">
        <f>[1]!BexGetData("DP_2","DL719O2RYNIY3MZ1QVCEEWBN7","17","E","17011011E103","2067549012")</f>
        <v>0</v>
      </c>
    </row>
    <row r="828" spans="1:9" x14ac:dyDescent="0.2">
      <c r="A828" s="46" t="s">
        <v>32</v>
      </c>
      <c r="B828" s="46" t="s">
        <v>32</v>
      </c>
      <c r="C828" s="46" t="s">
        <v>99</v>
      </c>
      <c r="D828" s="46" t="s">
        <v>99</v>
      </c>
      <c r="E828" s="46" t="s">
        <v>32</v>
      </c>
      <c r="F828" s="47">
        <f>[1]!BexGetData("DP_2","DL719O2RYNC0Y217V0FVT1R77","17","E","17021031E103","2067112011")</f>
        <v>182971.08</v>
      </c>
      <c r="G828" s="48">
        <f>[1]!BexGetData("DP_2","DL719O2RYNEBZX0HTMQQ0BY0J","17","E","17021031E103","2067112011")</f>
        <v>182971.08</v>
      </c>
      <c r="H828" s="48">
        <f>[1]!BexGetData("DP_2","DL719O2RYNGN1RZRS91K7M4TV","17","E","17021031E103","2067112011")</f>
        <v>182971.08</v>
      </c>
      <c r="I828" s="48">
        <f>[1]!BexGetData("DP_2","DL719O2RYNIY3MZ1QVCEEWBN7","17","E","17021031E103","2067112011")</f>
        <v>0</v>
      </c>
    </row>
    <row r="829" spans="1:9" x14ac:dyDescent="0.2">
      <c r="A829" s="46" t="s">
        <v>32</v>
      </c>
      <c r="B829" s="46" t="s">
        <v>32</v>
      </c>
      <c r="C829" s="46" t="s">
        <v>32</v>
      </c>
      <c r="D829" s="46" t="s">
        <v>32</v>
      </c>
      <c r="E829" s="46" t="s">
        <v>32</v>
      </c>
      <c r="F829" s="47">
        <f>[1]!BexGetData("DP_2","DL719O2RYNC0Y217V0FVT1R77","17","E","17021031E103","2067113021")</f>
        <v>65791.960000000006</v>
      </c>
      <c r="G829" s="48">
        <f>[1]!BexGetData("DP_2","DL719O2RYNEBZX0HTMQQ0BY0J","17","E","17021031E103","2067113021")</f>
        <v>65791.960000000006</v>
      </c>
      <c r="H829" s="48">
        <f>[1]!BexGetData("DP_2","DL719O2RYNGN1RZRS91K7M4TV","17","E","17021031E103","2067113021")</f>
        <v>65791.960000000006</v>
      </c>
      <c r="I829" s="48">
        <f>[1]!BexGetData("DP_2","DL719O2RYNIY3MZ1QVCEEWBN7","17","E","17021031E103","2067113021")</f>
        <v>0</v>
      </c>
    </row>
    <row r="830" spans="1:9" x14ac:dyDescent="0.2">
      <c r="A830" s="46" t="s">
        <v>32</v>
      </c>
      <c r="B830" s="46" t="s">
        <v>32</v>
      </c>
      <c r="C830" s="46" t="s">
        <v>32</v>
      </c>
      <c r="D830" s="46" t="s">
        <v>32</v>
      </c>
      <c r="E830" s="46" t="s">
        <v>32</v>
      </c>
      <c r="F830" s="47">
        <f>[1]!BexGetData("DP_2","DL719O2RYNC0Y217V0FVT1R77","17","E","17021031E103","2067122011")</f>
        <v>288300.09999999998</v>
      </c>
      <c r="G830" s="48">
        <f>[1]!BexGetData("DP_2","DL719O2RYNEBZX0HTMQQ0BY0J","17","E","17021031E103","2067122011")</f>
        <v>288300.09999999998</v>
      </c>
      <c r="H830" s="48">
        <f>[1]!BexGetData("DP_2","DL719O2RYNGN1RZRS91K7M4TV","17","E","17021031E103","2067122011")</f>
        <v>288300.09999999998</v>
      </c>
      <c r="I830" s="48">
        <f>[1]!BexGetData("DP_2","DL719O2RYNIY3MZ1QVCEEWBN7","17","E","17021031E103","2067122011")</f>
        <v>0</v>
      </c>
    </row>
    <row r="831" spans="1:9" x14ac:dyDescent="0.2">
      <c r="A831" s="46" t="s">
        <v>32</v>
      </c>
      <c r="B831" s="46" t="s">
        <v>32</v>
      </c>
      <c r="C831" s="46" t="s">
        <v>32</v>
      </c>
      <c r="D831" s="46" t="s">
        <v>32</v>
      </c>
      <c r="E831" s="46" t="s">
        <v>32</v>
      </c>
      <c r="F831" s="47">
        <f>[1]!BexGetData("DP_2","DL719O2RYNC0Y217V0FVT1R77","17","E","17021031E103","2067131021")</f>
        <v>4657.99</v>
      </c>
      <c r="G831" s="48">
        <f>[1]!BexGetData("DP_2","DL719O2RYNEBZX0HTMQQ0BY0J","17","E","17021031E103","2067131021")</f>
        <v>4657.99</v>
      </c>
      <c r="H831" s="48">
        <f>[1]!BexGetData("DP_2","DL719O2RYNGN1RZRS91K7M4TV","17","E","17021031E103","2067131021")</f>
        <v>4657.99</v>
      </c>
      <c r="I831" s="48">
        <f>[1]!BexGetData("DP_2","DL719O2RYNIY3MZ1QVCEEWBN7","17","E","17021031E103","2067131021")</f>
        <v>0</v>
      </c>
    </row>
    <row r="832" spans="1:9" x14ac:dyDescent="0.2">
      <c r="A832" s="46" t="s">
        <v>32</v>
      </c>
      <c r="B832" s="46" t="s">
        <v>32</v>
      </c>
      <c r="C832" s="46" t="s">
        <v>32</v>
      </c>
      <c r="D832" s="46" t="s">
        <v>32</v>
      </c>
      <c r="E832" s="46" t="s">
        <v>32</v>
      </c>
      <c r="F832" s="47">
        <f>[1]!BexGetData("DP_2","DL719O2RYNC0Y217V0FVT1R77","17","E","17021031E103","2067132011")</f>
        <v>3646.26</v>
      </c>
      <c r="G832" s="48">
        <f>[1]!BexGetData("DP_2","DL719O2RYNEBZX0HTMQQ0BY0J","17","E","17021031E103","2067132011")</f>
        <v>3646.26</v>
      </c>
      <c r="H832" s="48">
        <f>[1]!BexGetData("DP_2","DL719O2RYNGN1RZRS91K7M4TV","17","E","17021031E103","2067132011")</f>
        <v>3646.26</v>
      </c>
      <c r="I832" s="48">
        <f>[1]!BexGetData("DP_2","DL719O2RYNIY3MZ1QVCEEWBN7","17","E","17021031E103","2067132011")</f>
        <v>0</v>
      </c>
    </row>
    <row r="833" spans="1:9" x14ac:dyDescent="0.2">
      <c r="A833" s="46" t="s">
        <v>32</v>
      </c>
      <c r="B833" s="46" t="s">
        <v>32</v>
      </c>
      <c r="C833" s="46" t="s">
        <v>32</v>
      </c>
      <c r="D833" s="46" t="s">
        <v>32</v>
      </c>
      <c r="E833" s="46" t="s">
        <v>32</v>
      </c>
      <c r="F833" s="47">
        <f>[1]!BexGetData("DP_2","DL719O2RYNC0Y217V0FVT1R77","17","E","17021031E103","2067132021")</f>
        <v>69119.59</v>
      </c>
      <c r="G833" s="48">
        <f>[1]!BexGetData("DP_2","DL719O2RYNEBZX0HTMQQ0BY0J","17","E","17021031E103","2067132021")</f>
        <v>69119.59</v>
      </c>
      <c r="H833" s="48">
        <f>[1]!BexGetData("DP_2","DL719O2RYNGN1RZRS91K7M4TV","17","E","17021031E103","2067132021")</f>
        <v>69119.59</v>
      </c>
      <c r="I833" s="48">
        <f>[1]!BexGetData("DP_2","DL719O2RYNIY3MZ1QVCEEWBN7","17","E","17021031E103","2067132021")</f>
        <v>0</v>
      </c>
    </row>
    <row r="834" spans="1:9" x14ac:dyDescent="0.2">
      <c r="A834" s="46" t="s">
        <v>32</v>
      </c>
      <c r="B834" s="46" t="s">
        <v>32</v>
      </c>
      <c r="C834" s="46" t="s">
        <v>32</v>
      </c>
      <c r="D834" s="46" t="s">
        <v>32</v>
      </c>
      <c r="E834" s="46" t="s">
        <v>32</v>
      </c>
      <c r="F834" s="47">
        <f>[1]!BexGetData("DP_2","DL719O2RYNC0Y217V0FVT1R77","17","E","17021031E103","2067134011")</f>
        <v>369547.92</v>
      </c>
      <c r="G834" s="48">
        <f>[1]!BexGetData("DP_2","DL719O2RYNEBZX0HTMQQ0BY0J","17","E","17021031E103","2067134011")</f>
        <v>369547.92</v>
      </c>
      <c r="H834" s="48">
        <f>[1]!BexGetData("DP_2","DL719O2RYNGN1RZRS91K7M4TV","17","E","17021031E103","2067134011")</f>
        <v>372742.22</v>
      </c>
      <c r="I834" s="48">
        <f>[1]!BexGetData("DP_2","DL719O2RYNIY3MZ1QVCEEWBN7","17","E","17021031E103","2067134011")</f>
        <v>0</v>
      </c>
    </row>
    <row r="835" spans="1:9" x14ac:dyDescent="0.2">
      <c r="A835" s="46" t="s">
        <v>32</v>
      </c>
      <c r="B835" s="46" t="s">
        <v>32</v>
      </c>
      <c r="C835" s="46" t="s">
        <v>32</v>
      </c>
      <c r="D835" s="46" t="s">
        <v>32</v>
      </c>
      <c r="E835" s="46" t="s">
        <v>32</v>
      </c>
      <c r="F835" s="47">
        <f>[1]!BexGetData("DP_2","DL719O2RYNC0Y217V0FVT1R77","17","E","17021031E103","2067134021")</f>
        <v>221420.64</v>
      </c>
      <c r="G835" s="48">
        <f>[1]!BexGetData("DP_2","DL719O2RYNEBZX0HTMQQ0BY0J","17","E","17021031E103","2067134021")</f>
        <v>221420.64</v>
      </c>
      <c r="H835" s="48">
        <f>[1]!BexGetData("DP_2","DL719O2RYNGN1RZRS91K7M4TV","17","E","17021031E103","2067134021")</f>
        <v>221420.64</v>
      </c>
      <c r="I835" s="48">
        <f>[1]!BexGetData("DP_2","DL719O2RYNIY3MZ1QVCEEWBN7","17","E","17021031E103","2067134021")</f>
        <v>0</v>
      </c>
    </row>
    <row r="836" spans="1:9" x14ac:dyDescent="0.2">
      <c r="A836" s="46" t="s">
        <v>32</v>
      </c>
      <c r="B836" s="46" t="s">
        <v>32</v>
      </c>
      <c r="C836" s="46" t="s">
        <v>32</v>
      </c>
      <c r="D836" s="46" t="s">
        <v>32</v>
      </c>
      <c r="E836" s="46" t="s">
        <v>32</v>
      </c>
      <c r="F836" s="47">
        <f>[1]!BexGetData("DP_2","DL719O2RYNC0Y217V0FVT1R77","17","E","17021031E103","2067141011")</f>
        <v>229152.52</v>
      </c>
      <c r="G836" s="48">
        <f>[1]!BexGetData("DP_2","DL719O2RYNEBZX0HTMQQ0BY0J","17","E","17021031E103","2067141011")</f>
        <v>229152.52</v>
      </c>
      <c r="H836" s="48">
        <f>[1]!BexGetData("DP_2","DL719O2RYNGN1RZRS91K7M4TV","17","E","17021031E103","2067141011")</f>
        <v>229152.52</v>
      </c>
      <c r="I836" s="48">
        <f>[1]!BexGetData("DP_2","DL719O2RYNIY3MZ1QVCEEWBN7","17","E","17021031E103","2067141011")</f>
        <v>0</v>
      </c>
    </row>
    <row r="837" spans="1:9" x14ac:dyDescent="0.2">
      <c r="A837" s="46" t="s">
        <v>32</v>
      </c>
      <c r="B837" s="46" t="s">
        <v>32</v>
      </c>
      <c r="C837" s="46" t="s">
        <v>32</v>
      </c>
      <c r="D837" s="46" t="s">
        <v>32</v>
      </c>
      <c r="E837" s="46" t="s">
        <v>32</v>
      </c>
      <c r="F837" s="47">
        <f>[1]!BexGetData("DP_2","DL719O2RYNC0Y217V0FVT1R77","17","E","17021031E103","2067141021")</f>
        <v>71352.03</v>
      </c>
      <c r="G837" s="48">
        <f>[1]!BexGetData("DP_2","DL719O2RYNEBZX0HTMQQ0BY0J","17","E","17021031E103","2067141021")</f>
        <v>71352.03</v>
      </c>
      <c r="H837" s="48">
        <f>[1]!BexGetData("DP_2","DL719O2RYNGN1RZRS91K7M4TV","17","E","17021031E103","2067141021")</f>
        <v>71352.03</v>
      </c>
      <c r="I837" s="48">
        <f>[1]!BexGetData("DP_2","DL719O2RYNIY3MZ1QVCEEWBN7","17","E","17021031E103","2067141021")</f>
        <v>0</v>
      </c>
    </row>
    <row r="838" spans="1:9" x14ac:dyDescent="0.2">
      <c r="A838" s="46" t="s">
        <v>32</v>
      </c>
      <c r="B838" s="46" t="s">
        <v>32</v>
      </c>
      <c r="C838" s="46" t="s">
        <v>32</v>
      </c>
      <c r="D838" s="46" t="s">
        <v>32</v>
      </c>
      <c r="E838" s="46" t="s">
        <v>32</v>
      </c>
      <c r="F838" s="47">
        <f>[1]!BexGetData("DP_2","DL719O2RYNC0Y217V0FVT1R77","17","E","17021031E103","2067143011")</f>
        <v>33995.800000000003</v>
      </c>
      <c r="G838" s="48">
        <f>[1]!BexGetData("DP_2","DL719O2RYNEBZX0HTMQQ0BY0J","17","E","17021031E103","2067143011")</f>
        <v>33995.800000000003</v>
      </c>
      <c r="H838" s="48">
        <f>[1]!BexGetData("DP_2","DL719O2RYNGN1RZRS91K7M4TV","17","E","17021031E103","2067143011")</f>
        <v>33995.800000000003</v>
      </c>
      <c r="I838" s="48">
        <f>[1]!BexGetData("DP_2","DL719O2RYNIY3MZ1QVCEEWBN7","17","E","17021031E103","2067143011")</f>
        <v>0</v>
      </c>
    </row>
    <row r="839" spans="1:9" x14ac:dyDescent="0.2">
      <c r="A839" s="46" t="s">
        <v>32</v>
      </c>
      <c r="B839" s="46" t="s">
        <v>32</v>
      </c>
      <c r="C839" s="46" t="s">
        <v>32</v>
      </c>
      <c r="D839" s="46" t="s">
        <v>32</v>
      </c>
      <c r="E839" s="46" t="s">
        <v>32</v>
      </c>
      <c r="F839" s="47">
        <f>[1]!BexGetData("DP_2","DL719O2RYNC0Y217V0FVT1R77","17","E","17021031E103","2067151011")</f>
        <v>7919.28</v>
      </c>
      <c r="G839" s="48">
        <f>[1]!BexGetData("DP_2","DL719O2RYNEBZX0HTMQQ0BY0J","17","E","17021031E103","2067151011")</f>
        <v>7919.28</v>
      </c>
      <c r="H839" s="48">
        <f>[1]!BexGetData("DP_2","DL719O2RYNGN1RZRS91K7M4TV","17","E","17021031E103","2067151011")</f>
        <v>7919.28</v>
      </c>
      <c r="I839" s="48">
        <f>[1]!BexGetData("DP_2","DL719O2RYNIY3MZ1QVCEEWBN7","17","E","17021031E103","2067151011")</f>
        <v>0</v>
      </c>
    </row>
    <row r="840" spans="1:9" x14ac:dyDescent="0.2">
      <c r="A840" s="46" t="s">
        <v>32</v>
      </c>
      <c r="B840" s="46" t="s">
        <v>32</v>
      </c>
      <c r="C840" s="46" t="s">
        <v>32</v>
      </c>
      <c r="D840" s="46" t="s">
        <v>32</v>
      </c>
      <c r="E840" s="46" t="s">
        <v>32</v>
      </c>
      <c r="F840" s="47">
        <f>[1]!BexGetData("DP_2","DL719O2RYNC0Y217V0FVT1R77","17","E","17021031E103","2067154011")</f>
        <v>50431.48</v>
      </c>
      <c r="G840" s="48">
        <f>[1]!BexGetData("DP_2","DL719O2RYNEBZX0HTMQQ0BY0J","17","E","17021031E103","2067154011")</f>
        <v>50431.48</v>
      </c>
      <c r="H840" s="48">
        <f>[1]!BexGetData("DP_2","DL719O2RYNGN1RZRS91K7M4TV","17","E","17021031E103","2067154011")</f>
        <v>50431.48</v>
      </c>
      <c r="I840" s="48">
        <f>[1]!BexGetData("DP_2","DL719O2RYNIY3MZ1QVCEEWBN7","17","E","17021031E103","2067154011")</f>
        <v>0</v>
      </c>
    </row>
    <row r="841" spans="1:9" x14ac:dyDescent="0.2">
      <c r="A841" s="46" t="s">
        <v>32</v>
      </c>
      <c r="B841" s="46" t="s">
        <v>32</v>
      </c>
      <c r="C841" s="46" t="s">
        <v>32</v>
      </c>
      <c r="D841" s="46" t="s">
        <v>32</v>
      </c>
      <c r="E841" s="46" t="s">
        <v>32</v>
      </c>
      <c r="F841" s="47">
        <f>[1]!BexGetData("DP_2","DL719O2RYNC0Y217V0FVT1R77","17","E","17021031E103","2067211011")</f>
        <v>31930.17</v>
      </c>
      <c r="G841" s="48">
        <f>[1]!BexGetData("DP_2","DL719O2RYNEBZX0HTMQQ0BY0J","17","E","17021031E103","2067211011")</f>
        <v>31930.17</v>
      </c>
      <c r="H841" s="48">
        <f>[1]!BexGetData("DP_2","DL719O2RYNGN1RZRS91K7M4TV","17","E","17021031E103","2067211011")</f>
        <v>31930.17</v>
      </c>
      <c r="I841" s="48">
        <f>[1]!BexGetData("DP_2","DL719O2RYNIY3MZ1QVCEEWBN7","17","E","17021031E103","2067211011")</f>
        <v>0</v>
      </c>
    </row>
    <row r="842" spans="1:9" x14ac:dyDescent="0.2">
      <c r="A842" s="46" t="s">
        <v>32</v>
      </c>
      <c r="B842" s="46" t="s">
        <v>32</v>
      </c>
      <c r="C842" s="46" t="s">
        <v>32</v>
      </c>
      <c r="D842" s="46" t="s">
        <v>32</v>
      </c>
      <c r="E842" s="46" t="s">
        <v>32</v>
      </c>
      <c r="F842" s="47">
        <f>[1]!BexGetData("DP_2","DL719O2RYNC0Y217V0FVT1R77","17","E","17021031E103","2067211021")</f>
        <v>7437.92</v>
      </c>
      <c r="G842" s="48">
        <f>[1]!BexGetData("DP_2","DL719O2RYNEBZX0HTMQQ0BY0J","17","E","17021031E103","2067211021")</f>
        <v>7437.92</v>
      </c>
      <c r="H842" s="48">
        <f>[1]!BexGetData("DP_2","DL719O2RYNGN1RZRS91K7M4TV","17","E","17021031E103","2067211021")</f>
        <v>7437.92</v>
      </c>
      <c r="I842" s="48">
        <f>[1]!BexGetData("DP_2","DL719O2RYNIY3MZ1QVCEEWBN7","17","E","17021031E103","2067211021")</f>
        <v>0</v>
      </c>
    </row>
    <row r="843" spans="1:9" x14ac:dyDescent="0.2">
      <c r="A843" s="46" t="s">
        <v>32</v>
      </c>
      <c r="B843" s="46" t="s">
        <v>32</v>
      </c>
      <c r="C843" s="46" t="s">
        <v>32</v>
      </c>
      <c r="D843" s="46" t="s">
        <v>32</v>
      </c>
      <c r="E843" s="46" t="s">
        <v>32</v>
      </c>
      <c r="F843" s="47">
        <f>[1]!BexGetData("DP_2","DL719O2RYNC0Y217V0FVT1R77","17","E","17021031E103","2067214011")</f>
        <v>20647.349999999999</v>
      </c>
      <c r="G843" s="48">
        <f>[1]!BexGetData("DP_2","DL719O2RYNEBZX0HTMQQ0BY0J","17","E","17021031E103","2067214011")</f>
        <v>20647.349999999999</v>
      </c>
      <c r="H843" s="48">
        <f>[1]!BexGetData("DP_2","DL719O2RYNGN1RZRS91K7M4TV","17","E","17021031E103","2067214011")</f>
        <v>20647.349999999999</v>
      </c>
      <c r="I843" s="48">
        <f>[1]!BexGetData("DP_2","DL719O2RYNIY3MZ1QVCEEWBN7","17","E","17021031E103","2067214011")</f>
        <v>0</v>
      </c>
    </row>
    <row r="844" spans="1:9" x14ac:dyDescent="0.2">
      <c r="A844" s="46" t="s">
        <v>32</v>
      </c>
      <c r="B844" s="46" t="s">
        <v>32</v>
      </c>
      <c r="C844" s="46" t="s">
        <v>32</v>
      </c>
      <c r="D844" s="46" t="s">
        <v>32</v>
      </c>
      <c r="E844" s="46" t="s">
        <v>32</v>
      </c>
      <c r="F844" s="47">
        <f>[1]!BexGetData("DP_2","DL719O2RYNC0Y217V0FVT1R77","17","E","17021031E103","2067214021")</f>
        <v>974.4</v>
      </c>
      <c r="G844" s="48">
        <f>[1]!BexGetData("DP_2","DL719O2RYNEBZX0HTMQQ0BY0J","17","E","17021031E103","2067214021")</f>
        <v>974.4</v>
      </c>
      <c r="H844" s="48">
        <f>[1]!BexGetData("DP_2","DL719O2RYNGN1RZRS91K7M4TV","17","E","17021031E103","2067214021")</f>
        <v>974.4</v>
      </c>
      <c r="I844" s="48">
        <f>[1]!BexGetData("DP_2","DL719O2RYNIY3MZ1QVCEEWBN7","17","E","17021031E103","2067214021")</f>
        <v>0</v>
      </c>
    </row>
    <row r="845" spans="1:9" x14ac:dyDescent="0.2">
      <c r="A845" s="46" t="s">
        <v>32</v>
      </c>
      <c r="B845" s="46" t="s">
        <v>32</v>
      </c>
      <c r="C845" s="46" t="s">
        <v>32</v>
      </c>
      <c r="D845" s="46" t="s">
        <v>32</v>
      </c>
      <c r="E845" s="46" t="s">
        <v>32</v>
      </c>
      <c r="F845" s="47">
        <f>[1]!BexGetData("DP_2","DL719O2RYNC0Y217V0FVT1R77","17","E","17021031E103","2067216011")</f>
        <v>58894.95</v>
      </c>
      <c r="G845" s="48">
        <f>[1]!BexGetData("DP_2","DL719O2RYNEBZX0HTMQQ0BY0J","17","E","17021031E103","2067216011")</f>
        <v>58894.95</v>
      </c>
      <c r="H845" s="48">
        <f>[1]!BexGetData("DP_2","DL719O2RYNGN1RZRS91K7M4TV","17","E","17021031E103","2067216011")</f>
        <v>58894.95</v>
      </c>
      <c r="I845" s="48">
        <f>[1]!BexGetData("DP_2","DL719O2RYNIY3MZ1QVCEEWBN7","17","E","17021031E103","2067216011")</f>
        <v>0</v>
      </c>
    </row>
    <row r="846" spans="1:9" x14ac:dyDescent="0.2">
      <c r="A846" s="46" t="s">
        <v>32</v>
      </c>
      <c r="B846" s="46" t="s">
        <v>32</v>
      </c>
      <c r="C846" s="46" t="s">
        <v>32</v>
      </c>
      <c r="D846" s="46" t="s">
        <v>32</v>
      </c>
      <c r="E846" s="46" t="s">
        <v>32</v>
      </c>
      <c r="F846" s="47">
        <f>[1]!BexGetData("DP_2","DL719O2RYNC0Y217V0FVT1R77","17","E","17021031E103","2067217011")</f>
        <v>340</v>
      </c>
      <c r="G846" s="48">
        <f>[1]!BexGetData("DP_2","DL719O2RYNEBZX0HTMQQ0BY0J","17","E","17021031E103","2067217011")</f>
        <v>340</v>
      </c>
      <c r="H846" s="48">
        <f>[1]!BexGetData("DP_2","DL719O2RYNGN1RZRS91K7M4TV","17","E","17021031E103","2067217011")</f>
        <v>340</v>
      </c>
      <c r="I846" s="48">
        <f>[1]!BexGetData("DP_2","DL719O2RYNIY3MZ1QVCEEWBN7","17","E","17021031E103","2067217011")</f>
        <v>0</v>
      </c>
    </row>
    <row r="847" spans="1:9" x14ac:dyDescent="0.2">
      <c r="A847" s="46" t="s">
        <v>32</v>
      </c>
      <c r="B847" s="46" t="s">
        <v>32</v>
      </c>
      <c r="C847" s="46" t="s">
        <v>32</v>
      </c>
      <c r="D847" s="46" t="s">
        <v>32</v>
      </c>
      <c r="E847" s="46" t="s">
        <v>32</v>
      </c>
      <c r="F847" s="47">
        <f>[1]!BexGetData("DP_2","DL719O2RYNC0Y217V0FVT1R77","17","E","17021031E103","2067221011")</f>
        <v>13107.5</v>
      </c>
      <c r="G847" s="48">
        <f>[1]!BexGetData("DP_2","DL719O2RYNEBZX0HTMQQ0BY0J","17","E","17021031E103","2067221011")</f>
        <v>13107.5</v>
      </c>
      <c r="H847" s="48">
        <f>[1]!BexGetData("DP_2","DL719O2RYNGN1RZRS91K7M4TV","17","E","17021031E103","2067221011")</f>
        <v>13107.5</v>
      </c>
      <c r="I847" s="48">
        <f>[1]!BexGetData("DP_2","DL719O2RYNIY3MZ1QVCEEWBN7","17","E","17021031E103","2067221011")</f>
        <v>0</v>
      </c>
    </row>
    <row r="848" spans="1:9" x14ac:dyDescent="0.2">
      <c r="A848" s="46" t="s">
        <v>32</v>
      </c>
      <c r="B848" s="46" t="s">
        <v>32</v>
      </c>
      <c r="C848" s="46" t="s">
        <v>32</v>
      </c>
      <c r="D848" s="46" t="s">
        <v>32</v>
      </c>
      <c r="E848" s="46" t="s">
        <v>32</v>
      </c>
      <c r="F848" s="47">
        <f>[1]!BexGetData("DP_2","DL719O2RYNC0Y217V0FVT1R77","17","E","17021031E103","2067221021")</f>
        <v>16656</v>
      </c>
      <c r="G848" s="48">
        <f>[1]!BexGetData("DP_2","DL719O2RYNEBZX0HTMQQ0BY0J","17","E","17021031E103","2067221021")</f>
        <v>16656</v>
      </c>
      <c r="H848" s="48">
        <f>[1]!BexGetData("DP_2","DL719O2RYNGN1RZRS91K7M4TV","17","E","17021031E103","2067221021")</f>
        <v>16656</v>
      </c>
      <c r="I848" s="48">
        <f>[1]!BexGetData("DP_2","DL719O2RYNIY3MZ1QVCEEWBN7","17","E","17021031E103","2067221021")</f>
        <v>0</v>
      </c>
    </row>
    <row r="849" spans="1:9" x14ac:dyDescent="0.2">
      <c r="A849" s="46" t="s">
        <v>32</v>
      </c>
      <c r="B849" s="46" t="s">
        <v>32</v>
      </c>
      <c r="C849" s="46" t="s">
        <v>32</v>
      </c>
      <c r="D849" s="46" t="s">
        <v>32</v>
      </c>
      <c r="E849" s="46" t="s">
        <v>32</v>
      </c>
      <c r="F849" s="47">
        <f>[1]!BexGetData("DP_2","DL719O2RYNC0Y217V0FVT1R77","17","E","17021031E103","2067221031")</f>
        <v>4500.8</v>
      </c>
      <c r="G849" s="48">
        <f>[1]!BexGetData("DP_2","DL719O2RYNEBZX0HTMQQ0BY0J","17","E","17021031E103","2067221031")</f>
        <v>4500.8</v>
      </c>
      <c r="H849" s="48">
        <f>[1]!BexGetData("DP_2","DL719O2RYNGN1RZRS91K7M4TV","17","E","17021031E103","2067221031")</f>
        <v>4500.8</v>
      </c>
      <c r="I849" s="48">
        <f>[1]!BexGetData("DP_2","DL719O2RYNIY3MZ1QVCEEWBN7","17","E","17021031E103","2067221031")</f>
        <v>0</v>
      </c>
    </row>
    <row r="850" spans="1:9" x14ac:dyDescent="0.2">
      <c r="A850" s="46" t="s">
        <v>32</v>
      </c>
      <c r="B850" s="46" t="s">
        <v>32</v>
      </c>
      <c r="C850" s="46" t="s">
        <v>32</v>
      </c>
      <c r="D850" s="46" t="s">
        <v>32</v>
      </c>
      <c r="E850" s="46" t="s">
        <v>32</v>
      </c>
      <c r="F850" s="47">
        <f>[1]!BexGetData("DP_2","DL719O2RYNC0Y217V0FVT1R77","17","E","17021031E103","2067246011")</f>
        <v>1361.88</v>
      </c>
      <c r="G850" s="48">
        <f>[1]!BexGetData("DP_2","DL719O2RYNEBZX0HTMQQ0BY0J","17","E","17021031E103","2067246011")</f>
        <v>1361.88</v>
      </c>
      <c r="H850" s="48">
        <f>[1]!BexGetData("DP_2","DL719O2RYNGN1RZRS91K7M4TV","17","E","17021031E103","2067246011")</f>
        <v>1361.88</v>
      </c>
      <c r="I850" s="48">
        <f>[1]!BexGetData("DP_2","DL719O2RYNIY3MZ1QVCEEWBN7","17","E","17021031E103","2067246011")</f>
        <v>0</v>
      </c>
    </row>
    <row r="851" spans="1:9" x14ac:dyDescent="0.2">
      <c r="A851" s="46" t="s">
        <v>32</v>
      </c>
      <c r="B851" s="46" t="s">
        <v>32</v>
      </c>
      <c r="C851" s="46" t="s">
        <v>32</v>
      </c>
      <c r="D851" s="46" t="s">
        <v>32</v>
      </c>
      <c r="E851" s="46" t="s">
        <v>32</v>
      </c>
      <c r="F851" s="47">
        <f>[1]!BexGetData("DP_2","DL719O2RYNC0Y217V0FVT1R77","17","E","17021031E103","2067249011")</f>
        <v>367.2</v>
      </c>
      <c r="G851" s="48">
        <f>[1]!BexGetData("DP_2","DL719O2RYNEBZX0HTMQQ0BY0J","17","E","17021031E103","2067249011")</f>
        <v>367.2</v>
      </c>
      <c r="H851" s="48">
        <f>[1]!BexGetData("DP_2","DL719O2RYNGN1RZRS91K7M4TV","17","E","17021031E103","2067249011")</f>
        <v>367.2</v>
      </c>
      <c r="I851" s="48">
        <f>[1]!BexGetData("DP_2","DL719O2RYNIY3MZ1QVCEEWBN7","17","E","17021031E103","2067249011")</f>
        <v>0</v>
      </c>
    </row>
    <row r="852" spans="1:9" x14ac:dyDescent="0.2">
      <c r="A852" s="46" t="s">
        <v>32</v>
      </c>
      <c r="B852" s="46" t="s">
        <v>32</v>
      </c>
      <c r="C852" s="46" t="s">
        <v>32</v>
      </c>
      <c r="D852" s="46" t="s">
        <v>32</v>
      </c>
      <c r="E852" s="46" t="s">
        <v>32</v>
      </c>
      <c r="F852" s="47">
        <f>[1]!BexGetData("DP_2","DL719O2RYNC0Y217V0FVT1R77","17","E","17021031E103","2067253011")</f>
        <v>0</v>
      </c>
      <c r="G852" s="48">
        <f>[1]!BexGetData("DP_2","DL719O2RYNEBZX0HTMQQ0BY0J","17","E","17021031E103","2067253011")</f>
        <v>0</v>
      </c>
      <c r="H852" s="48">
        <f>[1]!BexGetData("DP_2","DL719O2RYNGN1RZRS91K7M4TV","17","E","17021031E103","2067253011")</f>
        <v>0</v>
      </c>
      <c r="I852" s="48">
        <f>[1]!BexGetData("DP_2","DL719O2RYNIY3MZ1QVCEEWBN7","17","E","17021031E103","2067253011")</f>
        <v>0</v>
      </c>
    </row>
    <row r="853" spans="1:9" x14ac:dyDescent="0.2">
      <c r="A853" s="46" t="s">
        <v>32</v>
      </c>
      <c r="B853" s="46" t="s">
        <v>32</v>
      </c>
      <c r="C853" s="46" t="s">
        <v>32</v>
      </c>
      <c r="D853" s="46" t="s">
        <v>32</v>
      </c>
      <c r="E853" s="46" t="s">
        <v>32</v>
      </c>
      <c r="F853" s="47">
        <f>[1]!BexGetData("DP_2","DL719O2RYNC0Y217V0FVT1R77","17","E","17021031E103","2067253021")</f>
        <v>6282.36</v>
      </c>
      <c r="G853" s="48">
        <f>[1]!BexGetData("DP_2","DL719O2RYNEBZX0HTMQQ0BY0J","17","E","17021031E103","2067253021")</f>
        <v>6282.36</v>
      </c>
      <c r="H853" s="48">
        <f>[1]!BexGetData("DP_2","DL719O2RYNGN1RZRS91K7M4TV","17","E","17021031E103","2067253021")</f>
        <v>6282.36</v>
      </c>
      <c r="I853" s="48">
        <f>[1]!BexGetData("DP_2","DL719O2RYNIY3MZ1QVCEEWBN7","17","E","17021031E103","2067253021")</f>
        <v>0</v>
      </c>
    </row>
    <row r="854" spans="1:9" x14ac:dyDescent="0.2">
      <c r="A854" s="46" t="s">
        <v>32</v>
      </c>
      <c r="B854" s="46" t="s">
        <v>32</v>
      </c>
      <c r="C854" s="46" t="s">
        <v>32</v>
      </c>
      <c r="D854" s="46" t="s">
        <v>32</v>
      </c>
      <c r="E854" s="46" t="s">
        <v>32</v>
      </c>
      <c r="F854" s="47">
        <f>[1]!BexGetData("DP_2","DL719O2RYNC0Y217V0FVT1R77","17","E","17021031E103","2067254021")</f>
        <v>27391.24</v>
      </c>
      <c r="G854" s="48">
        <f>[1]!BexGetData("DP_2","DL719O2RYNEBZX0HTMQQ0BY0J","17","E","17021031E103","2067254021")</f>
        <v>27391.24</v>
      </c>
      <c r="H854" s="48">
        <f>[1]!BexGetData("DP_2","DL719O2RYNGN1RZRS91K7M4TV","17","E","17021031E103","2067254021")</f>
        <v>27391.24</v>
      </c>
      <c r="I854" s="48">
        <f>[1]!BexGetData("DP_2","DL719O2RYNIY3MZ1QVCEEWBN7","17","E","17021031E103","2067254021")</f>
        <v>0</v>
      </c>
    </row>
    <row r="855" spans="1:9" x14ac:dyDescent="0.2">
      <c r="A855" s="46" t="s">
        <v>32</v>
      </c>
      <c r="B855" s="46" t="s">
        <v>32</v>
      </c>
      <c r="C855" s="46" t="s">
        <v>32</v>
      </c>
      <c r="D855" s="46" t="s">
        <v>32</v>
      </c>
      <c r="E855" s="46" t="s">
        <v>32</v>
      </c>
      <c r="F855" s="47">
        <f>[1]!BexGetData("DP_2","DL719O2RYNC0Y217V0FVT1R77","17","E","17021031E103","2067255011")</f>
        <v>1543.38</v>
      </c>
      <c r="G855" s="48">
        <f>[1]!BexGetData("DP_2","DL719O2RYNEBZX0HTMQQ0BY0J","17","E","17021031E103","2067255011")</f>
        <v>1543.38</v>
      </c>
      <c r="H855" s="48">
        <f>[1]!BexGetData("DP_2","DL719O2RYNGN1RZRS91K7M4TV","17","E","17021031E103","2067255011")</f>
        <v>1543.38</v>
      </c>
      <c r="I855" s="48">
        <f>[1]!BexGetData("DP_2","DL719O2RYNIY3MZ1QVCEEWBN7","17","E","17021031E103","2067255011")</f>
        <v>0</v>
      </c>
    </row>
    <row r="856" spans="1:9" x14ac:dyDescent="0.2">
      <c r="A856" s="46" t="s">
        <v>32</v>
      </c>
      <c r="B856" s="46" t="s">
        <v>32</v>
      </c>
      <c r="C856" s="46" t="s">
        <v>32</v>
      </c>
      <c r="D856" s="46" t="s">
        <v>32</v>
      </c>
      <c r="E856" s="46" t="s">
        <v>32</v>
      </c>
      <c r="F856" s="47">
        <f>[1]!BexGetData("DP_2","DL719O2RYNC0Y217V0FVT1R77","17","E","17021031E103","2067256011")</f>
        <v>4888.24</v>
      </c>
      <c r="G856" s="48">
        <f>[1]!BexGetData("DP_2","DL719O2RYNEBZX0HTMQQ0BY0J","17","E","17021031E103","2067256011")</f>
        <v>4888.24</v>
      </c>
      <c r="H856" s="48">
        <f>[1]!BexGetData("DP_2","DL719O2RYNGN1RZRS91K7M4TV","17","E","17021031E103","2067256011")</f>
        <v>4888.24</v>
      </c>
      <c r="I856" s="48">
        <f>[1]!BexGetData("DP_2","DL719O2RYNIY3MZ1QVCEEWBN7","17","E","17021031E103","2067256011")</f>
        <v>0</v>
      </c>
    </row>
    <row r="857" spans="1:9" x14ac:dyDescent="0.2">
      <c r="A857" s="46" t="s">
        <v>32</v>
      </c>
      <c r="B857" s="46" t="s">
        <v>32</v>
      </c>
      <c r="C857" s="46" t="s">
        <v>32</v>
      </c>
      <c r="D857" s="46" t="s">
        <v>32</v>
      </c>
      <c r="E857" s="46" t="s">
        <v>32</v>
      </c>
      <c r="F857" s="47">
        <f>[1]!BexGetData("DP_2","DL719O2RYNC0Y217V0FVT1R77","17","E","17021031E103","2067261011")</f>
        <v>145303.35999999999</v>
      </c>
      <c r="G857" s="48">
        <f>[1]!BexGetData("DP_2","DL719O2RYNEBZX0HTMQQ0BY0J","17","E","17021031E103","2067261011")</f>
        <v>145303.35999999999</v>
      </c>
      <c r="H857" s="48">
        <f>[1]!BexGetData("DP_2","DL719O2RYNGN1RZRS91K7M4TV","17","E","17021031E103","2067261011")</f>
        <v>129703.36</v>
      </c>
      <c r="I857" s="48">
        <f>[1]!BexGetData("DP_2","DL719O2RYNIY3MZ1QVCEEWBN7","17","E","17021031E103","2067261011")</f>
        <v>0</v>
      </c>
    </row>
    <row r="858" spans="1:9" x14ac:dyDescent="0.2">
      <c r="A858" s="46" t="s">
        <v>32</v>
      </c>
      <c r="B858" s="46" t="s">
        <v>32</v>
      </c>
      <c r="C858" s="46" t="s">
        <v>32</v>
      </c>
      <c r="D858" s="46" t="s">
        <v>32</v>
      </c>
      <c r="E858" s="46" t="s">
        <v>32</v>
      </c>
      <c r="F858" s="47">
        <f>[1]!BexGetData("DP_2","DL719O2RYNC0Y217V0FVT1R77","17","E","17021031E103","2067261021")</f>
        <v>6705.58</v>
      </c>
      <c r="G858" s="48">
        <f>[1]!BexGetData("DP_2","DL719O2RYNEBZX0HTMQQ0BY0J","17","E","17021031E103","2067261021")</f>
        <v>6705.58</v>
      </c>
      <c r="H858" s="48">
        <f>[1]!BexGetData("DP_2","DL719O2RYNGN1RZRS91K7M4TV","17","E","17021031E103","2067261021")</f>
        <v>6705.58</v>
      </c>
      <c r="I858" s="48">
        <f>[1]!BexGetData("DP_2","DL719O2RYNIY3MZ1QVCEEWBN7","17","E","17021031E103","2067261021")</f>
        <v>0</v>
      </c>
    </row>
    <row r="859" spans="1:9" x14ac:dyDescent="0.2">
      <c r="A859" s="46" t="s">
        <v>32</v>
      </c>
      <c r="B859" s="46" t="s">
        <v>32</v>
      </c>
      <c r="C859" s="46" t="s">
        <v>32</v>
      </c>
      <c r="D859" s="46" t="s">
        <v>32</v>
      </c>
      <c r="E859" s="46" t="s">
        <v>32</v>
      </c>
      <c r="F859" s="47">
        <f>[1]!BexGetData("DP_2","DL719O2RYNC0Y217V0FVT1R77","17","E","17021031E103","2067271011")</f>
        <v>18339.599999999999</v>
      </c>
      <c r="G859" s="48">
        <f>[1]!BexGetData("DP_2","DL719O2RYNEBZX0HTMQQ0BY0J","17","E","17021031E103","2067271011")</f>
        <v>18339.599999999999</v>
      </c>
      <c r="H859" s="48">
        <f>[1]!BexGetData("DP_2","DL719O2RYNGN1RZRS91K7M4TV","17","E","17021031E103","2067271011")</f>
        <v>18339.599999999999</v>
      </c>
      <c r="I859" s="48">
        <f>[1]!BexGetData("DP_2","DL719O2RYNIY3MZ1QVCEEWBN7","17","E","17021031E103","2067271011")</f>
        <v>0</v>
      </c>
    </row>
    <row r="860" spans="1:9" x14ac:dyDescent="0.2">
      <c r="A860" s="46" t="s">
        <v>32</v>
      </c>
      <c r="B860" s="46" t="s">
        <v>32</v>
      </c>
      <c r="C860" s="46" t="s">
        <v>32</v>
      </c>
      <c r="D860" s="46" t="s">
        <v>32</v>
      </c>
      <c r="E860" s="46" t="s">
        <v>32</v>
      </c>
      <c r="F860" s="47">
        <f>[1]!BexGetData("DP_2","DL719O2RYNC0Y217V0FVT1R77","17","E","17021031E103","2067272011")</f>
        <v>18317.66</v>
      </c>
      <c r="G860" s="48">
        <f>[1]!BexGetData("DP_2","DL719O2RYNEBZX0HTMQQ0BY0J","17","E","17021031E103","2067272011")</f>
        <v>18317.66</v>
      </c>
      <c r="H860" s="48">
        <f>[1]!BexGetData("DP_2","DL719O2RYNGN1RZRS91K7M4TV","17","E","17021031E103","2067272011")</f>
        <v>18317.66</v>
      </c>
      <c r="I860" s="48">
        <f>[1]!BexGetData("DP_2","DL719O2RYNIY3MZ1QVCEEWBN7","17","E","17021031E103","2067272011")</f>
        <v>0</v>
      </c>
    </row>
    <row r="861" spans="1:9" x14ac:dyDescent="0.2">
      <c r="A861" s="46" t="s">
        <v>32</v>
      </c>
      <c r="B861" s="46" t="s">
        <v>32</v>
      </c>
      <c r="C861" s="46" t="s">
        <v>32</v>
      </c>
      <c r="D861" s="46" t="s">
        <v>32</v>
      </c>
      <c r="E861" s="46" t="s">
        <v>32</v>
      </c>
      <c r="F861" s="47">
        <f>[1]!BexGetData("DP_2","DL719O2RYNC0Y217V0FVT1R77","17","E","17021031E103","2067274011")</f>
        <v>109.96</v>
      </c>
      <c r="G861" s="48">
        <f>[1]!BexGetData("DP_2","DL719O2RYNEBZX0HTMQQ0BY0J","17","E","17021031E103","2067274011")</f>
        <v>109.96</v>
      </c>
      <c r="H861" s="48">
        <f>[1]!BexGetData("DP_2","DL719O2RYNGN1RZRS91K7M4TV","17","E","17021031E103","2067274011")</f>
        <v>109.96</v>
      </c>
      <c r="I861" s="48">
        <f>[1]!BexGetData("DP_2","DL719O2RYNIY3MZ1QVCEEWBN7","17","E","17021031E103","2067274011")</f>
        <v>0</v>
      </c>
    </row>
    <row r="862" spans="1:9" x14ac:dyDescent="0.2">
      <c r="A862" s="46" t="s">
        <v>32</v>
      </c>
      <c r="B862" s="46" t="s">
        <v>32</v>
      </c>
      <c r="C862" s="46" t="s">
        <v>32</v>
      </c>
      <c r="D862" s="46" t="s">
        <v>32</v>
      </c>
      <c r="E862" s="46" t="s">
        <v>32</v>
      </c>
      <c r="F862" s="47">
        <f>[1]!BexGetData("DP_2","DL719O2RYNC0Y217V0FVT1R77","17","E","17021031E103","2067291011")</f>
        <v>9860.02</v>
      </c>
      <c r="G862" s="48">
        <f>[1]!BexGetData("DP_2","DL719O2RYNEBZX0HTMQQ0BY0J","17","E","17021031E103","2067291011")</f>
        <v>9860.02</v>
      </c>
      <c r="H862" s="48">
        <f>[1]!BexGetData("DP_2","DL719O2RYNGN1RZRS91K7M4TV","17","E","17021031E103","2067291011")</f>
        <v>9860.02</v>
      </c>
      <c r="I862" s="48">
        <f>[1]!BexGetData("DP_2","DL719O2RYNIY3MZ1QVCEEWBN7","17","E","17021031E103","2067291011")</f>
        <v>0</v>
      </c>
    </row>
    <row r="863" spans="1:9" x14ac:dyDescent="0.2">
      <c r="A863" s="46" t="s">
        <v>32</v>
      </c>
      <c r="B863" s="46" t="s">
        <v>32</v>
      </c>
      <c r="C863" s="46" t="s">
        <v>32</v>
      </c>
      <c r="D863" s="46" t="s">
        <v>32</v>
      </c>
      <c r="E863" s="46" t="s">
        <v>32</v>
      </c>
      <c r="F863" s="47">
        <f>[1]!BexGetData("DP_2","DL719O2RYNC0Y217V0FVT1R77","17","E","17021031E103","2067292011")</f>
        <v>2415.12</v>
      </c>
      <c r="G863" s="48">
        <f>[1]!BexGetData("DP_2","DL719O2RYNEBZX0HTMQQ0BY0J","17","E","17021031E103","2067292011")</f>
        <v>2415.12</v>
      </c>
      <c r="H863" s="48">
        <f>[1]!BexGetData("DP_2","DL719O2RYNGN1RZRS91K7M4TV","17","E","17021031E103","2067292011")</f>
        <v>2415.12</v>
      </c>
      <c r="I863" s="48">
        <f>[1]!BexGetData("DP_2","DL719O2RYNIY3MZ1QVCEEWBN7","17","E","17021031E103","2067292011")</f>
        <v>0</v>
      </c>
    </row>
    <row r="864" spans="1:9" x14ac:dyDescent="0.2">
      <c r="A864" s="46" t="s">
        <v>32</v>
      </c>
      <c r="B864" s="46" t="s">
        <v>32</v>
      </c>
      <c r="C864" s="46" t="s">
        <v>32</v>
      </c>
      <c r="D864" s="46" t="s">
        <v>32</v>
      </c>
      <c r="E864" s="46" t="s">
        <v>32</v>
      </c>
      <c r="F864" s="47">
        <f>[1]!BexGetData("DP_2","DL719O2RYNC0Y217V0FVT1R77","17","E","17021031E103","2067293041")</f>
        <v>2450</v>
      </c>
      <c r="G864" s="48">
        <f>[1]!BexGetData("DP_2","DL719O2RYNEBZX0HTMQQ0BY0J","17","E","17021031E103","2067293041")</f>
        <v>2450</v>
      </c>
      <c r="H864" s="48">
        <f>[1]!BexGetData("DP_2","DL719O2RYNGN1RZRS91K7M4TV","17","E","17021031E103","2067293041")</f>
        <v>2450</v>
      </c>
      <c r="I864" s="48">
        <f>[1]!BexGetData("DP_2","DL719O2RYNIY3MZ1QVCEEWBN7","17","E","17021031E103","2067293041")</f>
        <v>0</v>
      </c>
    </row>
    <row r="865" spans="1:9" x14ac:dyDescent="0.2">
      <c r="A865" s="46" t="s">
        <v>32</v>
      </c>
      <c r="B865" s="46" t="s">
        <v>32</v>
      </c>
      <c r="C865" s="46" t="s">
        <v>32</v>
      </c>
      <c r="D865" s="46" t="s">
        <v>32</v>
      </c>
      <c r="E865" s="46" t="s">
        <v>32</v>
      </c>
      <c r="F865" s="47">
        <f>[1]!BexGetData("DP_2","DL719O2RYNC0Y217V0FVT1R77","17","E","17021031E103","2067294011")</f>
        <v>243.6</v>
      </c>
      <c r="G865" s="48">
        <f>[1]!BexGetData("DP_2","DL719O2RYNEBZX0HTMQQ0BY0J","17","E","17021031E103","2067294011")</f>
        <v>243.6</v>
      </c>
      <c r="H865" s="48">
        <f>[1]!BexGetData("DP_2","DL719O2RYNGN1RZRS91K7M4TV","17","E","17021031E103","2067294011")</f>
        <v>243.6</v>
      </c>
      <c r="I865" s="48">
        <f>[1]!BexGetData("DP_2","DL719O2RYNIY3MZ1QVCEEWBN7","17","E","17021031E103","2067294011")</f>
        <v>0</v>
      </c>
    </row>
    <row r="866" spans="1:9" x14ac:dyDescent="0.2">
      <c r="A866" s="46" t="s">
        <v>32</v>
      </c>
      <c r="B866" s="46" t="s">
        <v>32</v>
      </c>
      <c r="C866" s="46" t="s">
        <v>32</v>
      </c>
      <c r="D866" s="46" t="s">
        <v>32</v>
      </c>
      <c r="E866" s="46" t="s">
        <v>32</v>
      </c>
      <c r="F866" s="47">
        <f>[1]!BexGetData("DP_2","DL719O2RYNC0Y217V0FVT1R77","17","E","17021031E103","2067296011")</f>
        <v>30450.02</v>
      </c>
      <c r="G866" s="48">
        <f>[1]!BexGetData("DP_2","DL719O2RYNEBZX0HTMQQ0BY0J","17","E","17021031E103","2067296011")</f>
        <v>30450.02</v>
      </c>
      <c r="H866" s="48">
        <f>[1]!BexGetData("DP_2","DL719O2RYNGN1RZRS91K7M4TV","17","E","17021031E103","2067296011")</f>
        <v>30450.02</v>
      </c>
      <c r="I866" s="48">
        <f>[1]!BexGetData("DP_2","DL719O2RYNIY3MZ1QVCEEWBN7","17","E","17021031E103","2067296011")</f>
        <v>0</v>
      </c>
    </row>
    <row r="867" spans="1:9" x14ac:dyDescent="0.2">
      <c r="A867" s="46" t="s">
        <v>32</v>
      </c>
      <c r="B867" s="46" t="s">
        <v>32</v>
      </c>
      <c r="C867" s="46" t="s">
        <v>32</v>
      </c>
      <c r="D867" s="46" t="s">
        <v>32</v>
      </c>
      <c r="E867" s="46" t="s">
        <v>32</v>
      </c>
      <c r="F867" s="47">
        <f>[1]!BexGetData("DP_2","DL719O2RYNC0Y217V0FVT1R77","17","E","17021031E103","2067298011")</f>
        <v>0</v>
      </c>
      <c r="G867" s="48">
        <f>[1]!BexGetData("DP_2","DL719O2RYNEBZX0HTMQQ0BY0J","17","E","17021031E103","2067298011")</f>
        <v>0</v>
      </c>
      <c r="H867" s="48">
        <f>[1]!BexGetData("DP_2","DL719O2RYNGN1RZRS91K7M4TV","17","E","17021031E103","2067298011")</f>
        <v>0</v>
      </c>
      <c r="I867" s="48">
        <f>[1]!BexGetData("DP_2","DL719O2RYNIY3MZ1QVCEEWBN7","17","E","17021031E103","2067298011")</f>
        <v>0</v>
      </c>
    </row>
    <row r="868" spans="1:9" x14ac:dyDescent="0.2">
      <c r="A868" s="46" t="s">
        <v>32</v>
      </c>
      <c r="B868" s="46" t="s">
        <v>32</v>
      </c>
      <c r="C868" s="46" t="s">
        <v>32</v>
      </c>
      <c r="D868" s="46" t="s">
        <v>32</v>
      </c>
      <c r="E868" s="46" t="s">
        <v>32</v>
      </c>
      <c r="F868" s="47">
        <f>[1]!BexGetData("DP_2","DL719O2RYNC0Y217V0FVT1R77","17","E","17021031E103","2067298041")</f>
        <v>8179</v>
      </c>
      <c r="G868" s="48">
        <f>[1]!BexGetData("DP_2","DL719O2RYNEBZX0HTMQQ0BY0J","17","E","17021031E103","2067298041")</f>
        <v>8179</v>
      </c>
      <c r="H868" s="48">
        <f>[1]!BexGetData("DP_2","DL719O2RYNGN1RZRS91K7M4TV","17","E","17021031E103","2067298041")</f>
        <v>8179</v>
      </c>
      <c r="I868" s="48">
        <f>[1]!BexGetData("DP_2","DL719O2RYNIY3MZ1QVCEEWBN7","17","E","17021031E103","2067298041")</f>
        <v>0</v>
      </c>
    </row>
    <row r="869" spans="1:9" x14ac:dyDescent="0.2">
      <c r="A869" s="46" t="s">
        <v>32</v>
      </c>
      <c r="B869" s="46" t="s">
        <v>32</v>
      </c>
      <c r="C869" s="46" t="s">
        <v>32</v>
      </c>
      <c r="D869" s="46" t="s">
        <v>32</v>
      </c>
      <c r="E869" s="46" t="s">
        <v>32</v>
      </c>
      <c r="F869" s="47">
        <f>[1]!BexGetData("DP_2","DL719O2RYNC0Y217V0FVT1R77","17","E","17021031E103","2067298061")</f>
        <v>480</v>
      </c>
      <c r="G869" s="48">
        <f>[1]!BexGetData("DP_2","DL719O2RYNEBZX0HTMQQ0BY0J","17","E","17021031E103","2067298061")</f>
        <v>480</v>
      </c>
      <c r="H869" s="48">
        <f>[1]!BexGetData("DP_2","DL719O2RYNGN1RZRS91K7M4TV","17","E","17021031E103","2067298061")</f>
        <v>480</v>
      </c>
      <c r="I869" s="48">
        <f>[1]!BexGetData("DP_2","DL719O2RYNIY3MZ1QVCEEWBN7","17","E","17021031E103","2067298061")</f>
        <v>0</v>
      </c>
    </row>
    <row r="870" spans="1:9" x14ac:dyDescent="0.2">
      <c r="A870" s="46" t="s">
        <v>32</v>
      </c>
      <c r="B870" s="46" t="s">
        <v>32</v>
      </c>
      <c r="C870" s="46" t="s">
        <v>32</v>
      </c>
      <c r="D870" s="46" t="s">
        <v>32</v>
      </c>
      <c r="E870" s="46" t="s">
        <v>32</v>
      </c>
      <c r="F870" s="47">
        <f>[1]!BexGetData("DP_2","DL719O2RYNC0Y217V0FVT1R77","17","E","17021031E103","2067311011")</f>
        <v>18729.12</v>
      </c>
      <c r="G870" s="48">
        <f>[1]!BexGetData("DP_2","DL719O2RYNEBZX0HTMQQ0BY0J","17","E","17021031E103","2067311011")</f>
        <v>18729.12</v>
      </c>
      <c r="H870" s="48">
        <f>[1]!BexGetData("DP_2","DL719O2RYNGN1RZRS91K7M4TV","17","E","17021031E103","2067311011")</f>
        <v>18729.12</v>
      </c>
      <c r="I870" s="48">
        <f>[1]!BexGetData("DP_2","DL719O2RYNIY3MZ1QVCEEWBN7","17","E","17021031E103","2067311011")</f>
        <v>0</v>
      </c>
    </row>
    <row r="871" spans="1:9" x14ac:dyDescent="0.2">
      <c r="A871" s="46" t="s">
        <v>32</v>
      </c>
      <c r="B871" s="46" t="s">
        <v>32</v>
      </c>
      <c r="C871" s="46" t="s">
        <v>32</v>
      </c>
      <c r="D871" s="46" t="s">
        <v>32</v>
      </c>
      <c r="E871" s="46" t="s">
        <v>32</v>
      </c>
      <c r="F871" s="47">
        <f>[1]!BexGetData("DP_2","DL719O2RYNC0Y217V0FVT1R77","17","E","17021031E103","2067313011")</f>
        <v>12016</v>
      </c>
      <c r="G871" s="48">
        <f>[1]!BexGetData("DP_2","DL719O2RYNEBZX0HTMQQ0BY0J","17","E","17021031E103","2067313011")</f>
        <v>12016</v>
      </c>
      <c r="H871" s="48">
        <f>[1]!BexGetData("DP_2","DL719O2RYNGN1RZRS91K7M4TV","17","E","17021031E103","2067313011")</f>
        <v>12016</v>
      </c>
      <c r="I871" s="48">
        <f>[1]!BexGetData("DP_2","DL719O2RYNIY3MZ1QVCEEWBN7","17","E","17021031E103","2067313011")</f>
        <v>0</v>
      </c>
    </row>
    <row r="872" spans="1:9" x14ac:dyDescent="0.2">
      <c r="A872" s="46" t="s">
        <v>32</v>
      </c>
      <c r="B872" s="46" t="s">
        <v>32</v>
      </c>
      <c r="C872" s="46" t="s">
        <v>32</v>
      </c>
      <c r="D872" s="46" t="s">
        <v>32</v>
      </c>
      <c r="E872" s="46" t="s">
        <v>32</v>
      </c>
      <c r="F872" s="47">
        <f>[1]!BexGetData("DP_2","DL719O2RYNC0Y217V0FVT1R77","17","E","17021031E103","2067314011")</f>
        <v>13200.49</v>
      </c>
      <c r="G872" s="48">
        <f>[1]!BexGetData("DP_2","DL719O2RYNEBZX0HTMQQ0BY0J","17","E","17021031E103","2067314011")</f>
        <v>13200.49</v>
      </c>
      <c r="H872" s="48">
        <f>[1]!BexGetData("DP_2","DL719O2RYNGN1RZRS91K7M4TV","17","E","17021031E103","2067314011")</f>
        <v>13200.49</v>
      </c>
      <c r="I872" s="48">
        <f>[1]!BexGetData("DP_2","DL719O2RYNIY3MZ1QVCEEWBN7","17","E","17021031E103","2067314011")</f>
        <v>0</v>
      </c>
    </row>
    <row r="873" spans="1:9" x14ac:dyDescent="0.2">
      <c r="A873" s="46" t="s">
        <v>32</v>
      </c>
      <c r="B873" s="46" t="s">
        <v>32</v>
      </c>
      <c r="C873" s="46" t="s">
        <v>32</v>
      </c>
      <c r="D873" s="46" t="s">
        <v>32</v>
      </c>
      <c r="E873" s="46" t="s">
        <v>32</v>
      </c>
      <c r="F873" s="47">
        <f>[1]!BexGetData("DP_2","DL719O2RYNC0Y217V0FVT1R77","17","E","17021031E103","2067322011")</f>
        <v>328278.8</v>
      </c>
      <c r="G873" s="48">
        <f>[1]!BexGetData("DP_2","DL719O2RYNEBZX0HTMQQ0BY0J","17","E","17021031E103","2067322011")</f>
        <v>328278.8</v>
      </c>
      <c r="H873" s="48">
        <f>[1]!BexGetData("DP_2","DL719O2RYNGN1RZRS91K7M4TV","17","E","17021031E103","2067322011")</f>
        <v>300920.3</v>
      </c>
      <c r="I873" s="48">
        <f>[1]!BexGetData("DP_2","DL719O2RYNIY3MZ1QVCEEWBN7","17","E","17021031E103","2067322011")</f>
        <v>0</v>
      </c>
    </row>
    <row r="874" spans="1:9" x14ac:dyDescent="0.2">
      <c r="A874" s="46" t="s">
        <v>32</v>
      </c>
      <c r="B874" s="46" t="s">
        <v>32</v>
      </c>
      <c r="C874" s="46" t="s">
        <v>32</v>
      </c>
      <c r="D874" s="46" t="s">
        <v>32</v>
      </c>
      <c r="E874" s="46" t="s">
        <v>32</v>
      </c>
      <c r="F874" s="47">
        <f>[1]!BexGetData("DP_2","DL719O2RYNC0Y217V0FVT1R77","17","E","17021031E103","2067336011")</f>
        <v>15707.27</v>
      </c>
      <c r="G874" s="48">
        <f>[1]!BexGetData("DP_2","DL719O2RYNEBZX0HTMQQ0BY0J","17","E","17021031E103","2067336011")</f>
        <v>15707.27</v>
      </c>
      <c r="H874" s="48">
        <f>[1]!BexGetData("DP_2","DL719O2RYNGN1RZRS91K7M4TV","17","E","17021031E103","2067336011")</f>
        <v>13387.27</v>
      </c>
      <c r="I874" s="48">
        <f>[1]!BexGetData("DP_2","DL719O2RYNIY3MZ1QVCEEWBN7","17","E","17021031E103","2067336011")</f>
        <v>0</v>
      </c>
    </row>
    <row r="875" spans="1:9" x14ac:dyDescent="0.2">
      <c r="A875" s="46" t="s">
        <v>32</v>
      </c>
      <c r="B875" s="46" t="s">
        <v>32</v>
      </c>
      <c r="C875" s="46" t="s">
        <v>32</v>
      </c>
      <c r="D875" s="46" t="s">
        <v>32</v>
      </c>
      <c r="E875" s="46" t="s">
        <v>32</v>
      </c>
      <c r="F875" s="47">
        <f>[1]!BexGetData("DP_2","DL719O2RYNC0Y217V0FVT1R77","17","E","17021031E103","2067351011")</f>
        <v>1392</v>
      </c>
      <c r="G875" s="48">
        <f>[1]!BexGetData("DP_2","DL719O2RYNEBZX0HTMQQ0BY0J","17","E","17021031E103","2067351011")</f>
        <v>1392</v>
      </c>
      <c r="H875" s="48">
        <f>[1]!BexGetData("DP_2","DL719O2RYNGN1RZRS91K7M4TV","17","E","17021031E103","2067351011")</f>
        <v>1392</v>
      </c>
      <c r="I875" s="48">
        <f>[1]!BexGetData("DP_2","DL719O2RYNIY3MZ1QVCEEWBN7","17","E","17021031E103","2067351011")</f>
        <v>0</v>
      </c>
    </row>
    <row r="876" spans="1:9" x14ac:dyDescent="0.2">
      <c r="A876" s="46" t="s">
        <v>32</v>
      </c>
      <c r="B876" s="46" t="s">
        <v>32</v>
      </c>
      <c r="C876" s="46" t="s">
        <v>32</v>
      </c>
      <c r="D876" s="46" t="s">
        <v>32</v>
      </c>
      <c r="E876" s="46" t="s">
        <v>32</v>
      </c>
      <c r="F876" s="47">
        <f>[1]!BexGetData("DP_2","DL719O2RYNC0Y217V0FVT1R77","17","E","17021031E103","2067355011")</f>
        <v>101741.46</v>
      </c>
      <c r="G876" s="48">
        <f>[1]!BexGetData("DP_2","DL719O2RYNEBZX0HTMQQ0BY0J","17","E","17021031E103","2067355011")</f>
        <v>101741.46</v>
      </c>
      <c r="H876" s="48">
        <f>[1]!BexGetData("DP_2","DL719O2RYNGN1RZRS91K7M4TV","17","E","17021031E103","2067355011")</f>
        <v>95230.38</v>
      </c>
      <c r="I876" s="48">
        <f>[1]!BexGetData("DP_2","DL719O2RYNIY3MZ1QVCEEWBN7","17","E","17021031E103","2067355011")</f>
        <v>0</v>
      </c>
    </row>
    <row r="877" spans="1:9" x14ac:dyDescent="0.2">
      <c r="A877" s="46" t="s">
        <v>32</v>
      </c>
      <c r="B877" s="46" t="s">
        <v>32</v>
      </c>
      <c r="C877" s="46" t="s">
        <v>32</v>
      </c>
      <c r="D877" s="46" t="s">
        <v>32</v>
      </c>
      <c r="E877" s="46" t="s">
        <v>32</v>
      </c>
      <c r="F877" s="47">
        <f>[1]!BexGetData("DP_2","DL719O2RYNC0Y217V0FVT1R77","17","E","17021031E103","2067357011")</f>
        <v>0</v>
      </c>
      <c r="G877" s="48">
        <f>[1]!BexGetData("DP_2","DL719O2RYNEBZX0HTMQQ0BY0J","17","E","17021031E103","2067357011")</f>
        <v>0</v>
      </c>
      <c r="H877" s="48">
        <f>[1]!BexGetData("DP_2","DL719O2RYNGN1RZRS91K7M4TV","17","E","17021031E103","2067357011")</f>
        <v>0</v>
      </c>
      <c r="I877" s="48">
        <f>[1]!BexGetData("DP_2","DL719O2RYNIY3MZ1QVCEEWBN7","17","E","17021031E103","2067357011")</f>
        <v>0</v>
      </c>
    </row>
    <row r="878" spans="1:9" x14ac:dyDescent="0.2">
      <c r="A878" s="46" t="s">
        <v>32</v>
      </c>
      <c r="B878" s="46" t="s">
        <v>32</v>
      </c>
      <c r="C878" s="46" t="s">
        <v>32</v>
      </c>
      <c r="D878" s="46" t="s">
        <v>32</v>
      </c>
      <c r="E878" s="46" t="s">
        <v>32</v>
      </c>
      <c r="F878" s="47">
        <f>[1]!BexGetData("DP_2","DL719O2RYNC0Y217V0FVT1R77","17","E","17021031E103","2067357041")</f>
        <v>4633</v>
      </c>
      <c r="G878" s="48">
        <f>[1]!BexGetData("DP_2","DL719O2RYNEBZX0HTMQQ0BY0J","17","E","17021031E103","2067357041")</f>
        <v>4633</v>
      </c>
      <c r="H878" s="48">
        <f>[1]!BexGetData("DP_2","DL719O2RYNGN1RZRS91K7M4TV","17","E","17021031E103","2067357041")</f>
        <v>4633</v>
      </c>
      <c r="I878" s="48">
        <f>[1]!BexGetData("DP_2","DL719O2RYNIY3MZ1QVCEEWBN7","17","E","17021031E103","2067357041")</f>
        <v>0</v>
      </c>
    </row>
    <row r="879" spans="1:9" x14ac:dyDescent="0.2">
      <c r="A879" s="46" t="s">
        <v>32</v>
      </c>
      <c r="B879" s="46" t="s">
        <v>32</v>
      </c>
      <c r="C879" s="46" t="s">
        <v>32</v>
      </c>
      <c r="D879" s="46" t="s">
        <v>32</v>
      </c>
      <c r="E879" s="46" t="s">
        <v>32</v>
      </c>
      <c r="F879" s="47">
        <f>[1]!BexGetData("DP_2","DL719O2RYNC0Y217V0FVT1R77","17","E","17021031E103","2067357071")</f>
        <v>3060</v>
      </c>
      <c r="G879" s="48">
        <f>[1]!BexGetData("DP_2","DL719O2RYNEBZX0HTMQQ0BY0J","17","E","17021031E103","2067357071")</f>
        <v>3060</v>
      </c>
      <c r="H879" s="48">
        <f>[1]!BexGetData("DP_2","DL719O2RYNGN1RZRS91K7M4TV","17","E","17021031E103","2067357071")</f>
        <v>3060</v>
      </c>
      <c r="I879" s="48">
        <f>[1]!BexGetData("DP_2","DL719O2RYNIY3MZ1QVCEEWBN7","17","E","17021031E103","2067357071")</f>
        <v>0</v>
      </c>
    </row>
    <row r="880" spans="1:9" x14ac:dyDescent="0.2">
      <c r="A880" s="46" t="s">
        <v>32</v>
      </c>
      <c r="B880" s="46" t="s">
        <v>32</v>
      </c>
      <c r="C880" s="46" t="s">
        <v>32</v>
      </c>
      <c r="D880" s="46" t="s">
        <v>32</v>
      </c>
      <c r="E880" s="46" t="s">
        <v>32</v>
      </c>
      <c r="F880" s="47">
        <f>[1]!BexGetData("DP_2","DL719O2RYNC0Y217V0FVT1R77","17","E","17021031E103","2067357091")</f>
        <v>5454.96</v>
      </c>
      <c r="G880" s="48">
        <f>[1]!BexGetData("DP_2","DL719O2RYNEBZX0HTMQQ0BY0J","17","E","17021031E103","2067357091")</f>
        <v>5454.96</v>
      </c>
      <c r="H880" s="48">
        <f>[1]!BexGetData("DP_2","DL719O2RYNGN1RZRS91K7M4TV","17","E","17021031E103","2067357091")</f>
        <v>5454.96</v>
      </c>
      <c r="I880" s="48">
        <f>[1]!BexGetData("DP_2","DL719O2RYNIY3MZ1QVCEEWBN7","17","E","17021031E103","2067357091")</f>
        <v>0</v>
      </c>
    </row>
    <row r="881" spans="1:9" x14ac:dyDescent="0.2">
      <c r="A881" s="46" t="s">
        <v>32</v>
      </c>
      <c r="B881" s="46" t="s">
        <v>32</v>
      </c>
      <c r="C881" s="46" t="s">
        <v>32</v>
      </c>
      <c r="D881" s="46" t="s">
        <v>32</v>
      </c>
      <c r="E881" s="46" t="s">
        <v>32</v>
      </c>
      <c r="F881" s="47">
        <f>[1]!BexGetData("DP_2","DL719O2RYNC0Y217V0FVT1R77","17","E","17021031E103","2067361011")</f>
        <v>2697</v>
      </c>
      <c r="G881" s="48">
        <f>[1]!BexGetData("DP_2","DL719O2RYNEBZX0HTMQQ0BY0J","17","E","17021031E103","2067361011")</f>
        <v>2697</v>
      </c>
      <c r="H881" s="48">
        <f>[1]!BexGetData("DP_2","DL719O2RYNGN1RZRS91K7M4TV","17","E","17021031E103","2067361011")</f>
        <v>2697</v>
      </c>
      <c r="I881" s="48">
        <f>[1]!BexGetData("DP_2","DL719O2RYNIY3MZ1QVCEEWBN7","17","E","17021031E103","2067361011")</f>
        <v>0</v>
      </c>
    </row>
    <row r="882" spans="1:9" x14ac:dyDescent="0.2">
      <c r="A882" s="46" t="s">
        <v>32</v>
      </c>
      <c r="B882" s="46" t="s">
        <v>32</v>
      </c>
      <c r="C882" s="46" t="s">
        <v>32</v>
      </c>
      <c r="D882" s="46" t="s">
        <v>32</v>
      </c>
      <c r="E882" s="46" t="s">
        <v>32</v>
      </c>
      <c r="F882" s="47">
        <f>[1]!BexGetData("DP_2","DL719O2RYNC0Y217V0FVT1R77","17","E","17021031E103","2067372011")</f>
        <v>5278</v>
      </c>
      <c r="G882" s="48">
        <f>[1]!BexGetData("DP_2","DL719O2RYNEBZX0HTMQQ0BY0J","17","E","17021031E103","2067372011")</f>
        <v>5278</v>
      </c>
      <c r="H882" s="48">
        <f>[1]!BexGetData("DP_2","DL719O2RYNGN1RZRS91K7M4TV","17","E","17021031E103","2067372011")</f>
        <v>5278</v>
      </c>
      <c r="I882" s="48">
        <f>[1]!BexGetData("DP_2","DL719O2RYNIY3MZ1QVCEEWBN7","17","E","17021031E103","2067372011")</f>
        <v>0</v>
      </c>
    </row>
    <row r="883" spans="1:9" x14ac:dyDescent="0.2">
      <c r="A883" s="46" t="s">
        <v>32</v>
      </c>
      <c r="B883" s="46" t="s">
        <v>32</v>
      </c>
      <c r="C883" s="46" t="s">
        <v>32</v>
      </c>
      <c r="D883" s="46" t="s">
        <v>32</v>
      </c>
      <c r="E883" s="46" t="s">
        <v>32</v>
      </c>
      <c r="F883" s="47">
        <f>[1]!BexGetData("DP_2","DL719O2RYNC0Y217V0FVT1R77","17","E","17021031E103","2067375011")</f>
        <v>0</v>
      </c>
      <c r="G883" s="48">
        <f>[1]!BexGetData("DP_2","DL719O2RYNEBZX0HTMQQ0BY0J","17","E","17021031E103","2067375011")</f>
        <v>0</v>
      </c>
      <c r="H883" s="48">
        <f>[1]!BexGetData("DP_2","DL719O2RYNGN1RZRS91K7M4TV","17","E","17021031E103","2067375011")</f>
        <v>0</v>
      </c>
      <c r="I883" s="48">
        <f>[1]!BexGetData("DP_2","DL719O2RYNIY3MZ1QVCEEWBN7","17","E","17021031E103","2067375011")</f>
        <v>0</v>
      </c>
    </row>
    <row r="884" spans="1:9" x14ac:dyDescent="0.2">
      <c r="A884" s="46" t="s">
        <v>32</v>
      </c>
      <c r="B884" s="46" t="s">
        <v>32</v>
      </c>
      <c r="C884" s="46" t="s">
        <v>32</v>
      </c>
      <c r="D884" s="46" t="s">
        <v>32</v>
      </c>
      <c r="E884" s="46" t="s">
        <v>32</v>
      </c>
      <c r="F884" s="47">
        <f>[1]!BexGetData("DP_2","DL719O2RYNC0Y217V0FVT1R77","17","E","17021031E103","2067399031")</f>
        <v>6344.03</v>
      </c>
      <c r="G884" s="48">
        <f>[1]!BexGetData("DP_2","DL719O2RYNEBZX0HTMQQ0BY0J","17","E","17021031E103","2067399031")</f>
        <v>6344.03</v>
      </c>
      <c r="H884" s="48">
        <f>[1]!BexGetData("DP_2","DL719O2RYNGN1RZRS91K7M4TV","17","E","17021031E103","2067399031")</f>
        <v>6344.03</v>
      </c>
      <c r="I884" s="48">
        <f>[1]!BexGetData("DP_2","DL719O2RYNIY3MZ1QVCEEWBN7","17","E","17021031E103","2067399031")</f>
        <v>0</v>
      </c>
    </row>
    <row r="885" spans="1:9" x14ac:dyDescent="0.2">
      <c r="A885" s="46" t="s">
        <v>32</v>
      </c>
      <c r="B885" s="46" t="s">
        <v>32</v>
      </c>
      <c r="C885" s="46" t="s">
        <v>32</v>
      </c>
      <c r="D885" s="46" t="s">
        <v>32</v>
      </c>
      <c r="E885" s="46" t="s">
        <v>32</v>
      </c>
      <c r="F885" s="47">
        <f>[1]!BexGetData("DP_2","DL719O2RYNC0Y217V0FVT1R77","17","E","17021031E103","2067515012")</f>
        <v>0</v>
      </c>
      <c r="G885" s="48">
        <f>[1]!BexGetData("DP_2","DL719O2RYNEBZX0HTMQQ0BY0J","17","E","17021031E103","2067515012")</f>
        <v>0</v>
      </c>
      <c r="H885" s="48">
        <f>[1]!BexGetData("DP_2","DL719O2RYNGN1RZRS91K7M4TV","17","E","17021031E103","2067515012")</f>
        <v>0</v>
      </c>
      <c r="I885" s="48">
        <f>[1]!BexGetData("DP_2","DL719O2RYNIY3MZ1QVCEEWBN7","17","E","17021031E103","2067515012")</f>
        <v>0</v>
      </c>
    </row>
    <row r="886" spans="1:9" x14ac:dyDescent="0.2">
      <c r="A886" s="46" t="s">
        <v>32</v>
      </c>
      <c r="B886" s="46" t="s">
        <v>32</v>
      </c>
      <c r="C886" s="46" t="s">
        <v>32</v>
      </c>
      <c r="D886" s="46" t="s">
        <v>32</v>
      </c>
      <c r="E886" s="46" t="s">
        <v>32</v>
      </c>
      <c r="F886" s="47">
        <f>[1]!BexGetData("DP_2","DL719O2RYNC0Y217V0FVT1R77","17","E","17021031E103","2067567012")</f>
        <v>29577</v>
      </c>
      <c r="G886" s="48">
        <f>[1]!BexGetData("DP_2","DL719O2RYNEBZX0HTMQQ0BY0J","17","E","17021031E103","2067567012")</f>
        <v>29577</v>
      </c>
      <c r="H886" s="48">
        <f>[1]!BexGetData("DP_2","DL719O2RYNGN1RZRS91K7M4TV","17","E","17021031E103","2067567012")</f>
        <v>0</v>
      </c>
      <c r="I886" s="48">
        <f>[1]!BexGetData("DP_2","DL719O2RYNIY3MZ1QVCEEWBN7","17","E","17021031E103","2067567012")</f>
        <v>0</v>
      </c>
    </row>
    <row r="887" spans="1:9" x14ac:dyDescent="0.2">
      <c r="A887" s="46" t="s">
        <v>32</v>
      </c>
      <c r="B887" s="46" t="s">
        <v>32</v>
      </c>
      <c r="C887" s="46" t="s">
        <v>100</v>
      </c>
      <c r="D887" s="46" t="s">
        <v>101</v>
      </c>
      <c r="E887" s="46" t="s">
        <v>32</v>
      </c>
      <c r="F887" s="49" t="str">
        <f>[1]!BexGetData("DP_2","DL719O2RYNC0Y217V0FVT1R77","17","E","17031011E101","2067549012")</f>
        <v/>
      </c>
      <c r="G887" s="48">
        <f>[1]!BexGetData("DP_2","DL719O2RYNEBZX0HTMQQ0BY0J","17","E","17031011E101","2067549012")</f>
        <v>0</v>
      </c>
      <c r="H887" s="48">
        <f>[1]!BexGetData("DP_2","DL719O2RYNGN1RZRS91K7M4TV","17","E","17031011E101","2067549012")</f>
        <v>0</v>
      </c>
      <c r="I887" s="48">
        <f>[1]!BexGetData("DP_2","DL719O2RYNIY3MZ1QVCEEWBN7","17","E","17031011E101","2067549012")</f>
        <v>0</v>
      </c>
    </row>
    <row r="888" spans="1:9" x14ac:dyDescent="0.2">
      <c r="A888" s="46" t="s">
        <v>32</v>
      </c>
      <c r="B888" s="46" t="s">
        <v>32</v>
      </c>
      <c r="C888" s="46" t="s">
        <v>102</v>
      </c>
      <c r="D888" s="46" t="s">
        <v>102</v>
      </c>
      <c r="E888" s="46" t="s">
        <v>32</v>
      </c>
      <c r="F888" s="47">
        <f>[1]!BexGetData("DP_2","DL719O2RYNC0Y217V0FVT1R77","17","E","17031011E103","2067134011")</f>
        <v>0</v>
      </c>
      <c r="G888" s="48">
        <f>[1]!BexGetData("DP_2","DL719O2RYNEBZX0HTMQQ0BY0J","17","E","17031011E103","2067134011")</f>
        <v>0</v>
      </c>
      <c r="H888" s="48">
        <f>[1]!BexGetData("DP_2","DL719O2RYNGN1RZRS91K7M4TV","17","E","17031011E103","2067134011")</f>
        <v>0</v>
      </c>
      <c r="I888" s="48">
        <f>[1]!BexGetData("DP_2","DL719O2RYNIY3MZ1QVCEEWBN7","17","E","17031011E103","2067134011")</f>
        <v>-1.0000000000000001E-9</v>
      </c>
    </row>
    <row r="889" spans="1:9" x14ac:dyDescent="0.2">
      <c r="A889" s="46" t="s">
        <v>32</v>
      </c>
      <c r="B889" s="46" t="s">
        <v>32</v>
      </c>
      <c r="C889" s="46" t="s">
        <v>32</v>
      </c>
      <c r="D889" s="46" t="s">
        <v>32</v>
      </c>
      <c r="E889" s="46" t="s">
        <v>32</v>
      </c>
      <c r="F889" s="47">
        <f>[1]!BexGetData("DP_2","DL719O2RYNC0Y217V0FVT1R77","17","E","17031011E103","2067141011")</f>
        <v>2071</v>
      </c>
      <c r="G889" s="48">
        <f>[1]!BexGetData("DP_2","DL719O2RYNEBZX0HTMQQ0BY0J","17","E","17031011E103","2067141011")</f>
        <v>2071</v>
      </c>
      <c r="H889" s="48">
        <f>[1]!BexGetData("DP_2","DL719O2RYNGN1RZRS91K7M4TV","17","E","17031011E103","2067141011")</f>
        <v>2071</v>
      </c>
      <c r="I889" s="48">
        <f>[1]!BexGetData("DP_2","DL719O2RYNIY3MZ1QVCEEWBN7","17","E","17031011E103","2067141011")</f>
        <v>0</v>
      </c>
    </row>
    <row r="890" spans="1:9" x14ac:dyDescent="0.2">
      <c r="A890" s="46" t="s">
        <v>32</v>
      </c>
      <c r="B890" s="46" t="s">
        <v>32</v>
      </c>
      <c r="C890" s="46" t="s">
        <v>32</v>
      </c>
      <c r="D890" s="46" t="s">
        <v>32</v>
      </c>
      <c r="E890" s="46" t="s">
        <v>32</v>
      </c>
      <c r="F890" s="47">
        <f>[1]!BexGetData("DP_2","DL719O2RYNC0Y217V0FVT1R77","17","E","17031011E103","2067141021")</f>
        <v>1353.72</v>
      </c>
      <c r="G890" s="48">
        <f>[1]!BexGetData("DP_2","DL719O2RYNEBZX0HTMQQ0BY0J","17","E","17031011E103","2067141021")</f>
        <v>1353.72</v>
      </c>
      <c r="H890" s="48">
        <f>[1]!BexGetData("DP_2","DL719O2RYNGN1RZRS91K7M4TV","17","E","17031011E103","2067141021")</f>
        <v>1353.72</v>
      </c>
      <c r="I890" s="48">
        <f>[1]!BexGetData("DP_2","DL719O2RYNIY3MZ1QVCEEWBN7","17","E","17031011E103","2067141021")</f>
        <v>0</v>
      </c>
    </row>
    <row r="891" spans="1:9" x14ac:dyDescent="0.2">
      <c r="A891" s="46" t="s">
        <v>32</v>
      </c>
      <c r="B891" s="46" t="s">
        <v>32</v>
      </c>
      <c r="C891" s="46" t="s">
        <v>32</v>
      </c>
      <c r="D891" s="46" t="s">
        <v>32</v>
      </c>
      <c r="E891" s="46" t="s">
        <v>32</v>
      </c>
      <c r="F891" s="47">
        <f>[1]!BexGetData("DP_2","DL719O2RYNC0Y217V0FVT1R77","17","E","17031011E103","2067143011")</f>
        <v>633.32000000000005</v>
      </c>
      <c r="G891" s="48">
        <f>[1]!BexGetData("DP_2","DL719O2RYNEBZX0HTMQQ0BY0J","17","E","17031011E103","2067143011")</f>
        <v>633.32000000000005</v>
      </c>
      <c r="H891" s="48">
        <f>[1]!BexGetData("DP_2","DL719O2RYNGN1RZRS91K7M4TV","17","E","17031011E103","2067143011")</f>
        <v>633.32000000000005</v>
      </c>
      <c r="I891" s="48">
        <f>[1]!BexGetData("DP_2","DL719O2RYNIY3MZ1QVCEEWBN7","17","E","17031011E103","2067143011")</f>
        <v>0</v>
      </c>
    </row>
    <row r="892" spans="1:9" x14ac:dyDescent="0.2">
      <c r="A892" s="46" t="s">
        <v>32</v>
      </c>
      <c r="B892" s="46" t="s">
        <v>32</v>
      </c>
      <c r="C892" s="46" t="s">
        <v>32</v>
      </c>
      <c r="D892" s="46" t="s">
        <v>32</v>
      </c>
      <c r="E892" s="46" t="s">
        <v>32</v>
      </c>
      <c r="F892" s="47">
        <f>[1]!BexGetData("DP_2","DL719O2RYNC0Y217V0FVT1R77","17","E","17031011E103","2067171021")</f>
        <v>6484688.0499999998</v>
      </c>
      <c r="G892" s="48">
        <f>[1]!BexGetData("DP_2","DL719O2RYNEBZX0HTMQQ0BY0J","17","E","17031011E103","2067171021")</f>
        <v>6484688.0499999998</v>
      </c>
      <c r="H892" s="48">
        <f>[1]!BexGetData("DP_2","DL719O2RYNGN1RZRS91K7M4TV","17","E","17031011E103","2067171021")</f>
        <v>7785868.5</v>
      </c>
      <c r="I892" s="48">
        <f>[1]!BexGetData("DP_2","DL719O2RYNIY3MZ1QVCEEWBN7","17","E","17031011E103","2067171021")</f>
        <v>2.0000000000000001E-9</v>
      </c>
    </row>
    <row r="893" spans="1:9" x14ac:dyDescent="0.2">
      <c r="A893" s="46" t="s">
        <v>32</v>
      </c>
      <c r="B893" s="46" t="s">
        <v>32</v>
      </c>
      <c r="C893" s="46" t="s">
        <v>32</v>
      </c>
      <c r="D893" s="46" t="s">
        <v>32</v>
      </c>
      <c r="E893" s="46" t="s">
        <v>32</v>
      </c>
      <c r="F893" s="47">
        <f>[1]!BexGetData("DP_2","DL719O2RYNC0Y217V0FVT1R77","17","E","17031011E103","2067211011")</f>
        <v>365739.27</v>
      </c>
      <c r="G893" s="48">
        <f>[1]!BexGetData("DP_2","DL719O2RYNEBZX0HTMQQ0BY0J","17","E","17031011E103","2067211011")</f>
        <v>365739.27</v>
      </c>
      <c r="H893" s="48">
        <f>[1]!BexGetData("DP_2","DL719O2RYNGN1RZRS91K7M4TV","17","E","17031011E103","2067211011")</f>
        <v>193388.32</v>
      </c>
      <c r="I893" s="48">
        <f>[1]!BexGetData("DP_2","DL719O2RYNIY3MZ1QVCEEWBN7","17","E","17031011E103","2067211011")</f>
        <v>0</v>
      </c>
    </row>
    <row r="894" spans="1:9" x14ac:dyDescent="0.2">
      <c r="A894" s="46" t="s">
        <v>32</v>
      </c>
      <c r="B894" s="46" t="s">
        <v>32</v>
      </c>
      <c r="C894" s="46" t="s">
        <v>32</v>
      </c>
      <c r="D894" s="46" t="s">
        <v>32</v>
      </c>
      <c r="E894" s="46" t="s">
        <v>32</v>
      </c>
      <c r="F894" s="47">
        <f>[1]!BexGetData("DP_2","DL719O2RYNC0Y217V0FVT1R77","17","E","17031011E103","2067211021")</f>
        <v>39229.86</v>
      </c>
      <c r="G894" s="48">
        <f>[1]!BexGetData("DP_2","DL719O2RYNEBZX0HTMQQ0BY0J","17","E","17031011E103","2067211021")</f>
        <v>39229.86</v>
      </c>
      <c r="H894" s="48">
        <f>[1]!BexGetData("DP_2","DL719O2RYNGN1RZRS91K7M4TV","17","E","17031011E103","2067211021")</f>
        <v>28162.89</v>
      </c>
      <c r="I894" s="48">
        <f>[1]!BexGetData("DP_2","DL719O2RYNIY3MZ1QVCEEWBN7","17","E","17031011E103","2067211021")</f>
        <v>0</v>
      </c>
    </row>
    <row r="895" spans="1:9" x14ac:dyDescent="0.2">
      <c r="A895" s="46" t="s">
        <v>32</v>
      </c>
      <c r="B895" s="46" t="s">
        <v>32</v>
      </c>
      <c r="C895" s="46" t="s">
        <v>32</v>
      </c>
      <c r="D895" s="46" t="s">
        <v>32</v>
      </c>
      <c r="E895" s="46" t="s">
        <v>32</v>
      </c>
      <c r="F895" s="47">
        <f>[1]!BexGetData("DP_2","DL719O2RYNC0Y217V0FVT1R77","17","E","17031011E103","2067211031")</f>
        <v>0</v>
      </c>
      <c r="G895" s="48">
        <f>[1]!BexGetData("DP_2","DL719O2RYNEBZX0HTMQQ0BY0J","17","E","17031011E103","2067211031")</f>
        <v>0</v>
      </c>
      <c r="H895" s="48">
        <f>[1]!BexGetData("DP_2","DL719O2RYNGN1RZRS91K7M4TV","17","E","17031011E103","2067211031")</f>
        <v>0</v>
      </c>
      <c r="I895" s="48">
        <f>[1]!BexGetData("DP_2","DL719O2RYNIY3MZ1QVCEEWBN7","17","E","17031011E103","2067211031")</f>
        <v>0</v>
      </c>
    </row>
    <row r="896" spans="1:9" x14ac:dyDescent="0.2">
      <c r="A896" s="46" t="s">
        <v>32</v>
      </c>
      <c r="B896" s="46" t="s">
        <v>32</v>
      </c>
      <c r="C896" s="46" t="s">
        <v>32</v>
      </c>
      <c r="D896" s="46" t="s">
        <v>32</v>
      </c>
      <c r="E896" s="46" t="s">
        <v>32</v>
      </c>
      <c r="F896" s="47">
        <f>[1]!BexGetData("DP_2","DL719O2RYNC0Y217V0FVT1R77","17","E","17031011E103","2067212011")</f>
        <v>18698.12</v>
      </c>
      <c r="G896" s="48">
        <f>[1]!BexGetData("DP_2","DL719O2RYNEBZX0HTMQQ0BY0J","17","E","17031011E103","2067212011")</f>
        <v>18698.12</v>
      </c>
      <c r="H896" s="48">
        <f>[1]!BexGetData("DP_2","DL719O2RYNGN1RZRS91K7M4TV","17","E","17031011E103","2067212011")</f>
        <v>18698.12</v>
      </c>
      <c r="I896" s="48">
        <f>[1]!BexGetData("DP_2","DL719O2RYNIY3MZ1QVCEEWBN7","17","E","17031011E103","2067212011")</f>
        <v>0</v>
      </c>
    </row>
    <row r="897" spans="1:9" x14ac:dyDescent="0.2">
      <c r="A897" s="46" t="s">
        <v>32</v>
      </c>
      <c r="B897" s="46" t="s">
        <v>32</v>
      </c>
      <c r="C897" s="46" t="s">
        <v>32</v>
      </c>
      <c r="D897" s="46" t="s">
        <v>32</v>
      </c>
      <c r="E897" s="46" t="s">
        <v>32</v>
      </c>
      <c r="F897" s="47">
        <f>[1]!BexGetData("DP_2","DL719O2RYNC0Y217V0FVT1R77","17","E","17031011E103","2067214011")</f>
        <v>260713.61</v>
      </c>
      <c r="G897" s="48">
        <f>[1]!BexGetData("DP_2","DL719O2RYNEBZX0HTMQQ0BY0J","17","E","17031011E103","2067214011")</f>
        <v>260713.61</v>
      </c>
      <c r="H897" s="48">
        <f>[1]!BexGetData("DP_2","DL719O2RYNGN1RZRS91K7M4TV","17","E","17031011E103","2067214011")</f>
        <v>228630.1</v>
      </c>
      <c r="I897" s="48">
        <f>[1]!BexGetData("DP_2","DL719O2RYNIY3MZ1QVCEEWBN7","17","E","17031011E103","2067214011")</f>
        <v>0</v>
      </c>
    </row>
    <row r="898" spans="1:9" x14ac:dyDescent="0.2">
      <c r="A898" s="46" t="s">
        <v>32</v>
      </c>
      <c r="B898" s="46" t="s">
        <v>32</v>
      </c>
      <c r="C898" s="46" t="s">
        <v>32</v>
      </c>
      <c r="D898" s="46" t="s">
        <v>32</v>
      </c>
      <c r="E898" s="46" t="s">
        <v>32</v>
      </c>
      <c r="F898" s="47">
        <f>[1]!BexGetData("DP_2","DL719O2RYNC0Y217V0FVT1R77","17","E","17031011E103","2067214021")</f>
        <v>10797.92</v>
      </c>
      <c r="G898" s="48">
        <f>[1]!BexGetData("DP_2","DL719O2RYNEBZX0HTMQQ0BY0J","17","E","17031011E103","2067214021")</f>
        <v>10797.92</v>
      </c>
      <c r="H898" s="48">
        <f>[1]!BexGetData("DP_2","DL719O2RYNGN1RZRS91K7M4TV","17","E","17031011E103","2067214021")</f>
        <v>9218.0400000000009</v>
      </c>
      <c r="I898" s="48">
        <f>[1]!BexGetData("DP_2","DL719O2RYNIY3MZ1QVCEEWBN7","17","E","17031011E103","2067214021")</f>
        <v>0</v>
      </c>
    </row>
    <row r="899" spans="1:9" x14ac:dyDescent="0.2">
      <c r="A899" s="46" t="s">
        <v>32</v>
      </c>
      <c r="B899" s="46" t="s">
        <v>32</v>
      </c>
      <c r="C899" s="46" t="s">
        <v>32</v>
      </c>
      <c r="D899" s="46" t="s">
        <v>32</v>
      </c>
      <c r="E899" s="46" t="s">
        <v>32</v>
      </c>
      <c r="F899" s="47">
        <f>[1]!BexGetData("DP_2","DL719O2RYNC0Y217V0FVT1R77","17","E","17031011E103","2067214031")</f>
        <v>1762</v>
      </c>
      <c r="G899" s="48">
        <f>[1]!BexGetData("DP_2","DL719O2RYNEBZX0HTMQQ0BY0J","17","E","17031011E103","2067214031")</f>
        <v>1762</v>
      </c>
      <c r="H899" s="48">
        <f>[1]!BexGetData("DP_2","DL719O2RYNGN1RZRS91K7M4TV","17","E","17031011E103","2067214031")</f>
        <v>1762</v>
      </c>
      <c r="I899" s="48">
        <f>[1]!BexGetData("DP_2","DL719O2RYNIY3MZ1QVCEEWBN7","17","E","17031011E103","2067214031")</f>
        <v>0</v>
      </c>
    </row>
    <row r="900" spans="1:9" x14ac:dyDescent="0.2">
      <c r="A900" s="46" t="s">
        <v>32</v>
      </c>
      <c r="B900" s="46" t="s">
        <v>32</v>
      </c>
      <c r="C900" s="46" t="s">
        <v>32</v>
      </c>
      <c r="D900" s="46" t="s">
        <v>32</v>
      </c>
      <c r="E900" s="46" t="s">
        <v>32</v>
      </c>
      <c r="F900" s="47">
        <f>[1]!BexGetData("DP_2","DL719O2RYNC0Y217V0FVT1R77","17","E","17031011E103","2067215011")</f>
        <v>13040.07</v>
      </c>
      <c r="G900" s="48">
        <f>[1]!BexGetData("DP_2","DL719O2RYNEBZX0HTMQQ0BY0J","17","E","17031011E103","2067215011")</f>
        <v>13040.07</v>
      </c>
      <c r="H900" s="48">
        <f>[1]!BexGetData("DP_2","DL719O2RYNGN1RZRS91K7M4TV","17","E","17031011E103","2067215011")</f>
        <v>13040.07</v>
      </c>
      <c r="I900" s="48">
        <f>[1]!BexGetData("DP_2","DL719O2RYNIY3MZ1QVCEEWBN7","17","E","17031011E103","2067215011")</f>
        <v>0</v>
      </c>
    </row>
    <row r="901" spans="1:9" x14ac:dyDescent="0.2">
      <c r="A901" s="46" t="s">
        <v>32</v>
      </c>
      <c r="B901" s="46" t="s">
        <v>32</v>
      </c>
      <c r="C901" s="46" t="s">
        <v>32</v>
      </c>
      <c r="D901" s="46" t="s">
        <v>32</v>
      </c>
      <c r="E901" s="46" t="s">
        <v>32</v>
      </c>
      <c r="F901" s="47">
        <f>[1]!BexGetData("DP_2","DL719O2RYNC0Y217V0FVT1R77","17","E","17031011E103","2067215021")</f>
        <v>92039.039999999994</v>
      </c>
      <c r="G901" s="48">
        <f>[1]!BexGetData("DP_2","DL719O2RYNEBZX0HTMQQ0BY0J","17","E","17031011E103","2067215021")</f>
        <v>92039.039999999994</v>
      </c>
      <c r="H901" s="48">
        <f>[1]!BexGetData("DP_2","DL719O2RYNGN1RZRS91K7M4TV","17","E","17031011E103","2067215021")</f>
        <v>92039.039999999994</v>
      </c>
      <c r="I901" s="48">
        <f>[1]!BexGetData("DP_2","DL719O2RYNIY3MZ1QVCEEWBN7","17","E","17031011E103","2067215021")</f>
        <v>0</v>
      </c>
    </row>
    <row r="902" spans="1:9" x14ac:dyDescent="0.2">
      <c r="A902" s="46" t="s">
        <v>32</v>
      </c>
      <c r="B902" s="46" t="s">
        <v>32</v>
      </c>
      <c r="C902" s="46" t="s">
        <v>32</v>
      </c>
      <c r="D902" s="46" t="s">
        <v>32</v>
      </c>
      <c r="E902" s="46" t="s">
        <v>32</v>
      </c>
      <c r="F902" s="47">
        <f>[1]!BexGetData("DP_2","DL719O2RYNC0Y217V0FVT1R77","17","E","17031011E103","2067216011")</f>
        <v>275540.94</v>
      </c>
      <c r="G902" s="48">
        <f>[1]!BexGetData("DP_2","DL719O2RYNEBZX0HTMQQ0BY0J","17","E","17031011E103","2067216011")</f>
        <v>275540.94</v>
      </c>
      <c r="H902" s="48">
        <f>[1]!BexGetData("DP_2","DL719O2RYNGN1RZRS91K7M4TV","17","E","17031011E103","2067216011")</f>
        <v>171356.64</v>
      </c>
      <c r="I902" s="48">
        <f>[1]!BexGetData("DP_2","DL719O2RYNIY3MZ1QVCEEWBN7","17","E","17031011E103","2067216011")</f>
        <v>0</v>
      </c>
    </row>
    <row r="903" spans="1:9" x14ac:dyDescent="0.2">
      <c r="A903" s="46" t="s">
        <v>32</v>
      </c>
      <c r="B903" s="46" t="s">
        <v>32</v>
      </c>
      <c r="C903" s="46" t="s">
        <v>32</v>
      </c>
      <c r="D903" s="46" t="s">
        <v>32</v>
      </c>
      <c r="E903" s="46" t="s">
        <v>32</v>
      </c>
      <c r="F903" s="47">
        <f>[1]!BexGetData("DP_2","DL719O2RYNC0Y217V0FVT1R77","17","E","17031011E103","2067216031")</f>
        <v>0</v>
      </c>
      <c r="G903" s="48">
        <f>[1]!BexGetData("DP_2","DL719O2RYNEBZX0HTMQQ0BY0J","17","E","17031011E103","2067216031")</f>
        <v>0</v>
      </c>
      <c r="H903" s="48">
        <f>[1]!BexGetData("DP_2","DL719O2RYNGN1RZRS91K7M4TV","17","E","17031011E103","2067216031")</f>
        <v>0</v>
      </c>
      <c r="I903" s="48">
        <f>[1]!BexGetData("DP_2","DL719O2RYNIY3MZ1QVCEEWBN7","17","E","17031011E103","2067216031")</f>
        <v>0</v>
      </c>
    </row>
    <row r="904" spans="1:9" x14ac:dyDescent="0.2">
      <c r="A904" s="46" t="s">
        <v>32</v>
      </c>
      <c r="B904" s="46" t="s">
        <v>32</v>
      </c>
      <c r="C904" s="46" t="s">
        <v>32</v>
      </c>
      <c r="D904" s="46" t="s">
        <v>32</v>
      </c>
      <c r="E904" s="46" t="s">
        <v>32</v>
      </c>
      <c r="F904" s="47">
        <f>[1]!BexGetData("DP_2","DL719O2RYNC0Y217V0FVT1R77","17","E","17031011E103","2067217011")</f>
        <v>5347.6</v>
      </c>
      <c r="G904" s="48">
        <f>[1]!BexGetData("DP_2","DL719O2RYNEBZX0HTMQQ0BY0J","17","E","17031011E103","2067217011")</f>
        <v>5347.6</v>
      </c>
      <c r="H904" s="48">
        <f>[1]!BexGetData("DP_2","DL719O2RYNGN1RZRS91K7M4TV","17","E","17031011E103","2067217011")</f>
        <v>1216.6099999999999</v>
      </c>
      <c r="I904" s="48">
        <f>[1]!BexGetData("DP_2","DL719O2RYNIY3MZ1QVCEEWBN7","17","E","17031011E103","2067217011")</f>
        <v>0</v>
      </c>
    </row>
    <row r="905" spans="1:9" x14ac:dyDescent="0.2">
      <c r="A905" s="46" t="s">
        <v>32</v>
      </c>
      <c r="B905" s="46" t="s">
        <v>32</v>
      </c>
      <c r="C905" s="46" t="s">
        <v>32</v>
      </c>
      <c r="D905" s="46" t="s">
        <v>32</v>
      </c>
      <c r="E905" s="46" t="s">
        <v>32</v>
      </c>
      <c r="F905" s="47">
        <f>[1]!BexGetData("DP_2","DL719O2RYNC0Y217V0FVT1R77","17","E","17031011E103","2067221011")</f>
        <v>15939.66</v>
      </c>
      <c r="G905" s="48">
        <f>[1]!BexGetData("DP_2","DL719O2RYNEBZX0HTMQQ0BY0J","17","E","17031011E103","2067221011")</f>
        <v>15939.66</v>
      </c>
      <c r="H905" s="48">
        <f>[1]!BexGetData("DP_2","DL719O2RYNGN1RZRS91K7M4TV","17","E","17031011E103","2067221011")</f>
        <v>15939.66</v>
      </c>
      <c r="I905" s="48">
        <f>[1]!BexGetData("DP_2","DL719O2RYNIY3MZ1QVCEEWBN7","17","E","17031011E103","2067221011")</f>
        <v>0</v>
      </c>
    </row>
    <row r="906" spans="1:9" x14ac:dyDescent="0.2">
      <c r="A906" s="46" t="s">
        <v>32</v>
      </c>
      <c r="B906" s="46" t="s">
        <v>32</v>
      </c>
      <c r="C906" s="46" t="s">
        <v>32</v>
      </c>
      <c r="D906" s="46" t="s">
        <v>32</v>
      </c>
      <c r="E906" s="46" t="s">
        <v>32</v>
      </c>
      <c r="F906" s="47">
        <f>[1]!BexGetData("DP_2","DL719O2RYNC0Y217V0FVT1R77","17","E","17031011E103","2067221021")</f>
        <v>50580.22</v>
      </c>
      <c r="G906" s="48">
        <f>[1]!BexGetData("DP_2","DL719O2RYNEBZX0HTMQQ0BY0J","17","E","17031011E103","2067221021")</f>
        <v>50580.22</v>
      </c>
      <c r="H906" s="48">
        <f>[1]!BexGetData("DP_2","DL719O2RYNGN1RZRS91K7M4TV","17","E","17031011E103","2067221021")</f>
        <v>37854.22</v>
      </c>
      <c r="I906" s="48">
        <f>[1]!BexGetData("DP_2","DL719O2RYNIY3MZ1QVCEEWBN7","17","E","17031011E103","2067221021")</f>
        <v>0</v>
      </c>
    </row>
    <row r="907" spans="1:9" x14ac:dyDescent="0.2">
      <c r="A907" s="46" t="s">
        <v>32</v>
      </c>
      <c r="B907" s="46" t="s">
        <v>32</v>
      </c>
      <c r="C907" s="46" t="s">
        <v>32</v>
      </c>
      <c r="D907" s="46" t="s">
        <v>32</v>
      </c>
      <c r="E907" s="46" t="s">
        <v>32</v>
      </c>
      <c r="F907" s="47">
        <f>[1]!BexGetData("DP_2","DL719O2RYNC0Y217V0FVT1R77","17","E","17031011E103","2067221031")</f>
        <v>215101.78</v>
      </c>
      <c r="G907" s="48">
        <f>[1]!BexGetData("DP_2","DL719O2RYNEBZX0HTMQQ0BY0J","17","E","17031011E103","2067221031")</f>
        <v>215101.78</v>
      </c>
      <c r="H907" s="48">
        <f>[1]!BexGetData("DP_2","DL719O2RYNGN1RZRS91K7M4TV","17","E","17031011E103","2067221031")</f>
        <v>215101.78</v>
      </c>
      <c r="I907" s="48">
        <f>[1]!BexGetData("DP_2","DL719O2RYNIY3MZ1QVCEEWBN7","17","E","17031011E103","2067221031")</f>
        <v>0</v>
      </c>
    </row>
    <row r="908" spans="1:9" x14ac:dyDescent="0.2">
      <c r="A908" s="46" t="s">
        <v>32</v>
      </c>
      <c r="B908" s="46" t="s">
        <v>32</v>
      </c>
      <c r="C908" s="46" t="s">
        <v>32</v>
      </c>
      <c r="D908" s="46" t="s">
        <v>32</v>
      </c>
      <c r="E908" s="46" t="s">
        <v>32</v>
      </c>
      <c r="F908" s="47">
        <f>[1]!BexGetData("DP_2","DL719O2RYNC0Y217V0FVT1R77","17","E","17031011E103","2067222011")</f>
        <v>449</v>
      </c>
      <c r="G908" s="48">
        <f>[1]!BexGetData("DP_2","DL719O2RYNEBZX0HTMQQ0BY0J","17","E","17031011E103","2067222011")</f>
        <v>449</v>
      </c>
      <c r="H908" s="48">
        <f>[1]!BexGetData("DP_2","DL719O2RYNGN1RZRS91K7M4TV","17","E","17031011E103","2067222011")</f>
        <v>449</v>
      </c>
      <c r="I908" s="48">
        <f>[1]!BexGetData("DP_2","DL719O2RYNIY3MZ1QVCEEWBN7","17","E","17031011E103","2067222011")</f>
        <v>0</v>
      </c>
    </row>
    <row r="909" spans="1:9" x14ac:dyDescent="0.2">
      <c r="A909" s="46" t="s">
        <v>32</v>
      </c>
      <c r="B909" s="46" t="s">
        <v>32</v>
      </c>
      <c r="C909" s="46" t="s">
        <v>32</v>
      </c>
      <c r="D909" s="46" t="s">
        <v>32</v>
      </c>
      <c r="E909" s="46" t="s">
        <v>32</v>
      </c>
      <c r="F909" s="47">
        <f>[1]!BexGetData("DP_2","DL719O2RYNC0Y217V0FVT1R77","17","E","17031011E103","2067223011")</f>
        <v>2621.49</v>
      </c>
      <c r="G909" s="48">
        <f>[1]!BexGetData("DP_2","DL719O2RYNEBZX0HTMQQ0BY0J","17","E","17031011E103","2067223011")</f>
        <v>2621.49</v>
      </c>
      <c r="H909" s="48">
        <f>[1]!BexGetData("DP_2","DL719O2RYNGN1RZRS91K7M4TV","17","E","17031011E103","2067223011")</f>
        <v>2621.49</v>
      </c>
      <c r="I909" s="48">
        <f>[1]!BexGetData("DP_2","DL719O2RYNIY3MZ1QVCEEWBN7","17","E","17031011E103","2067223011")</f>
        <v>0</v>
      </c>
    </row>
    <row r="910" spans="1:9" x14ac:dyDescent="0.2">
      <c r="A910" s="46" t="s">
        <v>32</v>
      </c>
      <c r="B910" s="46" t="s">
        <v>32</v>
      </c>
      <c r="C910" s="46" t="s">
        <v>32</v>
      </c>
      <c r="D910" s="46" t="s">
        <v>32</v>
      </c>
      <c r="E910" s="46" t="s">
        <v>32</v>
      </c>
      <c r="F910" s="47">
        <f>[1]!BexGetData("DP_2","DL719O2RYNC0Y217V0FVT1R77","17","E","17031011E103","2067235011")</f>
        <v>0</v>
      </c>
      <c r="G910" s="48">
        <f>[1]!BexGetData("DP_2","DL719O2RYNEBZX0HTMQQ0BY0J","17","E","17031011E103","2067235011")</f>
        <v>0</v>
      </c>
      <c r="H910" s="48">
        <f>[1]!BexGetData("DP_2","DL719O2RYNGN1RZRS91K7M4TV","17","E","17031011E103","2067235011")</f>
        <v>0</v>
      </c>
      <c r="I910" s="48">
        <f>[1]!BexGetData("DP_2","DL719O2RYNIY3MZ1QVCEEWBN7","17","E","17031011E103","2067235011")</f>
        <v>0</v>
      </c>
    </row>
    <row r="911" spans="1:9" x14ac:dyDescent="0.2">
      <c r="A911" s="46" t="s">
        <v>32</v>
      </c>
      <c r="B911" s="46" t="s">
        <v>32</v>
      </c>
      <c r="C911" s="46" t="s">
        <v>32</v>
      </c>
      <c r="D911" s="46" t="s">
        <v>32</v>
      </c>
      <c r="E911" s="46" t="s">
        <v>32</v>
      </c>
      <c r="F911" s="47">
        <f>[1]!BexGetData("DP_2","DL719O2RYNC0Y217V0FVT1R77","17","E","17031011E103","2067241011")</f>
        <v>2938.5</v>
      </c>
      <c r="G911" s="48">
        <f>[1]!BexGetData("DP_2","DL719O2RYNEBZX0HTMQQ0BY0J","17","E","17031011E103","2067241011")</f>
        <v>2938.5</v>
      </c>
      <c r="H911" s="48">
        <f>[1]!BexGetData("DP_2","DL719O2RYNGN1RZRS91K7M4TV","17","E","17031011E103","2067241011")</f>
        <v>2938.5</v>
      </c>
      <c r="I911" s="48">
        <f>[1]!BexGetData("DP_2","DL719O2RYNIY3MZ1QVCEEWBN7","17","E","17031011E103","2067241011")</f>
        <v>0</v>
      </c>
    </row>
    <row r="912" spans="1:9" x14ac:dyDescent="0.2">
      <c r="A912" s="46" t="s">
        <v>32</v>
      </c>
      <c r="B912" s="46" t="s">
        <v>32</v>
      </c>
      <c r="C912" s="46" t="s">
        <v>32</v>
      </c>
      <c r="D912" s="46" t="s">
        <v>32</v>
      </c>
      <c r="E912" s="46" t="s">
        <v>32</v>
      </c>
      <c r="F912" s="47">
        <f>[1]!BexGetData("DP_2","DL719O2RYNC0Y217V0FVT1R77","17","E","17031011E103","2067242011")</f>
        <v>1762.29</v>
      </c>
      <c r="G912" s="48">
        <f>[1]!BexGetData("DP_2","DL719O2RYNEBZX0HTMQQ0BY0J","17","E","17031011E103","2067242011")</f>
        <v>1762.29</v>
      </c>
      <c r="H912" s="48">
        <f>[1]!BexGetData("DP_2","DL719O2RYNGN1RZRS91K7M4TV","17","E","17031011E103","2067242011")</f>
        <v>1762.29</v>
      </c>
      <c r="I912" s="48">
        <f>[1]!BexGetData("DP_2","DL719O2RYNIY3MZ1QVCEEWBN7","17","E","17031011E103","2067242011")</f>
        <v>0</v>
      </c>
    </row>
    <row r="913" spans="1:9" x14ac:dyDescent="0.2">
      <c r="A913" s="46" t="s">
        <v>32</v>
      </c>
      <c r="B913" s="46" t="s">
        <v>32</v>
      </c>
      <c r="C913" s="46" t="s">
        <v>32</v>
      </c>
      <c r="D913" s="46" t="s">
        <v>32</v>
      </c>
      <c r="E913" s="46" t="s">
        <v>32</v>
      </c>
      <c r="F913" s="47">
        <f>[1]!BexGetData("DP_2","DL719O2RYNC0Y217V0FVT1R77","17","E","17031011E103","2067243011")</f>
        <v>72</v>
      </c>
      <c r="G913" s="48">
        <f>[1]!BexGetData("DP_2","DL719O2RYNEBZX0HTMQQ0BY0J","17","E","17031011E103","2067243011")</f>
        <v>72</v>
      </c>
      <c r="H913" s="48">
        <f>[1]!BexGetData("DP_2","DL719O2RYNGN1RZRS91K7M4TV","17","E","17031011E103","2067243011")</f>
        <v>72</v>
      </c>
      <c r="I913" s="48">
        <f>[1]!BexGetData("DP_2","DL719O2RYNIY3MZ1QVCEEWBN7","17","E","17031011E103","2067243011")</f>
        <v>0</v>
      </c>
    </row>
    <row r="914" spans="1:9" x14ac:dyDescent="0.2">
      <c r="A914" s="46" t="s">
        <v>32</v>
      </c>
      <c r="B914" s="46" t="s">
        <v>32</v>
      </c>
      <c r="C914" s="46" t="s">
        <v>32</v>
      </c>
      <c r="D914" s="46" t="s">
        <v>32</v>
      </c>
      <c r="E914" s="46" t="s">
        <v>32</v>
      </c>
      <c r="F914" s="47">
        <f>[1]!BexGetData("DP_2","DL719O2RYNC0Y217V0FVT1R77","17","E","17031011E103","2067244011")</f>
        <v>8064.83</v>
      </c>
      <c r="G914" s="48">
        <f>[1]!BexGetData("DP_2","DL719O2RYNEBZX0HTMQQ0BY0J","17","E","17031011E103","2067244011")</f>
        <v>8064.83</v>
      </c>
      <c r="H914" s="48">
        <f>[1]!BexGetData("DP_2","DL719O2RYNGN1RZRS91K7M4TV","17","E","17031011E103","2067244011")</f>
        <v>8064.83</v>
      </c>
      <c r="I914" s="48">
        <f>[1]!BexGetData("DP_2","DL719O2RYNIY3MZ1QVCEEWBN7","17","E","17031011E103","2067244011")</f>
        <v>0</v>
      </c>
    </row>
    <row r="915" spans="1:9" x14ac:dyDescent="0.2">
      <c r="A915" s="46" t="s">
        <v>32</v>
      </c>
      <c r="B915" s="46" t="s">
        <v>32</v>
      </c>
      <c r="C915" s="46" t="s">
        <v>32</v>
      </c>
      <c r="D915" s="46" t="s">
        <v>32</v>
      </c>
      <c r="E915" s="46" t="s">
        <v>32</v>
      </c>
      <c r="F915" s="47">
        <f>[1]!BexGetData("DP_2","DL719O2RYNC0Y217V0FVT1R77","17","E","17031011E103","2067246011")</f>
        <v>49545.15</v>
      </c>
      <c r="G915" s="48">
        <f>[1]!BexGetData("DP_2","DL719O2RYNEBZX0HTMQQ0BY0J","17","E","17031011E103","2067246011")</f>
        <v>49545.15</v>
      </c>
      <c r="H915" s="48">
        <f>[1]!BexGetData("DP_2","DL719O2RYNGN1RZRS91K7M4TV","17","E","17031011E103","2067246011")</f>
        <v>49545.15</v>
      </c>
      <c r="I915" s="48">
        <f>[1]!BexGetData("DP_2","DL719O2RYNIY3MZ1QVCEEWBN7","17","E","17031011E103","2067246011")</f>
        <v>0</v>
      </c>
    </row>
    <row r="916" spans="1:9" x14ac:dyDescent="0.2">
      <c r="A916" s="46" t="s">
        <v>32</v>
      </c>
      <c r="B916" s="46" t="s">
        <v>32</v>
      </c>
      <c r="C916" s="46" t="s">
        <v>32</v>
      </c>
      <c r="D916" s="46" t="s">
        <v>32</v>
      </c>
      <c r="E916" s="46" t="s">
        <v>32</v>
      </c>
      <c r="F916" s="47">
        <f>[1]!BexGetData("DP_2","DL719O2RYNC0Y217V0FVT1R77","17","E","17031011E103","2067247011")</f>
        <v>102747.07</v>
      </c>
      <c r="G916" s="48">
        <f>[1]!BexGetData("DP_2","DL719O2RYNEBZX0HTMQQ0BY0J","17","E","17031011E103","2067247011")</f>
        <v>102747.07</v>
      </c>
      <c r="H916" s="48">
        <f>[1]!BexGetData("DP_2","DL719O2RYNGN1RZRS91K7M4TV","17","E","17031011E103","2067247011")</f>
        <v>100496.67</v>
      </c>
      <c r="I916" s="48">
        <f>[1]!BexGetData("DP_2","DL719O2RYNIY3MZ1QVCEEWBN7","17","E","17031011E103","2067247011")</f>
        <v>0</v>
      </c>
    </row>
    <row r="917" spans="1:9" x14ac:dyDescent="0.2">
      <c r="A917" s="46" t="s">
        <v>32</v>
      </c>
      <c r="B917" s="46" t="s">
        <v>32</v>
      </c>
      <c r="C917" s="46" t="s">
        <v>32</v>
      </c>
      <c r="D917" s="46" t="s">
        <v>32</v>
      </c>
      <c r="E917" s="46" t="s">
        <v>32</v>
      </c>
      <c r="F917" s="47">
        <f>[1]!BexGetData("DP_2","DL719O2RYNC0Y217V0FVT1R77","17","E","17031011E103","2067248011")</f>
        <v>2065.6799999999998</v>
      </c>
      <c r="G917" s="48">
        <f>[1]!BexGetData("DP_2","DL719O2RYNEBZX0HTMQQ0BY0J","17","E","17031011E103","2067248011")</f>
        <v>2065.6799999999998</v>
      </c>
      <c r="H917" s="48">
        <f>[1]!BexGetData("DP_2","DL719O2RYNGN1RZRS91K7M4TV","17","E","17031011E103","2067248011")</f>
        <v>2065.6799999999998</v>
      </c>
      <c r="I917" s="48">
        <f>[1]!BexGetData("DP_2","DL719O2RYNIY3MZ1QVCEEWBN7","17","E","17031011E103","2067248011")</f>
        <v>0</v>
      </c>
    </row>
    <row r="918" spans="1:9" x14ac:dyDescent="0.2">
      <c r="A918" s="46" t="s">
        <v>32</v>
      </c>
      <c r="B918" s="46" t="s">
        <v>32</v>
      </c>
      <c r="C918" s="46" t="s">
        <v>32</v>
      </c>
      <c r="D918" s="46" t="s">
        <v>32</v>
      </c>
      <c r="E918" s="46" t="s">
        <v>32</v>
      </c>
      <c r="F918" s="47">
        <f>[1]!BexGetData("DP_2","DL719O2RYNC0Y217V0FVT1R77","17","E","17031011E103","2067249011")</f>
        <v>159996.5</v>
      </c>
      <c r="G918" s="48">
        <f>[1]!BexGetData("DP_2","DL719O2RYNEBZX0HTMQQ0BY0J","17","E","17031011E103","2067249011")</f>
        <v>159996.5</v>
      </c>
      <c r="H918" s="48">
        <f>[1]!BexGetData("DP_2","DL719O2RYNGN1RZRS91K7M4TV","17","E","17031011E103","2067249011")</f>
        <v>159996.5</v>
      </c>
      <c r="I918" s="48">
        <f>[1]!BexGetData("DP_2","DL719O2RYNIY3MZ1QVCEEWBN7","17","E","17031011E103","2067249011")</f>
        <v>0</v>
      </c>
    </row>
    <row r="919" spans="1:9" x14ac:dyDescent="0.2">
      <c r="A919" s="46" t="s">
        <v>32</v>
      </c>
      <c r="B919" s="46" t="s">
        <v>32</v>
      </c>
      <c r="C919" s="46" t="s">
        <v>32</v>
      </c>
      <c r="D919" s="46" t="s">
        <v>32</v>
      </c>
      <c r="E919" s="46" t="s">
        <v>32</v>
      </c>
      <c r="F919" s="47">
        <f>[1]!BexGetData("DP_2","DL719O2RYNC0Y217V0FVT1R77","17","E","17031011E103","2067251011")</f>
        <v>205.9</v>
      </c>
      <c r="G919" s="48">
        <f>[1]!BexGetData("DP_2","DL719O2RYNEBZX0HTMQQ0BY0J","17","E","17031011E103","2067251011")</f>
        <v>205.9</v>
      </c>
      <c r="H919" s="48">
        <f>[1]!BexGetData("DP_2","DL719O2RYNGN1RZRS91K7M4TV","17","E","17031011E103","2067251011")</f>
        <v>205.9</v>
      </c>
      <c r="I919" s="48">
        <f>[1]!BexGetData("DP_2","DL719O2RYNIY3MZ1QVCEEWBN7","17","E","17031011E103","2067251011")</f>
        <v>0</v>
      </c>
    </row>
    <row r="920" spans="1:9" x14ac:dyDescent="0.2">
      <c r="A920" s="46" t="s">
        <v>32</v>
      </c>
      <c r="B920" s="46" t="s">
        <v>32</v>
      </c>
      <c r="C920" s="46" t="s">
        <v>32</v>
      </c>
      <c r="D920" s="46" t="s">
        <v>32</v>
      </c>
      <c r="E920" s="46" t="s">
        <v>32</v>
      </c>
      <c r="F920" s="47">
        <f>[1]!BexGetData("DP_2","DL719O2RYNC0Y217V0FVT1R77","17","E","17031011E103","2067252011")</f>
        <v>297.99</v>
      </c>
      <c r="G920" s="48">
        <f>[1]!BexGetData("DP_2","DL719O2RYNEBZX0HTMQQ0BY0J","17","E","17031011E103","2067252011")</f>
        <v>297.99</v>
      </c>
      <c r="H920" s="48">
        <f>[1]!BexGetData("DP_2","DL719O2RYNGN1RZRS91K7M4TV","17","E","17031011E103","2067252011")</f>
        <v>297.99</v>
      </c>
      <c r="I920" s="48">
        <f>[1]!BexGetData("DP_2","DL719O2RYNIY3MZ1QVCEEWBN7","17","E","17031011E103","2067252011")</f>
        <v>0</v>
      </c>
    </row>
    <row r="921" spans="1:9" x14ac:dyDescent="0.2">
      <c r="A921" s="46" t="s">
        <v>32</v>
      </c>
      <c r="B921" s="46" t="s">
        <v>32</v>
      </c>
      <c r="C921" s="46" t="s">
        <v>32</v>
      </c>
      <c r="D921" s="46" t="s">
        <v>32</v>
      </c>
      <c r="E921" s="46" t="s">
        <v>32</v>
      </c>
      <c r="F921" s="47">
        <f>[1]!BexGetData("DP_2","DL719O2RYNC0Y217V0FVT1R77","17","E","17031011E103","2067253011")</f>
        <v>5316.92</v>
      </c>
      <c r="G921" s="48">
        <f>[1]!BexGetData("DP_2","DL719O2RYNEBZX0HTMQQ0BY0J","17","E","17031011E103","2067253011")</f>
        <v>5316.92</v>
      </c>
      <c r="H921" s="48">
        <f>[1]!BexGetData("DP_2","DL719O2RYNGN1RZRS91K7M4TV","17","E","17031011E103","2067253011")</f>
        <v>5316.92</v>
      </c>
      <c r="I921" s="48">
        <f>[1]!BexGetData("DP_2","DL719O2RYNIY3MZ1QVCEEWBN7","17","E","17031011E103","2067253011")</f>
        <v>0</v>
      </c>
    </row>
    <row r="922" spans="1:9" x14ac:dyDescent="0.2">
      <c r="A922" s="46" t="s">
        <v>32</v>
      </c>
      <c r="B922" s="46" t="s">
        <v>32</v>
      </c>
      <c r="C922" s="46" t="s">
        <v>32</v>
      </c>
      <c r="D922" s="46" t="s">
        <v>32</v>
      </c>
      <c r="E922" s="46" t="s">
        <v>32</v>
      </c>
      <c r="F922" s="47">
        <f>[1]!BexGetData("DP_2","DL719O2RYNC0Y217V0FVT1R77","17","E","17031011E103","2067253021")</f>
        <v>1319.98</v>
      </c>
      <c r="G922" s="48">
        <f>[1]!BexGetData("DP_2","DL719O2RYNEBZX0HTMQQ0BY0J","17","E","17031011E103","2067253021")</f>
        <v>1319.98</v>
      </c>
      <c r="H922" s="48">
        <f>[1]!BexGetData("DP_2","DL719O2RYNGN1RZRS91K7M4TV","17","E","17031011E103","2067253021")</f>
        <v>1319.98</v>
      </c>
      <c r="I922" s="48">
        <f>[1]!BexGetData("DP_2","DL719O2RYNIY3MZ1QVCEEWBN7","17","E","17031011E103","2067253021")</f>
        <v>0</v>
      </c>
    </row>
    <row r="923" spans="1:9" x14ac:dyDescent="0.2">
      <c r="A923" s="46" t="s">
        <v>32</v>
      </c>
      <c r="B923" s="46" t="s">
        <v>32</v>
      </c>
      <c r="C923" s="46" t="s">
        <v>32</v>
      </c>
      <c r="D923" s="46" t="s">
        <v>32</v>
      </c>
      <c r="E923" s="46" t="s">
        <v>32</v>
      </c>
      <c r="F923" s="47">
        <f>[1]!BexGetData("DP_2","DL719O2RYNC0Y217V0FVT1R77","17","E","17031011E103","2067254021")</f>
        <v>3489.88</v>
      </c>
      <c r="G923" s="48">
        <f>[1]!BexGetData("DP_2","DL719O2RYNEBZX0HTMQQ0BY0J","17","E","17031011E103","2067254021")</f>
        <v>3489.88</v>
      </c>
      <c r="H923" s="48">
        <f>[1]!BexGetData("DP_2","DL719O2RYNGN1RZRS91K7M4TV","17","E","17031011E103","2067254021")</f>
        <v>3489.88</v>
      </c>
      <c r="I923" s="48">
        <f>[1]!BexGetData("DP_2","DL719O2RYNIY3MZ1QVCEEWBN7","17","E","17031011E103","2067254021")</f>
        <v>0</v>
      </c>
    </row>
    <row r="924" spans="1:9" x14ac:dyDescent="0.2">
      <c r="A924" s="46" t="s">
        <v>32</v>
      </c>
      <c r="B924" s="46" t="s">
        <v>32</v>
      </c>
      <c r="C924" s="46" t="s">
        <v>32</v>
      </c>
      <c r="D924" s="46" t="s">
        <v>32</v>
      </c>
      <c r="E924" s="46" t="s">
        <v>32</v>
      </c>
      <c r="F924" s="47">
        <f>[1]!BexGetData("DP_2","DL719O2RYNC0Y217V0FVT1R77","17","E","17031011E103","2067256011")</f>
        <v>16390.75</v>
      </c>
      <c r="G924" s="48">
        <f>[1]!BexGetData("DP_2","DL719O2RYNEBZX0HTMQQ0BY0J","17","E","17031011E103","2067256011")</f>
        <v>16390.75</v>
      </c>
      <c r="H924" s="48">
        <f>[1]!BexGetData("DP_2","DL719O2RYNGN1RZRS91K7M4TV","17","E","17031011E103","2067256011")</f>
        <v>16390.75</v>
      </c>
      <c r="I924" s="48">
        <f>[1]!BexGetData("DP_2","DL719O2RYNIY3MZ1QVCEEWBN7","17","E","17031011E103","2067256011")</f>
        <v>0</v>
      </c>
    </row>
    <row r="925" spans="1:9" x14ac:dyDescent="0.2">
      <c r="A925" s="46" t="s">
        <v>32</v>
      </c>
      <c r="B925" s="46" t="s">
        <v>32</v>
      </c>
      <c r="C925" s="46" t="s">
        <v>32</v>
      </c>
      <c r="D925" s="46" t="s">
        <v>32</v>
      </c>
      <c r="E925" s="46" t="s">
        <v>32</v>
      </c>
      <c r="F925" s="47">
        <f>[1]!BexGetData("DP_2","DL719O2RYNC0Y217V0FVT1R77","17","E","17031011E103","2067261011")</f>
        <v>0</v>
      </c>
      <c r="G925" s="48">
        <f>[1]!BexGetData("DP_2","DL719O2RYNEBZX0HTMQQ0BY0J","17","E","17031011E103","2067261011")</f>
        <v>0</v>
      </c>
      <c r="H925" s="48">
        <f>[1]!BexGetData("DP_2","DL719O2RYNGN1RZRS91K7M4TV","17","E","17031011E103","2067261011")</f>
        <v>0</v>
      </c>
      <c r="I925" s="48">
        <f>[1]!BexGetData("DP_2","DL719O2RYNIY3MZ1QVCEEWBN7","17","E","17031011E103","2067261011")</f>
        <v>0</v>
      </c>
    </row>
    <row r="926" spans="1:9" x14ac:dyDescent="0.2">
      <c r="A926" s="46" t="s">
        <v>32</v>
      </c>
      <c r="B926" s="46" t="s">
        <v>32</v>
      </c>
      <c r="C926" s="46" t="s">
        <v>32</v>
      </c>
      <c r="D926" s="46" t="s">
        <v>32</v>
      </c>
      <c r="E926" s="46" t="s">
        <v>32</v>
      </c>
      <c r="F926" s="47">
        <f>[1]!BexGetData("DP_2","DL719O2RYNC0Y217V0FVT1R77","17","E","17031011E103","2067261021")</f>
        <v>23</v>
      </c>
      <c r="G926" s="48">
        <f>[1]!BexGetData("DP_2","DL719O2RYNEBZX0HTMQQ0BY0J","17","E","17031011E103","2067261021")</f>
        <v>23</v>
      </c>
      <c r="H926" s="48">
        <f>[1]!BexGetData("DP_2","DL719O2RYNGN1RZRS91K7M4TV","17","E","17031011E103","2067261021")</f>
        <v>23</v>
      </c>
      <c r="I926" s="48">
        <f>[1]!BexGetData("DP_2","DL719O2RYNIY3MZ1QVCEEWBN7","17","E","17031011E103","2067261021")</f>
        <v>0</v>
      </c>
    </row>
    <row r="927" spans="1:9" x14ac:dyDescent="0.2">
      <c r="A927" s="46" t="s">
        <v>32</v>
      </c>
      <c r="B927" s="46" t="s">
        <v>32</v>
      </c>
      <c r="C927" s="46" t="s">
        <v>32</v>
      </c>
      <c r="D927" s="46" t="s">
        <v>32</v>
      </c>
      <c r="E927" s="46" t="s">
        <v>32</v>
      </c>
      <c r="F927" s="47">
        <f>[1]!BexGetData("DP_2","DL719O2RYNC0Y217V0FVT1R77","17","E","17031011E103","2067271011")</f>
        <v>105512.43</v>
      </c>
      <c r="G927" s="48">
        <f>[1]!BexGetData("DP_2","DL719O2RYNEBZX0HTMQQ0BY0J","17","E","17031011E103","2067271011")</f>
        <v>105512.43</v>
      </c>
      <c r="H927" s="48">
        <f>[1]!BexGetData("DP_2","DL719O2RYNGN1RZRS91K7M4TV","17","E","17031011E103","2067271011")</f>
        <v>95057.58</v>
      </c>
      <c r="I927" s="48">
        <f>[1]!BexGetData("DP_2","DL719O2RYNIY3MZ1QVCEEWBN7","17","E","17031011E103","2067271011")</f>
        <v>0</v>
      </c>
    </row>
    <row r="928" spans="1:9" x14ac:dyDescent="0.2">
      <c r="A928" s="46" t="s">
        <v>32</v>
      </c>
      <c r="B928" s="46" t="s">
        <v>32</v>
      </c>
      <c r="C928" s="46" t="s">
        <v>32</v>
      </c>
      <c r="D928" s="46" t="s">
        <v>32</v>
      </c>
      <c r="E928" s="46" t="s">
        <v>32</v>
      </c>
      <c r="F928" s="47">
        <f>[1]!BexGetData("DP_2","DL719O2RYNC0Y217V0FVT1R77","17","E","17031011E103","2067272011")</f>
        <v>2959.45</v>
      </c>
      <c r="G928" s="48">
        <f>[1]!BexGetData("DP_2","DL719O2RYNEBZX0HTMQQ0BY0J","17","E","17031011E103","2067272011")</f>
        <v>2959.45</v>
      </c>
      <c r="H928" s="48">
        <f>[1]!BexGetData("DP_2","DL719O2RYNGN1RZRS91K7M4TV","17","E","17031011E103","2067272011")</f>
        <v>2959.45</v>
      </c>
      <c r="I928" s="48">
        <f>[1]!BexGetData("DP_2","DL719O2RYNIY3MZ1QVCEEWBN7","17","E","17031011E103","2067272011")</f>
        <v>0</v>
      </c>
    </row>
    <row r="929" spans="1:9" x14ac:dyDescent="0.2">
      <c r="A929" s="46" t="s">
        <v>32</v>
      </c>
      <c r="B929" s="46" t="s">
        <v>32</v>
      </c>
      <c r="C929" s="46" t="s">
        <v>32</v>
      </c>
      <c r="D929" s="46" t="s">
        <v>32</v>
      </c>
      <c r="E929" s="46" t="s">
        <v>32</v>
      </c>
      <c r="F929" s="47">
        <f>[1]!BexGetData("DP_2","DL719O2RYNC0Y217V0FVT1R77","17","E","17031011E103","2067273011")</f>
        <v>2590</v>
      </c>
      <c r="G929" s="48">
        <f>[1]!BexGetData("DP_2","DL719O2RYNEBZX0HTMQQ0BY0J","17","E","17031011E103","2067273011")</f>
        <v>2590</v>
      </c>
      <c r="H929" s="48">
        <f>[1]!BexGetData("DP_2","DL719O2RYNGN1RZRS91K7M4TV","17","E","17031011E103","2067273011")</f>
        <v>2590</v>
      </c>
      <c r="I929" s="48">
        <f>[1]!BexGetData("DP_2","DL719O2RYNIY3MZ1QVCEEWBN7","17","E","17031011E103","2067273011")</f>
        <v>0</v>
      </c>
    </row>
    <row r="930" spans="1:9" x14ac:dyDescent="0.2">
      <c r="A930" s="46" t="s">
        <v>32</v>
      </c>
      <c r="B930" s="46" t="s">
        <v>32</v>
      </c>
      <c r="C930" s="46" t="s">
        <v>32</v>
      </c>
      <c r="D930" s="46" t="s">
        <v>32</v>
      </c>
      <c r="E930" s="46" t="s">
        <v>32</v>
      </c>
      <c r="F930" s="47">
        <f>[1]!BexGetData("DP_2","DL719O2RYNC0Y217V0FVT1R77","17","E","17031011E103","2067274011")</f>
        <v>7352.69</v>
      </c>
      <c r="G930" s="48">
        <f>[1]!BexGetData("DP_2","DL719O2RYNEBZX0HTMQQ0BY0J","17","E","17031011E103","2067274011")</f>
        <v>7352.69</v>
      </c>
      <c r="H930" s="48">
        <f>[1]!BexGetData("DP_2","DL719O2RYNGN1RZRS91K7M4TV","17","E","17031011E103","2067274011")</f>
        <v>7352.69</v>
      </c>
      <c r="I930" s="48">
        <f>[1]!BexGetData("DP_2","DL719O2RYNIY3MZ1QVCEEWBN7","17","E","17031011E103","2067274011")</f>
        <v>0</v>
      </c>
    </row>
    <row r="931" spans="1:9" x14ac:dyDescent="0.2">
      <c r="A931" s="46" t="s">
        <v>32</v>
      </c>
      <c r="B931" s="46" t="s">
        <v>32</v>
      </c>
      <c r="C931" s="46" t="s">
        <v>32</v>
      </c>
      <c r="D931" s="46" t="s">
        <v>32</v>
      </c>
      <c r="E931" s="46" t="s">
        <v>32</v>
      </c>
      <c r="F931" s="47">
        <f>[1]!BexGetData("DP_2","DL719O2RYNC0Y217V0FVT1R77","17","E","17031011E103","2067283011")</f>
        <v>36114.33</v>
      </c>
      <c r="G931" s="48">
        <f>[1]!BexGetData("DP_2","DL719O2RYNEBZX0HTMQQ0BY0J","17","E","17031011E103","2067283011")</f>
        <v>36114.33</v>
      </c>
      <c r="H931" s="48">
        <f>[1]!BexGetData("DP_2","DL719O2RYNGN1RZRS91K7M4TV","17","E","17031011E103","2067283011")</f>
        <v>18366.330000000002</v>
      </c>
      <c r="I931" s="48">
        <f>[1]!BexGetData("DP_2","DL719O2RYNIY3MZ1QVCEEWBN7","17","E","17031011E103","2067283011")</f>
        <v>0</v>
      </c>
    </row>
    <row r="932" spans="1:9" x14ac:dyDescent="0.2">
      <c r="A932" s="46" t="s">
        <v>32</v>
      </c>
      <c r="B932" s="46" t="s">
        <v>32</v>
      </c>
      <c r="C932" s="46" t="s">
        <v>32</v>
      </c>
      <c r="D932" s="46" t="s">
        <v>32</v>
      </c>
      <c r="E932" s="46" t="s">
        <v>32</v>
      </c>
      <c r="F932" s="47">
        <f>[1]!BexGetData("DP_2","DL719O2RYNC0Y217V0FVT1R77","17","E","17031011E103","2067283021")</f>
        <v>3523.2</v>
      </c>
      <c r="G932" s="48">
        <f>[1]!BexGetData("DP_2","DL719O2RYNEBZX0HTMQQ0BY0J","17","E","17031011E103","2067283021")</f>
        <v>3523.2</v>
      </c>
      <c r="H932" s="48">
        <f>[1]!BexGetData("DP_2","DL719O2RYNGN1RZRS91K7M4TV","17","E","17031011E103","2067283021")</f>
        <v>3523.2</v>
      </c>
      <c r="I932" s="48">
        <f>[1]!BexGetData("DP_2","DL719O2RYNIY3MZ1QVCEEWBN7","17","E","17031011E103","2067283021")</f>
        <v>0</v>
      </c>
    </row>
    <row r="933" spans="1:9" x14ac:dyDescent="0.2">
      <c r="A933" s="46" t="s">
        <v>32</v>
      </c>
      <c r="B933" s="46" t="s">
        <v>32</v>
      </c>
      <c r="C933" s="46" t="s">
        <v>32</v>
      </c>
      <c r="D933" s="46" t="s">
        <v>32</v>
      </c>
      <c r="E933" s="46" t="s">
        <v>32</v>
      </c>
      <c r="F933" s="47">
        <f>[1]!BexGetData("DP_2","DL719O2RYNC0Y217V0FVT1R77","17","E","17031011E103","2067291011")</f>
        <v>49075.519999999997</v>
      </c>
      <c r="G933" s="48">
        <f>[1]!BexGetData("DP_2","DL719O2RYNEBZX0HTMQQ0BY0J","17","E","17031011E103","2067291011")</f>
        <v>49075.519999999997</v>
      </c>
      <c r="H933" s="48">
        <f>[1]!BexGetData("DP_2","DL719O2RYNGN1RZRS91K7M4TV","17","E","17031011E103","2067291011")</f>
        <v>40166.720000000001</v>
      </c>
      <c r="I933" s="48">
        <f>[1]!BexGetData("DP_2","DL719O2RYNIY3MZ1QVCEEWBN7","17","E","17031011E103","2067291011")</f>
        <v>0</v>
      </c>
    </row>
    <row r="934" spans="1:9" x14ac:dyDescent="0.2">
      <c r="A934" s="46" t="s">
        <v>32</v>
      </c>
      <c r="B934" s="46" t="s">
        <v>32</v>
      </c>
      <c r="C934" s="46" t="s">
        <v>32</v>
      </c>
      <c r="D934" s="46" t="s">
        <v>32</v>
      </c>
      <c r="E934" s="46" t="s">
        <v>32</v>
      </c>
      <c r="F934" s="47">
        <f>[1]!BexGetData("DP_2","DL719O2RYNC0Y217V0FVT1R77","17","E","17031011E103","2067292011")</f>
        <v>3761.28</v>
      </c>
      <c r="G934" s="48">
        <f>[1]!BexGetData("DP_2","DL719O2RYNEBZX0HTMQQ0BY0J","17","E","17031011E103","2067292011")</f>
        <v>3761.28</v>
      </c>
      <c r="H934" s="48">
        <f>[1]!BexGetData("DP_2","DL719O2RYNGN1RZRS91K7M4TV","17","E","17031011E103","2067292011")</f>
        <v>3761.28</v>
      </c>
      <c r="I934" s="48">
        <f>[1]!BexGetData("DP_2","DL719O2RYNIY3MZ1QVCEEWBN7","17","E","17031011E103","2067292011")</f>
        <v>0</v>
      </c>
    </row>
    <row r="935" spans="1:9" x14ac:dyDescent="0.2">
      <c r="A935" s="46" t="s">
        <v>32</v>
      </c>
      <c r="B935" s="46" t="s">
        <v>32</v>
      </c>
      <c r="C935" s="46" t="s">
        <v>32</v>
      </c>
      <c r="D935" s="46" t="s">
        <v>32</v>
      </c>
      <c r="E935" s="46" t="s">
        <v>32</v>
      </c>
      <c r="F935" s="47">
        <f>[1]!BexGetData("DP_2","DL719O2RYNC0Y217V0FVT1R77","17","E","17031011E103","2067293011")</f>
        <v>0</v>
      </c>
      <c r="G935" s="48">
        <f>[1]!BexGetData("DP_2","DL719O2RYNEBZX0HTMQQ0BY0J","17","E","17031011E103","2067293011")</f>
        <v>0</v>
      </c>
      <c r="H935" s="48">
        <f>[1]!BexGetData("DP_2","DL719O2RYNGN1RZRS91K7M4TV","17","E","17031011E103","2067293011")</f>
        <v>0</v>
      </c>
      <c r="I935" s="48">
        <f>[1]!BexGetData("DP_2","DL719O2RYNIY3MZ1QVCEEWBN7","17","E","17031011E103","2067293011")</f>
        <v>0</v>
      </c>
    </row>
    <row r="936" spans="1:9" x14ac:dyDescent="0.2">
      <c r="A936" s="46" t="s">
        <v>32</v>
      </c>
      <c r="B936" s="46" t="s">
        <v>32</v>
      </c>
      <c r="C936" s="46" t="s">
        <v>32</v>
      </c>
      <c r="D936" s="46" t="s">
        <v>32</v>
      </c>
      <c r="E936" s="46" t="s">
        <v>32</v>
      </c>
      <c r="F936" s="47">
        <f>[1]!BexGetData("DP_2","DL719O2RYNC0Y217V0FVT1R77","17","E","17031011E103","2067293031")</f>
        <v>7400</v>
      </c>
      <c r="G936" s="48">
        <f>[1]!BexGetData("DP_2","DL719O2RYNEBZX0HTMQQ0BY0J","17","E","17031011E103","2067293031")</f>
        <v>7400</v>
      </c>
      <c r="H936" s="48">
        <f>[1]!BexGetData("DP_2","DL719O2RYNGN1RZRS91K7M4TV","17","E","17031011E103","2067293031")</f>
        <v>7400</v>
      </c>
      <c r="I936" s="48">
        <f>[1]!BexGetData("DP_2","DL719O2RYNIY3MZ1QVCEEWBN7","17","E","17031011E103","2067293031")</f>
        <v>0</v>
      </c>
    </row>
    <row r="937" spans="1:9" x14ac:dyDescent="0.2">
      <c r="A937" s="46" t="s">
        <v>32</v>
      </c>
      <c r="B937" s="46" t="s">
        <v>32</v>
      </c>
      <c r="C937" s="46" t="s">
        <v>32</v>
      </c>
      <c r="D937" s="46" t="s">
        <v>32</v>
      </c>
      <c r="E937" s="46" t="s">
        <v>32</v>
      </c>
      <c r="F937" s="47">
        <f>[1]!BexGetData("DP_2","DL719O2RYNC0Y217V0FVT1R77","17","E","17031011E103","2067293051")</f>
        <v>1566</v>
      </c>
      <c r="G937" s="48">
        <f>[1]!BexGetData("DP_2","DL719O2RYNEBZX0HTMQQ0BY0J","17","E","17031011E103","2067293051")</f>
        <v>1566</v>
      </c>
      <c r="H937" s="48">
        <f>[1]!BexGetData("DP_2","DL719O2RYNGN1RZRS91K7M4TV","17","E","17031011E103","2067293051")</f>
        <v>1566</v>
      </c>
      <c r="I937" s="48">
        <f>[1]!BexGetData("DP_2","DL719O2RYNIY3MZ1QVCEEWBN7","17","E","17031011E103","2067293051")</f>
        <v>0</v>
      </c>
    </row>
    <row r="938" spans="1:9" x14ac:dyDescent="0.2">
      <c r="A938" s="46" t="s">
        <v>32</v>
      </c>
      <c r="B938" s="46" t="s">
        <v>32</v>
      </c>
      <c r="C938" s="46" t="s">
        <v>32</v>
      </c>
      <c r="D938" s="46" t="s">
        <v>32</v>
      </c>
      <c r="E938" s="46" t="s">
        <v>32</v>
      </c>
      <c r="F938" s="47">
        <f>[1]!BexGetData("DP_2","DL719O2RYNC0Y217V0FVT1R77","17","E","17031011E103","2067294011")</f>
        <v>1813.92</v>
      </c>
      <c r="G938" s="48">
        <f>[1]!BexGetData("DP_2","DL719O2RYNEBZX0HTMQQ0BY0J","17","E","17031011E103","2067294011")</f>
        <v>1813.92</v>
      </c>
      <c r="H938" s="48">
        <f>[1]!BexGetData("DP_2","DL719O2RYNGN1RZRS91K7M4TV","17","E","17031011E103","2067294011")</f>
        <v>796</v>
      </c>
      <c r="I938" s="48">
        <f>[1]!BexGetData("DP_2","DL719O2RYNIY3MZ1QVCEEWBN7","17","E","17031011E103","2067294011")</f>
        <v>0</v>
      </c>
    </row>
    <row r="939" spans="1:9" x14ac:dyDescent="0.2">
      <c r="A939" s="46" t="s">
        <v>32</v>
      </c>
      <c r="B939" s="46" t="s">
        <v>32</v>
      </c>
      <c r="C939" s="46" t="s">
        <v>32</v>
      </c>
      <c r="D939" s="46" t="s">
        <v>32</v>
      </c>
      <c r="E939" s="46" t="s">
        <v>32</v>
      </c>
      <c r="F939" s="47">
        <f>[1]!BexGetData("DP_2","DL719O2RYNC0Y217V0FVT1R77","17","E","17031011E103","2067295011")</f>
        <v>2824</v>
      </c>
      <c r="G939" s="48">
        <f>[1]!BexGetData("DP_2","DL719O2RYNEBZX0HTMQQ0BY0J","17","E","17031011E103","2067295011")</f>
        <v>2824</v>
      </c>
      <c r="H939" s="48">
        <f>[1]!BexGetData("DP_2","DL719O2RYNGN1RZRS91K7M4TV","17","E","17031011E103","2067295011")</f>
        <v>2824</v>
      </c>
      <c r="I939" s="48">
        <f>[1]!BexGetData("DP_2","DL719O2RYNIY3MZ1QVCEEWBN7","17","E","17031011E103","2067295011")</f>
        <v>0</v>
      </c>
    </row>
    <row r="940" spans="1:9" x14ac:dyDescent="0.2">
      <c r="A940" s="46" t="s">
        <v>32</v>
      </c>
      <c r="B940" s="46" t="s">
        <v>32</v>
      </c>
      <c r="C940" s="46" t="s">
        <v>32</v>
      </c>
      <c r="D940" s="46" t="s">
        <v>32</v>
      </c>
      <c r="E940" s="46" t="s">
        <v>32</v>
      </c>
      <c r="F940" s="47">
        <f>[1]!BexGetData("DP_2","DL719O2RYNC0Y217V0FVT1R77","17","E","17031011E103","2067296011")</f>
        <v>0</v>
      </c>
      <c r="G940" s="48">
        <f>[1]!BexGetData("DP_2","DL719O2RYNEBZX0HTMQQ0BY0J","17","E","17031011E103","2067296011")</f>
        <v>0</v>
      </c>
      <c r="H940" s="48">
        <f>[1]!BexGetData("DP_2","DL719O2RYNGN1RZRS91K7M4TV","17","E","17031011E103","2067296011")</f>
        <v>0</v>
      </c>
      <c r="I940" s="48">
        <f>[1]!BexGetData("DP_2","DL719O2RYNIY3MZ1QVCEEWBN7","17","E","17031011E103","2067296011")</f>
        <v>0</v>
      </c>
    </row>
    <row r="941" spans="1:9" x14ac:dyDescent="0.2">
      <c r="A941" s="46" t="s">
        <v>32</v>
      </c>
      <c r="B941" s="46" t="s">
        <v>32</v>
      </c>
      <c r="C941" s="46" t="s">
        <v>32</v>
      </c>
      <c r="D941" s="46" t="s">
        <v>32</v>
      </c>
      <c r="E941" s="46" t="s">
        <v>32</v>
      </c>
      <c r="F941" s="47">
        <f>[1]!BexGetData("DP_2","DL719O2RYNC0Y217V0FVT1R77","17","E","17031011E103","2067298011")</f>
        <v>119.52</v>
      </c>
      <c r="G941" s="48">
        <f>[1]!BexGetData("DP_2","DL719O2RYNEBZX0HTMQQ0BY0J","17","E","17031011E103","2067298011")</f>
        <v>119.52</v>
      </c>
      <c r="H941" s="48">
        <f>[1]!BexGetData("DP_2","DL719O2RYNGN1RZRS91K7M4TV","17","E","17031011E103","2067298011")</f>
        <v>119.52</v>
      </c>
      <c r="I941" s="48">
        <f>[1]!BexGetData("DP_2","DL719O2RYNIY3MZ1QVCEEWBN7","17","E","17031011E103","2067298011")</f>
        <v>0</v>
      </c>
    </row>
    <row r="942" spans="1:9" x14ac:dyDescent="0.2">
      <c r="A942" s="46" t="s">
        <v>32</v>
      </c>
      <c r="B942" s="46" t="s">
        <v>32</v>
      </c>
      <c r="C942" s="46" t="s">
        <v>32</v>
      </c>
      <c r="D942" s="46" t="s">
        <v>32</v>
      </c>
      <c r="E942" s="46" t="s">
        <v>32</v>
      </c>
      <c r="F942" s="47">
        <f>[1]!BexGetData("DP_2","DL719O2RYNC0Y217V0FVT1R77","17","E","17031011E103","2067298021")</f>
        <v>2544</v>
      </c>
      <c r="G942" s="48">
        <f>[1]!BexGetData("DP_2","DL719O2RYNEBZX0HTMQQ0BY0J","17","E","17031011E103","2067298021")</f>
        <v>2544</v>
      </c>
      <c r="H942" s="48">
        <f>[1]!BexGetData("DP_2","DL719O2RYNGN1RZRS91K7M4TV","17","E","17031011E103","2067298021")</f>
        <v>2544</v>
      </c>
      <c r="I942" s="48">
        <f>[1]!BexGetData("DP_2","DL719O2RYNIY3MZ1QVCEEWBN7","17","E","17031011E103","2067298021")</f>
        <v>0</v>
      </c>
    </row>
    <row r="943" spans="1:9" x14ac:dyDescent="0.2">
      <c r="A943" s="46" t="s">
        <v>32</v>
      </c>
      <c r="B943" s="46" t="s">
        <v>32</v>
      </c>
      <c r="C943" s="46" t="s">
        <v>32</v>
      </c>
      <c r="D943" s="46" t="s">
        <v>32</v>
      </c>
      <c r="E943" s="46" t="s">
        <v>32</v>
      </c>
      <c r="F943" s="47">
        <f>[1]!BexGetData("DP_2","DL719O2RYNC0Y217V0FVT1R77","17","E","17031011E103","2067298041")</f>
        <v>153.12</v>
      </c>
      <c r="G943" s="48">
        <f>[1]!BexGetData("DP_2","DL719O2RYNEBZX0HTMQQ0BY0J","17","E","17031011E103","2067298041")</f>
        <v>153.12</v>
      </c>
      <c r="H943" s="48">
        <f>[1]!BexGetData("DP_2","DL719O2RYNGN1RZRS91K7M4TV","17","E","17031011E103","2067298041")</f>
        <v>153.12</v>
      </c>
      <c r="I943" s="48">
        <f>[1]!BexGetData("DP_2","DL719O2RYNIY3MZ1QVCEEWBN7","17","E","17031011E103","2067298041")</f>
        <v>0</v>
      </c>
    </row>
    <row r="944" spans="1:9" x14ac:dyDescent="0.2">
      <c r="A944" s="46" t="s">
        <v>32</v>
      </c>
      <c r="B944" s="46" t="s">
        <v>32</v>
      </c>
      <c r="C944" s="46" t="s">
        <v>32</v>
      </c>
      <c r="D944" s="46" t="s">
        <v>32</v>
      </c>
      <c r="E944" s="46" t="s">
        <v>32</v>
      </c>
      <c r="F944" s="47">
        <f>[1]!BexGetData("DP_2","DL719O2RYNC0Y217V0FVT1R77","17","E","17031011E103","2067298071")</f>
        <v>678</v>
      </c>
      <c r="G944" s="48">
        <f>[1]!BexGetData("DP_2","DL719O2RYNEBZX0HTMQQ0BY0J","17","E","17031011E103","2067298071")</f>
        <v>678</v>
      </c>
      <c r="H944" s="48">
        <f>[1]!BexGetData("DP_2","DL719O2RYNGN1RZRS91K7M4TV","17","E","17031011E103","2067298071")</f>
        <v>678</v>
      </c>
      <c r="I944" s="48">
        <f>[1]!BexGetData("DP_2","DL719O2RYNIY3MZ1QVCEEWBN7","17","E","17031011E103","2067298071")</f>
        <v>0</v>
      </c>
    </row>
    <row r="945" spans="1:9" x14ac:dyDescent="0.2">
      <c r="A945" s="46" t="s">
        <v>32</v>
      </c>
      <c r="B945" s="46" t="s">
        <v>32</v>
      </c>
      <c r="C945" s="46" t="s">
        <v>32</v>
      </c>
      <c r="D945" s="46" t="s">
        <v>32</v>
      </c>
      <c r="E945" s="46" t="s">
        <v>32</v>
      </c>
      <c r="F945" s="47">
        <f>[1]!BexGetData("DP_2","DL719O2RYNC0Y217V0FVT1R77","17","E","17031011E103","2067299011")</f>
        <v>324</v>
      </c>
      <c r="G945" s="48">
        <f>[1]!BexGetData("DP_2","DL719O2RYNEBZX0HTMQQ0BY0J","17","E","17031011E103","2067299011")</f>
        <v>324</v>
      </c>
      <c r="H945" s="48">
        <f>[1]!BexGetData("DP_2","DL719O2RYNGN1RZRS91K7M4TV","17","E","17031011E103","2067299011")</f>
        <v>324</v>
      </c>
      <c r="I945" s="48">
        <f>[1]!BexGetData("DP_2","DL719O2RYNIY3MZ1QVCEEWBN7","17","E","17031011E103","2067299011")</f>
        <v>0</v>
      </c>
    </row>
    <row r="946" spans="1:9" x14ac:dyDescent="0.2">
      <c r="A946" s="46" t="s">
        <v>32</v>
      </c>
      <c r="B946" s="46" t="s">
        <v>32</v>
      </c>
      <c r="C946" s="46" t="s">
        <v>32</v>
      </c>
      <c r="D946" s="46" t="s">
        <v>32</v>
      </c>
      <c r="E946" s="46" t="s">
        <v>32</v>
      </c>
      <c r="F946" s="47">
        <f>[1]!BexGetData("DP_2","DL719O2RYNC0Y217V0FVT1R77","17","E","17031011E103","2067311011")</f>
        <v>464320.95</v>
      </c>
      <c r="G946" s="48">
        <f>[1]!BexGetData("DP_2","DL719O2RYNEBZX0HTMQQ0BY0J","17","E","17031011E103","2067311011")</f>
        <v>464320.95</v>
      </c>
      <c r="H946" s="48">
        <f>[1]!BexGetData("DP_2","DL719O2RYNGN1RZRS91K7M4TV","17","E","17031011E103","2067311011")</f>
        <v>463870.95</v>
      </c>
      <c r="I946" s="48">
        <f>[1]!BexGetData("DP_2","DL719O2RYNIY3MZ1QVCEEWBN7","17","E","17031011E103","2067311011")</f>
        <v>0</v>
      </c>
    </row>
    <row r="947" spans="1:9" x14ac:dyDescent="0.2">
      <c r="A947" s="46" t="s">
        <v>32</v>
      </c>
      <c r="B947" s="46" t="s">
        <v>32</v>
      </c>
      <c r="C947" s="46" t="s">
        <v>32</v>
      </c>
      <c r="D947" s="46" t="s">
        <v>32</v>
      </c>
      <c r="E947" s="46" t="s">
        <v>32</v>
      </c>
      <c r="F947" s="47">
        <f>[1]!BexGetData("DP_2","DL719O2RYNC0Y217V0FVT1R77","17","E","17031011E103","2067313011")</f>
        <v>27154</v>
      </c>
      <c r="G947" s="48">
        <f>[1]!BexGetData("DP_2","DL719O2RYNEBZX0HTMQQ0BY0J","17","E","17031011E103","2067313011")</f>
        <v>27154</v>
      </c>
      <c r="H947" s="48">
        <f>[1]!BexGetData("DP_2","DL719O2RYNGN1RZRS91K7M4TV","17","E","17031011E103","2067313011")</f>
        <v>27154</v>
      </c>
      <c r="I947" s="48">
        <f>[1]!BexGetData("DP_2","DL719O2RYNIY3MZ1QVCEEWBN7","17","E","17031011E103","2067313011")</f>
        <v>0</v>
      </c>
    </row>
    <row r="948" spans="1:9" x14ac:dyDescent="0.2">
      <c r="A948" s="46" t="s">
        <v>32</v>
      </c>
      <c r="B948" s="46" t="s">
        <v>32</v>
      </c>
      <c r="C948" s="46" t="s">
        <v>32</v>
      </c>
      <c r="D948" s="46" t="s">
        <v>32</v>
      </c>
      <c r="E948" s="46" t="s">
        <v>32</v>
      </c>
      <c r="F948" s="47">
        <f>[1]!BexGetData("DP_2","DL719O2RYNC0Y217V0FVT1R77","17","E","17031011E103","2067314011")</f>
        <v>93179.53</v>
      </c>
      <c r="G948" s="48">
        <f>[1]!BexGetData("DP_2","DL719O2RYNEBZX0HTMQQ0BY0J","17","E","17031011E103","2067314011")</f>
        <v>93179.53</v>
      </c>
      <c r="H948" s="48">
        <f>[1]!BexGetData("DP_2","DL719O2RYNGN1RZRS91K7M4TV","17","E","17031011E103","2067314011")</f>
        <v>93179.53</v>
      </c>
      <c r="I948" s="48">
        <f>[1]!BexGetData("DP_2","DL719O2RYNIY3MZ1QVCEEWBN7","17","E","17031011E103","2067314011")</f>
        <v>0</v>
      </c>
    </row>
    <row r="949" spans="1:9" x14ac:dyDescent="0.2">
      <c r="A949" s="46" t="s">
        <v>32</v>
      </c>
      <c r="B949" s="46" t="s">
        <v>32</v>
      </c>
      <c r="C949" s="46" t="s">
        <v>32</v>
      </c>
      <c r="D949" s="46" t="s">
        <v>32</v>
      </c>
      <c r="E949" s="46" t="s">
        <v>32</v>
      </c>
      <c r="F949" s="47">
        <f>[1]!BexGetData("DP_2","DL719O2RYNC0Y217V0FVT1R77","17","E","17031011E103","2067315011")</f>
        <v>0</v>
      </c>
      <c r="G949" s="48">
        <f>[1]!BexGetData("DP_2","DL719O2RYNEBZX0HTMQQ0BY0J","17","E","17031011E103","2067315011")</f>
        <v>0</v>
      </c>
      <c r="H949" s="48">
        <f>[1]!BexGetData("DP_2","DL719O2RYNGN1RZRS91K7M4TV","17","E","17031011E103","2067315011")</f>
        <v>0</v>
      </c>
      <c r="I949" s="48">
        <f>[1]!BexGetData("DP_2","DL719O2RYNIY3MZ1QVCEEWBN7","17","E","17031011E103","2067315011")</f>
        <v>0</v>
      </c>
    </row>
    <row r="950" spans="1:9" x14ac:dyDescent="0.2">
      <c r="A950" s="46" t="s">
        <v>32</v>
      </c>
      <c r="B950" s="46" t="s">
        <v>32</v>
      </c>
      <c r="C950" s="46" t="s">
        <v>32</v>
      </c>
      <c r="D950" s="46" t="s">
        <v>32</v>
      </c>
      <c r="E950" s="46" t="s">
        <v>32</v>
      </c>
      <c r="F950" s="47">
        <f>[1]!BexGetData("DP_2","DL719O2RYNC0Y217V0FVT1R77","17","E","17031011E103","2067318011")</f>
        <v>1597.09</v>
      </c>
      <c r="G950" s="48">
        <f>[1]!BexGetData("DP_2","DL719O2RYNEBZX0HTMQQ0BY0J","17","E","17031011E103","2067318011")</f>
        <v>1597.09</v>
      </c>
      <c r="H950" s="48">
        <f>[1]!BexGetData("DP_2","DL719O2RYNGN1RZRS91K7M4TV","17","E","17031011E103","2067318011")</f>
        <v>1597.09</v>
      </c>
      <c r="I950" s="48">
        <f>[1]!BexGetData("DP_2","DL719O2RYNIY3MZ1QVCEEWBN7","17","E","17031011E103","2067318011")</f>
        <v>0</v>
      </c>
    </row>
    <row r="951" spans="1:9" x14ac:dyDescent="0.2">
      <c r="A951" s="46" t="s">
        <v>32</v>
      </c>
      <c r="B951" s="46" t="s">
        <v>32</v>
      </c>
      <c r="C951" s="46" t="s">
        <v>32</v>
      </c>
      <c r="D951" s="46" t="s">
        <v>32</v>
      </c>
      <c r="E951" s="46" t="s">
        <v>32</v>
      </c>
      <c r="F951" s="47">
        <f>[1]!BexGetData("DP_2","DL719O2RYNC0Y217V0FVT1R77","17","E","17031011E103","2067321011")</f>
        <v>0</v>
      </c>
      <c r="G951" s="48">
        <f>[1]!BexGetData("DP_2","DL719O2RYNEBZX0HTMQQ0BY0J","17","E","17031011E103","2067321011")</f>
        <v>0</v>
      </c>
      <c r="H951" s="48">
        <f>[1]!BexGetData("DP_2","DL719O2RYNGN1RZRS91K7M4TV","17","E","17031011E103","2067321011")</f>
        <v>0</v>
      </c>
      <c r="I951" s="48">
        <f>[1]!BexGetData("DP_2","DL719O2RYNIY3MZ1QVCEEWBN7","17","E","17031011E103","2067321011")</f>
        <v>0</v>
      </c>
    </row>
    <row r="952" spans="1:9" x14ac:dyDescent="0.2">
      <c r="A952" s="46" t="s">
        <v>32</v>
      </c>
      <c r="B952" s="46" t="s">
        <v>32</v>
      </c>
      <c r="C952" s="46" t="s">
        <v>32</v>
      </c>
      <c r="D952" s="46" t="s">
        <v>32</v>
      </c>
      <c r="E952" s="46" t="s">
        <v>32</v>
      </c>
      <c r="F952" s="47">
        <f>[1]!BexGetData("DP_2","DL719O2RYNC0Y217V0FVT1R77","17","E","17031011E103","2067322011")</f>
        <v>951208.34</v>
      </c>
      <c r="G952" s="48">
        <f>[1]!BexGetData("DP_2","DL719O2RYNEBZX0HTMQQ0BY0J","17","E","17031011E103","2067322011")</f>
        <v>951208.34</v>
      </c>
      <c r="H952" s="48">
        <f>[1]!BexGetData("DP_2","DL719O2RYNGN1RZRS91K7M4TV","17","E","17031011E103","2067322011")</f>
        <v>864645.38</v>
      </c>
      <c r="I952" s="48">
        <f>[1]!BexGetData("DP_2","DL719O2RYNIY3MZ1QVCEEWBN7","17","E","17031011E103","2067322011")</f>
        <v>0</v>
      </c>
    </row>
    <row r="953" spans="1:9" x14ac:dyDescent="0.2">
      <c r="A953" s="46" t="s">
        <v>32</v>
      </c>
      <c r="B953" s="46" t="s">
        <v>32</v>
      </c>
      <c r="C953" s="46" t="s">
        <v>32</v>
      </c>
      <c r="D953" s="46" t="s">
        <v>32</v>
      </c>
      <c r="E953" s="46" t="s">
        <v>32</v>
      </c>
      <c r="F953" s="47">
        <f>[1]!BexGetData("DP_2","DL719O2RYNC0Y217V0FVT1R77","17","E","17031011E103","2067329011")</f>
        <v>49916</v>
      </c>
      <c r="G953" s="48">
        <f>[1]!BexGetData("DP_2","DL719O2RYNEBZX0HTMQQ0BY0J","17","E","17031011E103","2067329011")</f>
        <v>49916</v>
      </c>
      <c r="H953" s="48">
        <f>[1]!BexGetData("DP_2","DL719O2RYNGN1RZRS91K7M4TV","17","E","17031011E103","2067329011")</f>
        <v>49916</v>
      </c>
      <c r="I953" s="48">
        <f>[1]!BexGetData("DP_2","DL719O2RYNIY3MZ1QVCEEWBN7","17","E","17031011E103","2067329011")</f>
        <v>0</v>
      </c>
    </row>
    <row r="954" spans="1:9" x14ac:dyDescent="0.2">
      <c r="A954" s="46" t="s">
        <v>32</v>
      </c>
      <c r="B954" s="46" t="s">
        <v>32</v>
      </c>
      <c r="C954" s="46" t="s">
        <v>32</v>
      </c>
      <c r="D954" s="46" t="s">
        <v>32</v>
      </c>
      <c r="E954" s="46" t="s">
        <v>32</v>
      </c>
      <c r="F954" s="47">
        <f>[1]!BexGetData("DP_2","DL719O2RYNC0Y217V0FVT1R77","17","E","17031011E103","2067336011")</f>
        <v>165517.51999999999</v>
      </c>
      <c r="G954" s="48">
        <f>[1]!BexGetData("DP_2","DL719O2RYNEBZX0HTMQQ0BY0J","17","E","17031011E103","2067336011")</f>
        <v>165517.51999999999</v>
      </c>
      <c r="H954" s="48">
        <f>[1]!BexGetData("DP_2","DL719O2RYNGN1RZRS91K7M4TV","17","E","17031011E103","2067336011")</f>
        <v>106216.29</v>
      </c>
      <c r="I954" s="48">
        <f>[1]!BexGetData("DP_2","DL719O2RYNIY3MZ1QVCEEWBN7","17","E","17031011E103","2067336011")</f>
        <v>0</v>
      </c>
    </row>
    <row r="955" spans="1:9" x14ac:dyDescent="0.2">
      <c r="A955" s="46" t="s">
        <v>32</v>
      </c>
      <c r="B955" s="46" t="s">
        <v>32</v>
      </c>
      <c r="C955" s="46" t="s">
        <v>32</v>
      </c>
      <c r="D955" s="46" t="s">
        <v>32</v>
      </c>
      <c r="E955" s="46" t="s">
        <v>32</v>
      </c>
      <c r="F955" s="47">
        <f>[1]!BexGetData("DP_2","DL719O2RYNC0Y217V0FVT1R77","17","E","17031011E103","2067347011")</f>
        <v>34356.14</v>
      </c>
      <c r="G955" s="48">
        <f>[1]!BexGetData("DP_2","DL719O2RYNEBZX0HTMQQ0BY0J","17","E","17031011E103","2067347011")</f>
        <v>34356.14</v>
      </c>
      <c r="H955" s="48">
        <f>[1]!BexGetData("DP_2","DL719O2RYNGN1RZRS91K7M4TV","17","E","17031011E103","2067347011")</f>
        <v>0</v>
      </c>
      <c r="I955" s="48">
        <f>[1]!BexGetData("DP_2","DL719O2RYNIY3MZ1QVCEEWBN7","17","E","17031011E103","2067347011")</f>
        <v>0</v>
      </c>
    </row>
    <row r="956" spans="1:9" x14ac:dyDescent="0.2">
      <c r="A956" s="46" t="s">
        <v>32</v>
      </c>
      <c r="B956" s="46" t="s">
        <v>32</v>
      </c>
      <c r="C956" s="46" t="s">
        <v>32</v>
      </c>
      <c r="D956" s="46" t="s">
        <v>32</v>
      </c>
      <c r="E956" s="46" t="s">
        <v>32</v>
      </c>
      <c r="F956" s="47">
        <f>[1]!BexGetData("DP_2","DL719O2RYNC0Y217V0FVT1R77","17","E","17031011E103","2067351011")</f>
        <v>116000</v>
      </c>
      <c r="G956" s="48">
        <f>[1]!BexGetData("DP_2","DL719O2RYNEBZX0HTMQQ0BY0J","17","E","17031011E103","2067351011")</f>
        <v>116000</v>
      </c>
      <c r="H956" s="48">
        <f>[1]!BexGetData("DP_2","DL719O2RYNGN1RZRS91K7M4TV","17","E","17031011E103","2067351011")</f>
        <v>116000</v>
      </c>
      <c r="I956" s="48">
        <f>[1]!BexGetData("DP_2","DL719O2RYNIY3MZ1QVCEEWBN7","17","E","17031011E103","2067351011")</f>
        <v>0</v>
      </c>
    </row>
    <row r="957" spans="1:9" x14ac:dyDescent="0.2">
      <c r="A957" s="46" t="s">
        <v>32</v>
      </c>
      <c r="B957" s="46" t="s">
        <v>32</v>
      </c>
      <c r="C957" s="46" t="s">
        <v>32</v>
      </c>
      <c r="D957" s="46" t="s">
        <v>32</v>
      </c>
      <c r="E957" s="46" t="s">
        <v>32</v>
      </c>
      <c r="F957" s="47">
        <f>[1]!BexGetData("DP_2","DL719O2RYNC0Y217V0FVT1R77","17","E","17031011E103","2067352011")</f>
        <v>2320</v>
      </c>
      <c r="G957" s="48">
        <f>[1]!BexGetData("DP_2","DL719O2RYNEBZX0HTMQQ0BY0J","17","E","17031011E103","2067352011")</f>
        <v>2320</v>
      </c>
      <c r="H957" s="48">
        <f>[1]!BexGetData("DP_2","DL719O2RYNGN1RZRS91K7M4TV","17","E","17031011E103","2067352011")</f>
        <v>2320</v>
      </c>
      <c r="I957" s="48">
        <f>[1]!BexGetData("DP_2","DL719O2RYNIY3MZ1QVCEEWBN7","17","E","17031011E103","2067352011")</f>
        <v>0</v>
      </c>
    </row>
    <row r="958" spans="1:9" x14ac:dyDescent="0.2">
      <c r="A958" s="46" t="s">
        <v>32</v>
      </c>
      <c r="B958" s="46" t="s">
        <v>32</v>
      </c>
      <c r="C958" s="46" t="s">
        <v>32</v>
      </c>
      <c r="D958" s="46" t="s">
        <v>32</v>
      </c>
      <c r="E958" s="46" t="s">
        <v>32</v>
      </c>
      <c r="F958" s="47">
        <f>[1]!BexGetData("DP_2","DL719O2RYNC0Y217V0FVT1R77","17","E","17031011E103","2067352031")</f>
        <v>9074.68</v>
      </c>
      <c r="G958" s="48">
        <f>[1]!BexGetData("DP_2","DL719O2RYNEBZX0HTMQQ0BY0J","17","E","17031011E103","2067352031")</f>
        <v>9074.68</v>
      </c>
      <c r="H958" s="48">
        <f>[1]!BexGetData("DP_2","DL719O2RYNGN1RZRS91K7M4TV","17","E","17031011E103","2067352031")</f>
        <v>9074.68</v>
      </c>
      <c r="I958" s="48">
        <f>[1]!BexGetData("DP_2","DL719O2RYNIY3MZ1QVCEEWBN7","17","E","17031011E103","2067352031")</f>
        <v>0</v>
      </c>
    </row>
    <row r="959" spans="1:9" x14ac:dyDescent="0.2">
      <c r="A959" s="46" t="s">
        <v>32</v>
      </c>
      <c r="B959" s="46" t="s">
        <v>32</v>
      </c>
      <c r="C959" s="46" t="s">
        <v>32</v>
      </c>
      <c r="D959" s="46" t="s">
        <v>32</v>
      </c>
      <c r="E959" s="46" t="s">
        <v>32</v>
      </c>
      <c r="F959" s="47">
        <f>[1]!BexGetData("DP_2","DL719O2RYNC0Y217V0FVT1R77","17","E","17031011E103","2067352091")</f>
        <v>115072</v>
      </c>
      <c r="G959" s="48">
        <f>[1]!BexGetData("DP_2","DL719O2RYNEBZX0HTMQQ0BY0J","17","E","17031011E103","2067352091")</f>
        <v>115072</v>
      </c>
      <c r="H959" s="48">
        <f>[1]!BexGetData("DP_2","DL719O2RYNGN1RZRS91K7M4TV","17","E","17031011E103","2067352091")</f>
        <v>115072</v>
      </c>
      <c r="I959" s="48">
        <f>[1]!BexGetData("DP_2","DL719O2RYNIY3MZ1QVCEEWBN7","17","E","17031011E103","2067352091")</f>
        <v>0</v>
      </c>
    </row>
    <row r="960" spans="1:9" x14ac:dyDescent="0.2">
      <c r="A960" s="46" t="s">
        <v>32</v>
      </c>
      <c r="B960" s="46" t="s">
        <v>32</v>
      </c>
      <c r="C960" s="46" t="s">
        <v>32</v>
      </c>
      <c r="D960" s="46" t="s">
        <v>32</v>
      </c>
      <c r="E960" s="46" t="s">
        <v>32</v>
      </c>
      <c r="F960" s="47">
        <f>[1]!BexGetData("DP_2","DL719O2RYNC0Y217V0FVT1R77","17","E","17031011E103","2067353011")</f>
        <v>108950</v>
      </c>
      <c r="G960" s="48">
        <f>[1]!BexGetData("DP_2","DL719O2RYNEBZX0HTMQQ0BY0J","17","E","17031011E103","2067353011")</f>
        <v>108950</v>
      </c>
      <c r="H960" s="48">
        <f>[1]!BexGetData("DP_2","DL719O2RYNGN1RZRS91K7M4TV","17","E","17031011E103","2067353011")</f>
        <v>108950</v>
      </c>
      <c r="I960" s="48">
        <f>[1]!BexGetData("DP_2","DL719O2RYNIY3MZ1QVCEEWBN7","17","E","17031011E103","2067353011")</f>
        <v>0</v>
      </c>
    </row>
    <row r="961" spans="1:9" x14ac:dyDescent="0.2">
      <c r="A961" s="46" t="s">
        <v>32</v>
      </c>
      <c r="B961" s="46" t="s">
        <v>32</v>
      </c>
      <c r="C961" s="46" t="s">
        <v>32</v>
      </c>
      <c r="D961" s="46" t="s">
        <v>32</v>
      </c>
      <c r="E961" s="46" t="s">
        <v>32</v>
      </c>
      <c r="F961" s="47">
        <f>[1]!BexGetData("DP_2","DL719O2RYNC0Y217V0FVT1R77","17","E","17031011E103","2067355011")</f>
        <v>3944</v>
      </c>
      <c r="G961" s="48">
        <f>[1]!BexGetData("DP_2","DL719O2RYNEBZX0HTMQQ0BY0J","17","E","17031011E103","2067355011")</f>
        <v>3944</v>
      </c>
      <c r="H961" s="48">
        <f>[1]!BexGetData("DP_2","DL719O2RYNGN1RZRS91K7M4TV","17","E","17031011E103","2067355011")</f>
        <v>0</v>
      </c>
      <c r="I961" s="48">
        <f>[1]!BexGetData("DP_2","DL719O2RYNIY3MZ1QVCEEWBN7","17","E","17031011E103","2067355011")</f>
        <v>0</v>
      </c>
    </row>
    <row r="962" spans="1:9" x14ac:dyDescent="0.2">
      <c r="A962" s="46" t="s">
        <v>32</v>
      </c>
      <c r="B962" s="46" t="s">
        <v>32</v>
      </c>
      <c r="C962" s="46" t="s">
        <v>32</v>
      </c>
      <c r="D962" s="46" t="s">
        <v>32</v>
      </c>
      <c r="E962" s="46" t="s">
        <v>32</v>
      </c>
      <c r="F962" s="47">
        <f>[1]!BexGetData("DP_2","DL719O2RYNC0Y217V0FVT1R77","17","E","17031011E103","2067357011")</f>
        <v>0</v>
      </c>
      <c r="G962" s="48">
        <f>[1]!BexGetData("DP_2","DL719O2RYNEBZX0HTMQQ0BY0J","17","E","17031011E103","2067357011")</f>
        <v>0</v>
      </c>
      <c r="H962" s="48">
        <f>[1]!BexGetData("DP_2","DL719O2RYNGN1RZRS91K7M4TV","17","E","17031011E103","2067357011")</f>
        <v>0</v>
      </c>
      <c r="I962" s="48">
        <f>[1]!BexGetData("DP_2","DL719O2RYNIY3MZ1QVCEEWBN7","17","E","17031011E103","2067357011")</f>
        <v>0</v>
      </c>
    </row>
    <row r="963" spans="1:9" x14ac:dyDescent="0.2">
      <c r="A963" s="46" t="s">
        <v>32</v>
      </c>
      <c r="B963" s="46" t="s">
        <v>32</v>
      </c>
      <c r="C963" s="46" t="s">
        <v>32</v>
      </c>
      <c r="D963" s="46" t="s">
        <v>32</v>
      </c>
      <c r="E963" s="46" t="s">
        <v>32</v>
      </c>
      <c r="F963" s="47">
        <f>[1]!BexGetData("DP_2","DL719O2RYNC0Y217V0FVT1R77","17","E","17031011E103","2067357021")</f>
        <v>67749.97</v>
      </c>
      <c r="G963" s="48">
        <f>[1]!BexGetData("DP_2","DL719O2RYNEBZX0HTMQQ0BY0J","17","E","17031011E103","2067357021")</f>
        <v>67749.97</v>
      </c>
      <c r="H963" s="48">
        <f>[1]!BexGetData("DP_2","DL719O2RYNGN1RZRS91K7M4TV","17","E","17031011E103","2067357021")</f>
        <v>67749.97</v>
      </c>
      <c r="I963" s="48">
        <f>[1]!BexGetData("DP_2","DL719O2RYNIY3MZ1QVCEEWBN7","17","E","17031011E103","2067357021")</f>
        <v>0</v>
      </c>
    </row>
    <row r="964" spans="1:9" x14ac:dyDescent="0.2">
      <c r="A964" s="46" t="s">
        <v>32</v>
      </c>
      <c r="B964" s="46" t="s">
        <v>32</v>
      </c>
      <c r="C964" s="46" t="s">
        <v>32</v>
      </c>
      <c r="D964" s="46" t="s">
        <v>32</v>
      </c>
      <c r="E964" s="46" t="s">
        <v>32</v>
      </c>
      <c r="F964" s="47">
        <f>[1]!BexGetData("DP_2","DL719O2RYNC0Y217V0FVT1R77","17","E","17031011E103","2067357031")</f>
        <v>96000</v>
      </c>
      <c r="G964" s="48">
        <f>[1]!BexGetData("DP_2","DL719O2RYNEBZX0HTMQQ0BY0J","17","E","17031011E103","2067357031")</f>
        <v>96000</v>
      </c>
      <c r="H964" s="48">
        <f>[1]!BexGetData("DP_2","DL719O2RYNGN1RZRS91K7M4TV","17","E","17031011E103","2067357031")</f>
        <v>96000</v>
      </c>
      <c r="I964" s="48">
        <f>[1]!BexGetData("DP_2","DL719O2RYNIY3MZ1QVCEEWBN7","17","E","17031011E103","2067357031")</f>
        <v>0</v>
      </c>
    </row>
    <row r="965" spans="1:9" x14ac:dyDescent="0.2">
      <c r="A965" s="46" t="s">
        <v>32</v>
      </c>
      <c r="B965" s="46" t="s">
        <v>32</v>
      </c>
      <c r="C965" s="46" t="s">
        <v>32</v>
      </c>
      <c r="D965" s="46" t="s">
        <v>32</v>
      </c>
      <c r="E965" s="46" t="s">
        <v>32</v>
      </c>
      <c r="F965" s="47">
        <f>[1]!BexGetData("DP_2","DL719O2RYNC0Y217V0FVT1R77","17","E","17031011E103","2067357041")</f>
        <v>0</v>
      </c>
      <c r="G965" s="48">
        <f>[1]!BexGetData("DP_2","DL719O2RYNEBZX0HTMQQ0BY0J","17","E","17031011E103","2067357041")</f>
        <v>0</v>
      </c>
      <c r="H965" s="48">
        <f>[1]!BexGetData("DP_2","DL719O2RYNGN1RZRS91K7M4TV","17","E","17031011E103","2067357041")</f>
        <v>0</v>
      </c>
      <c r="I965" s="48">
        <f>[1]!BexGetData("DP_2","DL719O2RYNIY3MZ1QVCEEWBN7","17","E","17031011E103","2067357041")</f>
        <v>0</v>
      </c>
    </row>
    <row r="966" spans="1:9" x14ac:dyDescent="0.2">
      <c r="A966" s="46" t="s">
        <v>32</v>
      </c>
      <c r="B966" s="46" t="s">
        <v>32</v>
      </c>
      <c r="C966" s="46" t="s">
        <v>32</v>
      </c>
      <c r="D966" s="46" t="s">
        <v>32</v>
      </c>
      <c r="E966" s="46" t="s">
        <v>32</v>
      </c>
      <c r="F966" s="47">
        <f>[1]!BexGetData("DP_2","DL719O2RYNC0Y217V0FVT1R77","17","E","17031011E103","2067357091")</f>
        <v>1160</v>
      </c>
      <c r="G966" s="48">
        <f>[1]!BexGetData("DP_2","DL719O2RYNEBZX0HTMQQ0BY0J","17","E","17031011E103","2067357091")</f>
        <v>1160</v>
      </c>
      <c r="H966" s="48">
        <f>[1]!BexGetData("DP_2","DL719O2RYNGN1RZRS91K7M4TV","17","E","17031011E103","2067357091")</f>
        <v>1160</v>
      </c>
      <c r="I966" s="48">
        <f>[1]!BexGetData("DP_2","DL719O2RYNIY3MZ1QVCEEWBN7","17","E","17031011E103","2067357091")</f>
        <v>0</v>
      </c>
    </row>
    <row r="967" spans="1:9" x14ac:dyDescent="0.2">
      <c r="A967" s="46" t="s">
        <v>32</v>
      </c>
      <c r="B967" s="46" t="s">
        <v>32</v>
      </c>
      <c r="C967" s="46" t="s">
        <v>32</v>
      </c>
      <c r="D967" s="46" t="s">
        <v>32</v>
      </c>
      <c r="E967" s="46" t="s">
        <v>32</v>
      </c>
      <c r="F967" s="47">
        <f>[1]!BexGetData("DP_2","DL719O2RYNC0Y217V0FVT1R77","17","E","17031011E103","2067359011")</f>
        <v>2088</v>
      </c>
      <c r="G967" s="48">
        <f>[1]!BexGetData("DP_2","DL719O2RYNEBZX0HTMQQ0BY0J","17","E","17031011E103","2067359011")</f>
        <v>2088</v>
      </c>
      <c r="H967" s="48">
        <f>[1]!BexGetData("DP_2","DL719O2RYNGN1RZRS91K7M4TV","17","E","17031011E103","2067359011")</f>
        <v>2088</v>
      </c>
      <c r="I967" s="48">
        <f>[1]!BexGetData("DP_2","DL719O2RYNIY3MZ1QVCEEWBN7","17","E","17031011E103","2067359011")</f>
        <v>0</v>
      </c>
    </row>
    <row r="968" spans="1:9" x14ac:dyDescent="0.2">
      <c r="A968" s="46" t="s">
        <v>32</v>
      </c>
      <c r="B968" s="46" t="s">
        <v>32</v>
      </c>
      <c r="C968" s="46" t="s">
        <v>32</v>
      </c>
      <c r="D968" s="46" t="s">
        <v>32</v>
      </c>
      <c r="E968" s="46" t="s">
        <v>32</v>
      </c>
      <c r="F968" s="47">
        <f>[1]!BexGetData("DP_2","DL719O2RYNC0Y217V0FVT1R77","17","E","17031011E103","2067361011")</f>
        <v>60320</v>
      </c>
      <c r="G968" s="48">
        <f>[1]!BexGetData("DP_2","DL719O2RYNEBZX0HTMQQ0BY0J","17","E","17031011E103","2067361011")</f>
        <v>60320</v>
      </c>
      <c r="H968" s="48">
        <f>[1]!BexGetData("DP_2","DL719O2RYNGN1RZRS91K7M4TV","17","E","17031011E103","2067361011")</f>
        <v>60320</v>
      </c>
      <c r="I968" s="48">
        <f>[1]!BexGetData("DP_2","DL719O2RYNIY3MZ1QVCEEWBN7","17","E","17031011E103","2067361011")</f>
        <v>0</v>
      </c>
    </row>
    <row r="969" spans="1:9" x14ac:dyDescent="0.2">
      <c r="A969" s="46" t="s">
        <v>32</v>
      </c>
      <c r="B969" s="46" t="s">
        <v>32</v>
      </c>
      <c r="C969" s="46" t="s">
        <v>32</v>
      </c>
      <c r="D969" s="46" t="s">
        <v>32</v>
      </c>
      <c r="E969" s="46" t="s">
        <v>32</v>
      </c>
      <c r="F969" s="47">
        <f>[1]!BexGetData("DP_2","DL719O2RYNC0Y217V0FVT1R77","17","E","17031011E103","2067371011")</f>
        <v>5567.25</v>
      </c>
      <c r="G969" s="48">
        <f>[1]!BexGetData("DP_2","DL719O2RYNEBZX0HTMQQ0BY0J","17","E","17031011E103","2067371011")</f>
        <v>5567.25</v>
      </c>
      <c r="H969" s="48">
        <f>[1]!BexGetData("DP_2","DL719O2RYNGN1RZRS91K7M4TV","17","E","17031011E103","2067371011")</f>
        <v>5567.25</v>
      </c>
      <c r="I969" s="48">
        <f>[1]!BexGetData("DP_2","DL719O2RYNIY3MZ1QVCEEWBN7","17","E","17031011E103","2067371011")</f>
        <v>0</v>
      </c>
    </row>
    <row r="970" spans="1:9" x14ac:dyDescent="0.2">
      <c r="A970" s="46" t="s">
        <v>32</v>
      </c>
      <c r="B970" s="46" t="s">
        <v>32</v>
      </c>
      <c r="C970" s="46" t="s">
        <v>32</v>
      </c>
      <c r="D970" s="46" t="s">
        <v>32</v>
      </c>
      <c r="E970" s="46" t="s">
        <v>32</v>
      </c>
      <c r="F970" s="47">
        <f>[1]!BexGetData("DP_2","DL719O2RYNC0Y217V0FVT1R77","17","E","17031011E103","2067372011")</f>
        <v>9689</v>
      </c>
      <c r="G970" s="48">
        <f>[1]!BexGetData("DP_2","DL719O2RYNEBZX0HTMQQ0BY0J","17","E","17031011E103","2067372011")</f>
        <v>9689</v>
      </c>
      <c r="H970" s="48">
        <f>[1]!BexGetData("DP_2","DL719O2RYNGN1RZRS91K7M4TV","17","E","17031011E103","2067372011")</f>
        <v>9689</v>
      </c>
      <c r="I970" s="48">
        <f>[1]!BexGetData("DP_2","DL719O2RYNIY3MZ1QVCEEWBN7","17","E","17031011E103","2067372011")</f>
        <v>0</v>
      </c>
    </row>
    <row r="971" spans="1:9" x14ac:dyDescent="0.2">
      <c r="A971" s="46" t="s">
        <v>32</v>
      </c>
      <c r="B971" s="46" t="s">
        <v>32</v>
      </c>
      <c r="C971" s="46" t="s">
        <v>32</v>
      </c>
      <c r="D971" s="46" t="s">
        <v>32</v>
      </c>
      <c r="E971" s="46" t="s">
        <v>32</v>
      </c>
      <c r="F971" s="47">
        <f>[1]!BexGetData("DP_2","DL719O2RYNC0Y217V0FVT1R77","17","E","17031011E103","2067375011")</f>
        <v>32400</v>
      </c>
      <c r="G971" s="48">
        <f>[1]!BexGetData("DP_2","DL719O2RYNEBZX0HTMQQ0BY0J","17","E","17031011E103","2067375011")</f>
        <v>32400</v>
      </c>
      <c r="H971" s="48">
        <f>[1]!BexGetData("DP_2","DL719O2RYNGN1RZRS91K7M4TV","17","E","17031011E103","2067375011")</f>
        <v>32400</v>
      </c>
      <c r="I971" s="48">
        <f>[1]!BexGetData("DP_2","DL719O2RYNIY3MZ1QVCEEWBN7","17","E","17031011E103","2067375011")</f>
        <v>0</v>
      </c>
    </row>
    <row r="972" spans="1:9" x14ac:dyDescent="0.2">
      <c r="A972" s="46" t="s">
        <v>32</v>
      </c>
      <c r="B972" s="46" t="s">
        <v>32</v>
      </c>
      <c r="C972" s="46" t="s">
        <v>32</v>
      </c>
      <c r="D972" s="46" t="s">
        <v>32</v>
      </c>
      <c r="E972" s="46" t="s">
        <v>32</v>
      </c>
      <c r="F972" s="47">
        <f>[1]!BexGetData("DP_2","DL719O2RYNC0Y217V0FVT1R77","17","E","17031011E103","2067382021")</f>
        <v>1392</v>
      </c>
      <c r="G972" s="48">
        <f>[1]!BexGetData("DP_2","DL719O2RYNEBZX0HTMQQ0BY0J","17","E","17031011E103","2067382021")</f>
        <v>1392</v>
      </c>
      <c r="H972" s="48">
        <f>[1]!BexGetData("DP_2","DL719O2RYNGN1RZRS91K7M4TV","17","E","17031011E103","2067382021")</f>
        <v>1392</v>
      </c>
      <c r="I972" s="48">
        <f>[1]!BexGetData("DP_2","DL719O2RYNIY3MZ1QVCEEWBN7","17","E","17031011E103","2067382021")</f>
        <v>0</v>
      </c>
    </row>
    <row r="973" spans="1:9" x14ac:dyDescent="0.2">
      <c r="A973" s="46" t="s">
        <v>32</v>
      </c>
      <c r="B973" s="46" t="s">
        <v>32</v>
      </c>
      <c r="C973" s="46" t="s">
        <v>32</v>
      </c>
      <c r="D973" s="46" t="s">
        <v>32</v>
      </c>
      <c r="E973" s="46" t="s">
        <v>32</v>
      </c>
      <c r="F973" s="47">
        <f>[1]!BexGetData("DP_2","DL719O2RYNC0Y217V0FVT1R77","17","E","17031011E103","2067385011")</f>
        <v>0</v>
      </c>
      <c r="G973" s="48">
        <f>[1]!BexGetData("DP_2","DL719O2RYNEBZX0HTMQQ0BY0J","17","E","17031011E103","2067385011")</f>
        <v>0</v>
      </c>
      <c r="H973" s="48">
        <f>[1]!BexGetData("DP_2","DL719O2RYNGN1RZRS91K7M4TV","17","E","17031011E103","2067385011")</f>
        <v>0</v>
      </c>
      <c r="I973" s="48">
        <f>[1]!BexGetData("DP_2","DL719O2RYNIY3MZ1QVCEEWBN7","17","E","17031011E103","2067385011")</f>
        <v>0</v>
      </c>
    </row>
    <row r="974" spans="1:9" x14ac:dyDescent="0.2">
      <c r="A974" s="46" t="s">
        <v>32</v>
      </c>
      <c r="B974" s="46" t="s">
        <v>32</v>
      </c>
      <c r="C974" s="46" t="s">
        <v>32</v>
      </c>
      <c r="D974" s="46" t="s">
        <v>32</v>
      </c>
      <c r="E974" s="46" t="s">
        <v>32</v>
      </c>
      <c r="F974" s="47">
        <f>[1]!BexGetData("DP_2","DL719O2RYNC0Y217V0FVT1R77","17","E","17031011E103","2067392011")</f>
        <v>1960.6</v>
      </c>
      <c r="G974" s="48">
        <f>[1]!BexGetData("DP_2","DL719O2RYNEBZX0HTMQQ0BY0J","17","E","17031011E103","2067392011")</f>
        <v>1960.6</v>
      </c>
      <c r="H974" s="48">
        <f>[1]!BexGetData("DP_2","DL719O2RYNGN1RZRS91K7M4TV","17","E","17031011E103","2067392011")</f>
        <v>1960.6</v>
      </c>
      <c r="I974" s="48">
        <f>[1]!BexGetData("DP_2","DL719O2RYNIY3MZ1QVCEEWBN7","17","E","17031011E103","2067392011")</f>
        <v>0</v>
      </c>
    </row>
    <row r="975" spans="1:9" x14ac:dyDescent="0.2">
      <c r="A975" s="46" t="s">
        <v>32</v>
      </c>
      <c r="B975" s="46" t="s">
        <v>32</v>
      </c>
      <c r="C975" s="46" t="s">
        <v>32</v>
      </c>
      <c r="D975" s="46" t="s">
        <v>32</v>
      </c>
      <c r="E975" s="46" t="s">
        <v>32</v>
      </c>
      <c r="F975" s="47">
        <f>[1]!BexGetData("DP_2","DL719O2RYNC0Y217V0FVT1R77","17","E","17031011E103","2067399031")</f>
        <v>2743.4</v>
      </c>
      <c r="G975" s="48">
        <f>[1]!BexGetData("DP_2","DL719O2RYNEBZX0HTMQQ0BY0J","17","E","17031011E103","2067399031")</f>
        <v>2743.4</v>
      </c>
      <c r="H975" s="48">
        <f>[1]!BexGetData("DP_2","DL719O2RYNGN1RZRS91K7M4TV","17","E","17031011E103","2067399031")</f>
        <v>2743.4</v>
      </c>
      <c r="I975" s="48">
        <f>[1]!BexGetData("DP_2","DL719O2RYNIY3MZ1QVCEEWBN7","17","E","17031011E103","2067399031")</f>
        <v>0</v>
      </c>
    </row>
    <row r="976" spans="1:9" x14ac:dyDescent="0.2">
      <c r="A976" s="46" t="s">
        <v>32</v>
      </c>
      <c r="B976" s="46" t="s">
        <v>32</v>
      </c>
      <c r="C976" s="46" t="s">
        <v>32</v>
      </c>
      <c r="D976" s="46" t="s">
        <v>32</v>
      </c>
      <c r="E976" s="46" t="s">
        <v>32</v>
      </c>
      <c r="F976" s="47">
        <f>[1]!BexGetData("DP_2","DL719O2RYNC0Y217V0FVT1R77","17","E","17031011E103","2067515012")</f>
        <v>12500</v>
      </c>
      <c r="G976" s="48">
        <f>[1]!BexGetData("DP_2","DL719O2RYNEBZX0HTMQQ0BY0J","17","E","17031011E103","2067515012")</f>
        <v>12500</v>
      </c>
      <c r="H976" s="48">
        <f>[1]!BexGetData("DP_2","DL719O2RYNGN1RZRS91K7M4TV","17","E","17031011E103","2067515012")</f>
        <v>0</v>
      </c>
      <c r="I976" s="48">
        <f>[1]!BexGetData("DP_2","DL719O2RYNIY3MZ1QVCEEWBN7","17","E","17031011E103","2067515012")</f>
        <v>0</v>
      </c>
    </row>
    <row r="977" spans="1:9" x14ac:dyDescent="0.2">
      <c r="A977" s="46" t="s">
        <v>32</v>
      </c>
      <c r="B977" s="46" t="s">
        <v>32</v>
      </c>
      <c r="C977" s="46" t="s">
        <v>32</v>
      </c>
      <c r="D977" s="46" t="s">
        <v>32</v>
      </c>
      <c r="E977" s="46" t="s">
        <v>32</v>
      </c>
      <c r="F977" s="47">
        <f>[1]!BexGetData("DP_2","DL719O2RYNC0Y217V0FVT1R77","17","E","17031011E103","2067523012")</f>
        <v>0</v>
      </c>
      <c r="G977" s="48">
        <f>[1]!BexGetData("DP_2","DL719O2RYNEBZX0HTMQQ0BY0J","17","E","17031011E103","2067523012")</f>
        <v>0</v>
      </c>
      <c r="H977" s="48">
        <f>[1]!BexGetData("DP_2","DL719O2RYNGN1RZRS91K7M4TV","17","E","17031011E103","2067523012")</f>
        <v>0</v>
      </c>
      <c r="I977" s="48">
        <f>[1]!BexGetData("DP_2","DL719O2RYNIY3MZ1QVCEEWBN7","17","E","17031011E103","2067523012")</f>
        <v>0</v>
      </c>
    </row>
    <row r="978" spans="1:9" x14ac:dyDescent="0.2">
      <c r="A978" s="46" t="s">
        <v>32</v>
      </c>
      <c r="B978" s="46" t="s">
        <v>32</v>
      </c>
      <c r="C978" s="46" t="s">
        <v>103</v>
      </c>
      <c r="D978" s="46" t="s">
        <v>103</v>
      </c>
      <c r="E978" s="46" t="s">
        <v>32</v>
      </c>
      <c r="F978" s="47">
        <f>[1]!BexGetData("DP_2","DL719O2RYNC0Y217V0FVT1R77","17","E","17031021E103","2067112011")</f>
        <v>28198815.25</v>
      </c>
      <c r="G978" s="48">
        <f>[1]!BexGetData("DP_2","DL719O2RYNEBZX0HTMQQ0BY0J","17","E","17031021E103","2067112011")</f>
        <v>28198815.25</v>
      </c>
      <c r="H978" s="48">
        <f>[1]!BexGetData("DP_2","DL719O2RYNGN1RZRS91K7M4TV","17","E","17031021E103","2067112011")</f>
        <v>28198815.25</v>
      </c>
      <c r="I978" s="48">
        <f>[1]!BexGetData("DP_2","DL719O2RYNIY3MZ1QVCEEWBN7","17","E","17031021E103","2067112011")</f>
        <v>4.0000000000000002E-9</v>
      </c>
    </row>
    <row r="979" spans="1:9" x14ac:dyDescent="0.2">
      <c r="A979" s="46" t="s">
        <v>32</v>
      </c>
      <c r="B979" s="46" t="s">
        <v>32</v>
      </c>
      <c r="C979" s="46" t="s">
        <v>32</v>
      </c>
      <c r="D979" s="46" t="s">
        <v>32</v>
      </c>
      <c r="E979" s="46" t="s">
        <v>32</v>
      </c>
      <c r="F979" s="47">
        <f>[1]!BexGetData("DP_2","DL719O2RYNC0Y217V0FVT1R77","17","E","17031021E103","2067131021")</f>
        <v>2871046.62</v>
      </c>
      <c r="G979" s="48">
        <f>[1]!BexGetData("DP_2","DL719O2RYNEBZX0HTMQQ0BY0J","17","E","17031021E103","2067131021")</f>
        <v>2871046.62</v>
      </c>
      <c r="H979" s="48">
        <f>[1]!BexGetData("DP_2","DL719O2RYNGN1RZRS91K7M4TV","17","E","17031021E103","2067131021")</f>
        <v>2871046.62</v>
      </c>
      <c r="I979" s="48">
        <f>[1]!BexGetData("DP_2","DL719O2RYNIY3MZ1QVCEEWBN7","17","E","17031021E103","2067131021")</f>
        <v>0</v>
      </c>
    </row>
    <row r="980" spans="1:9" x14ac:dyDescent="0.2">
      <c r="A980" s="46" t="s">
        <v>32</v>
      </c>
      <c r="B980" s="46" t="s">
        <v>32</v>
      </c>
      <c r="C980" s="46" t="s">
        <v>32</v>
      </c>
      <c r="D980" s="46" t="s">
        <v>32</v>
      </c>
      <c r="E980" s="46" t="s">
        <v>32</v>
      </c>
      <c r="F980" s="47">
        <f>[1]!BexGetData("DP_2","DL719O2RYNC0Y217V0FVT1R77","17","E","17031021E103","2067132011")</f>
        <v>709392.05</v>
      </c>
      <c r="G980" s="48">
        <f>[1]!BexGetData("DP_2","DL719O2RYNEBZX0HTMQQ0BY0J","17","E","17031021E103","2067132011")</f>
        <v>709392.05</v>
      </c>
      <c r="H980" s="48">
        <f>[1]!BexGetData("DP_2","DL719O2RYNGN1RZRS91K7M4TV","17","E","17031021E103","2067132011")</f>
        <v>709392.05</v>
      </c>
      <c r="I980" s="48">
        <f>[1]!BexGetData("DP_2","DL719O2RYNIY3MZ1QVCEEWBN7","17","E","17031021E103","2067132011")</f>
        <v>0</v>
      </c>
    </row>
    <row r="981" spans="1:9" x14ac:dyDescent="0.2">
      <c r="A981" s="46" t="s">
        <v>32</v>
      </c>
      <c r="B981" s="46" t="s">
        <v>32</v>
      </c>
      <c r="C981" s="46" t="s">
        <v>32</v>
      </c>
      <c r="D981" s="46" t="s">
        <v>32</v>
      </c>
      <c r="E981" s="46" t="s">
        <v>32</v>
      </c>
      <c r="F981" s="47">
        <f>[1]!BexGetData("DP_2","DL719O2RYNC0Y217V0FVT1R77","17","E","17031021E103","2067132021")</f>
        <v>5920538.6500000004</v>
      </c>
      <c r="G981" s="48">
        <f>[1]!BexGetData("DP_2","DL719O2RYNEBZX0HTMQQ0BY0J","17","E","17031021E103","2067132021")</f>
        <v>5920538.6500000004</v>
      </c>
      <c r="H981" s="48">
        <f>[1]!BexGetData("DP_2","DL719O2RYNGN1RZRS91K7M4TV","17","E","17031021E103","2067132021")</f>
        <v>5920538.6500000004</v>
      </c>
      <c r="I981" s="48">
        <f>[1]!BexGetData("DP_2","DL719O2RYNIY3MZ1QVCEEWBN7","17","E","17031021E103","2067132021")</f>
        <v>1.0000000000000001E-9</v>
      </c>
    </row>
    <row r="982" spans="1:9" x14ac:dyDescent="0.2">
      <c r="A982" s="46" t="s">
        <v>32</v>
      </c>
      <c r="B982" s="46" t="s">
        <v>32</v>
      </c>
      <c r="C982" s="46" t="s">
        <v>32</v>
      </c>
      <c r="D982" s="46" t="s">
        <v>32</v>
      </c>
      <c r="E982" s="46" t="s">
        <v>32</v>
      </c>
      <c r="F982" s="47">
        <f>[1]!BexGetData("DP_2","DL719O2RYNC0Y217V0FVT1R77","17","E","17031021E103","2067134011")</f>
        <v>967659.35</v>
      </c>
      <c r="G982" s="48">
        <f>[1]!BexGetData("DP_2","DL719O2RYNEBZX0HTMQQ0BY0J","17","E","17031021E103","2067134011")</f>
        <v>967659.35</v>
      </c>
      <c r="H982" s="48">
        <f>[1]!BexGetData("DP_2","DL719O2RYNGN1RZRS91K7M4TV","17","E","17031021E103","2067134011")</f>
        <v>980633.05</v>
      </c>
      <c r="I982" s="48">
        <f>[1]!BexGetData("DP_2","DL719O2RYNIY3MZ1QVCEEWBN7","17","E","17031021E103","2067134011")</f>
        <v>0</v>
      </c>
    </row>
    <row r="983" spans="1:9" x14ac:dyDescent="0.2">
      <c r="A983" s="46" t="s">
        <v>32</v>
      </c>
      <c r="B983" s="46" t="s">
        <v>32</v>
      </c>
      <c r="C983" s="46" t="s">
        <v>32</v>
      </c>
      <c r="D983" s="46" t="s">
        <v>32</v>
      </c>
      <c r="E983" s="46" t="s">
        <v>32</v>
      </c>
      <c r="F983" s="47">
        <f>[1]!BexGetData("DP_2","DL719O2RYNC0Y217V0FVT1R77","17","E","17031021E103","2067134021")</f>
        <v>5621941.5899999999</v>
      </c>
      <c r="G983" s="48">
        <f>[1]!BexGetData("DP_2","DL719O2RYNEBZX0HTMQQ0BY0J","17","E","17031021E103","2067134021")</f>
        <v>5621941.5899999999</v>
      </c>
      <c r="H983" s="48">
        <f>[1]!BexGetData("DP_2","DL719O2RYNGN1RZRS91K7M4TV","17","E","17031021E103","2067134021")</f>
        <v>5621941.5899999999</v>
      </c>
      <c r="I983" s="48">
        <f>[1]!BexGetData("DP_2","DL719O2RYNIY3MZ1QVCEEWBN7","17","E","17031021E103","2067134021")</f>
        <v>-1.0000000000000001E-9</v>
      </c>
    </row>
    <row r="984" spans="1:9" x14ac:dyDescent="0.2">
      <c r="A984" s="46" t="s">
        <v>32</v>
      </c>
      <c r="B984" s="46" t="s">
        <v>32</v>
      </c>
      <c r="C984" s="46" t="s">
        <v>32</v>
      </c>
      <c r="D984" s="46" t="s">
        <v>32</v>
      </c>
      <c r="E984" s="46" t="s">
        <v>32</v>
      </c>
      <c r="F984" s="47">
        <f>[1]!BexGetData("DP_2","DL719O2RYNC0Y217V0FVT1R77","17","E","17031021E103","2067141011")</f>
        <v>4224441.63</v>
      </c>
      <c r="G984" s="48">
        <f>[1]!BexGetData("DP_2","DL719O2RYNEBZX0HTMQQ0BY0J","17","E","17031021E103","2067141011")</f>
        <v>4224441.63</v>
      </c>
      <c r="H984" s="48">
        <f>[1]!BexGetData("DP_2","DL719O2RYNGN1RZRS91K7M4TV","17","E","17031021E103","2067141011")</f>
        <v>4224441.63</v>
      </c>
      <c r="I984" s="48">
        <f>[1]!BexGetData("DP_2","DL719O2RYNIY3MZ1QVCEEWBN7","17","E","17031021E103","2067141011")</f>
        <v>0</v>
      </c>
    </row>
    <row r="985" spans="1:9" x14ac:dyDescent="0.2">
      <c r="A985" s="46" t="s">
        <v>32</v>
      </c>
      <c r="B985" s="46" t="s">
        <v>32</v>
      </c>
      <c r="C985" s="46" t="s">
        <v>32</v>
      </c>
      <c r="D985" s="46" t="s">
        <v>32</v>
      </c>
      <c r="E985" s="46" t="s">
        <v>32</v>
      </c>
      <c r="F985" s="47">
        <f>[1]!BexGetData("DP_2","DL719O2RYNC0Y217V0FVT1R77","17","E","17031021E103","2067141021")</f>
        <v>1364789.92</v>
      </c>
      <c r="G985" s="48">
        <f>[1]!BexGetData("DP_2","DL719O2RYNEBZX0HTMQQ0BY0J","17","E","17031021E103","2067141021")</f>
        <v>1364789.92</v>
      </c>
      <c r="H985" s="48">
        <f>[1]!BexGetData("DP_2","DL719O2RYNGN1RZRS91K7M4TV","17","E","17031021E103","2067141021")</f>
        <v>1364789.92</v>
      </c>
      <c r="I985" s="48">
        <f>[1]!BexGetData("DP_2","DL719O2RYNIY3MZ1QVCEEWBN7","17","E","17031021E103","2067141021")</f>
        <v>0</v>
      </c>
    </row>
    <row r="986" spans="1:9" x14ac:dyDescent="0.2">
      <c r="A986" s="46" t="s">
        <v>32</v>
      </c>
      <c r="B986" s="46" t="s">
        <v>32</v>
      </c>
      <c r="C986" s="46" t="s">
        <v>32</v>
      </c>
      <c r="D986" s="46" t="s">
        <v>32</v>
      </c>
      <c r="E986" s="46" t="s">
        <v>32</v>
      </c>
      <c r="F986" s="47">
        <f>[1]!BexGetData("DP_2","DL719O2RYNC0Y217V0FVT1R77","17","E","17031021E103","2067143011")</f>
        <v>650379.01</v>
      </c>
      <c r="G986" s="48">
        <f>[1]!BexGetData("DP_2","DL719O2RYNEBZX0HTMQQ0BY0J","17","E","17031021E103","2067143011")</f>
        <v>650379.01</v>
      </c>
      <c r="H986" s="48">
        <f>[1]!BexGetData("DP_2","DL719O2RYNGN1RZRS91K7M4TV","17","E","17031021E103","2067143011")</f>
        <v>650379.01</v>
      </c>
      <c r="I986" s="48">
        <f>[1]!BexGetData("DP_2","DL719O2RYNIY3MZ1QVCEEWBN7","17","E","17031021E103","2067143011")</f>
        <v>0</v>
      </c>
    </row>
    <row r="987" spans="1:9" x14ac:dyDescent="0.2">
      <c r="A987" s="46" t="s">
        <v>32</v>
      </c>
      <c r="B987" s="46" t="s">
        <v>32</v>
      </c>
      <c r="C987" s="46" t="s">
        <v>32</v>
      </c>
      <c r="D987" s="46" t="s">
        <v>32</v>
      </c>
      <c r="E987" s="46" t="s">
        <v>32</v>
      </c>
      <c r="F987" s="47">
        <f>[1]!BexGetData("DP_2","DL719O2RYNC0Y217V0FVT1R77","17","E","17031021E103","2067153011")</f>
        <v>0</v>
      </c>
      <c r="G987" s="48">
        <f>[1]!BexGetData("DP_2","DL719O2RYNEBZX0HTMQQ0BY0J","17","E","17031021E103","2067153011")</f>
        <v>0</v>
      </c>
      <c r="H987" s="48">
        <f>[1]!BexGetData("DP_2","DL719O2RYNGN1RZRS91K7M4TV","17","E","17031021E103","2067153011")</f>
        <v>0</v>
      </c>
      <c r="I987" s="48">
        <f>[1]!BexGetData("DP_2","DL719O2RYNIY3MZ1QVCEEWBN7","17","E","17031021E103","2067153011")</f>
        <v>0</v>
      </c>
    </row>
    <row r="988" spans="1:9" x14ac:dyDescent="0.2">
      <c r="A988" s="46" t="s">
        <v>32</v>
      </c>
      <c r="B988" s="46" t="s">
        <v>32</v>
      </c>
      <c r="C988" s="46" t="s">
        <v>32</v>
      </c>
      <c r="D988" s="46" t="s">
        <v>32</v>
      </c>
      <c r="E988" s="46" t="s">
        <v>32</v>
      </c>
      <c r="F988" s="47">
        <f>[1]!BexGetData("DP_2","DL719O2RYNC0Y217V0FVT1R77","17","E","17031021E103","2067154011")</f>
        <v>4670225.74</v>
      </c>
      <c r="G988" s="48">
        <f>[1]!BexGetData("DP_2","DL719O2RYNEBZX0HTMQQ0BY0J","17","E","17031021E103","2067154011")</f>
        <v>4670225.74</v>
      </c>
      <c r="H988" s="48">
        <f>[1]!BexGetData("DP_2","DL719O2RYNGN1RZRS91K7M4TV","17","E","17031021E103","2067154011")</f>
        <v>4670225.74</v>
      </c>
      <c r="I988" s="48">
        <f>[1]!BexGetData("DP_2","DL719O2RYNIY3MZ1QVCEEWBN7","17","E","17031021E103","2067154011")</f>
        <v>-1.0000000000000001E-9</v>
      </c>
    </row>
    <row r="989" spans="1:9" x14ac:dyDescent="0.2">
      <c r="A989" s="46" t="s">
        <v>32</v>
      </c>
      <c r="B989" s="46" t="s">
        <v>32</v>
      </c>
      <c r="C989" s="46" t="s">
        <v>32</v>
      </c>
      <c r="D989" s="46" t="s">
        <v>32</v>
      </c>
      <c r="E989" s="46" t="s">
        <v>32</v>
      </c>
      <c r="F989" s="47">
        <f>[1]!BexGetData("DP_2","DL719O2RYNC0Y217V0FVT1R77","17","E","17031021E103","2067171021")</f>
        <v>0</v>
      </c>
      <c r="G989" s="48">
        <f>[1]!BexGetData("DP_2","DL719O2RYNEBZX0HTMQQ0BY0J","17","E","17031021E103","2067171021")</f>
        <v>0</v>
      </c>
      <c r="H989" s="48">
        <f>[1]!BexGetData("DP_2","DL719O2RYNGN1RZRS91K7M4TV","17","E","17031021E103","2067171021")</f>
        <v>0</v>
      </c>
      <c r="I989" s="48">
        <f>[1]!BexGetData("DP_2","DL719O2RYNIY3MZ1QVCEEWBN7","17","E","17031021E103","2067171021")</f>
        <v>-1.0000000000000001E-9</v>
      </c>
    </row>
    <row r="990" spans="1:9" x14ac:dyDescent="0.2">
      <c r="A990" s="46" t="s">
        <v>32</v>
      </c>
      <c r="B990" s="46" t="s">
        <v>32</v>
      </c>
      <c r="C990" s="46" t="s">
        <v>32</v>
      </c>
      <c r="D990" s="46" t="s">
        <v>32</v>
      </c>
      <c r="E990" s="46" t="s">
        <v>32</v>
      </c>
      <c r="F990" s="47">
        <f>[1]!BexGetData("DP_2","DL719O2RYNC0Y217V0FVT1R77","17","E","17031021E103","2067211011")</f>
        <v>51400.27</v>
      </c>
      <c r="G990" s="48">
        <f>[1]!BexGetData("DP_2","DL719O2RYNEBZX0HTMQQ0BY0J","17","E","17031021E103","2067211011")</f>
        <v>51400.27</v>
      </c>
      <c r="H990" s="48">
        <f>[1]!BexGetData("DP_2","DL719O2RYNGN1RZRS91K7M4TV","17","E","17031021E103","2067211011")</f>
        <v>51400.27</v>
      </c>
      <c r="I990" s="48">
        <f>[1]!BexGetData("DP_2","DL719O2RYNIY3MZ1QVCEEWBN7","17","E","17031021E103","2067211011")</f>
        <v>0</v>
      </c>
    </row>
    <row r="991" spans="1:9" x14ac:dyDescent="0.2">
      <c r="A991" s="46" t="s">
        <v>32</v>
      </c>
      <c r="B991" s="46" t="s">
        <v>32</v>
      </c>
      <c r="C991" s="46" t="s">
        <v>32</v>
      </c>
      <c r="D991" s="46" t="s">
        <v>32</v>
      </c>
      <c r="E991" s="46" t="s">
        <v>32</v>
      </c>
      <c r="F991" s="47">
        <f>[1]!BexGetData("DP_2","DL719O2RYNC0Y217V0FVT1R77","17","E","17031021E103","2067211021")</f>
        <v>7503.83</v>
      </c>
      <c r="G991" s="48">
        <f>[1]!BexGetData("DP_2","DL719O2RYNEBZX0HTMQQ0BY0J","17","E","17031021E103","2067211021")</f>
        <v>7503.83</v>
      </c>
      <c r="H991" s="48">
        <f>[1]!BexGetData("DP_2","DL719O2RYNGN1RZRS91K7M4TV","17","E","17031021E103","2067211021")</f>
        <v>7503.83</v>
      </c>
      <c r="I991" s="48">
        <f>[1]!BexGetData("DP_2","DL719O2RYNIY3MZ1QVCEEWBN7","17","E","17031021E103","2067211021")</f>
        <v>0</v>
      </c>
    </row>
    <row r="992" spans="1:9" x14ac:dyDescent="0.2">
      <c r="A992" s="46" t="s">
        <v>32</v>
      </c>
      <c r="B992" s="46" t="s">
        <v>32</v>
      </c>
      <c r="C992" s="46" t="s">
        <v>32</v>
      </c>
      <c r="D992" s="46" t="s">
        <v>32</v>
      </c>
      <c r="E992" s="46" t="s">
        <v>32</v>
      </c>
      <c r="F992" s="47">
        <f>[1]!BexGetData("DP_2","DL719O2RYNC0Y217V0FVT1R77","17","E","17031021E103","2067214011")</f>
        <v>10202.280000000001</v>
      </c>
      <c r="G992" s="48">
        <f>[1]!BexGetData("DP_2","DL719O2RYNEBZX0HTMQQ0BY0J","17","E","17031021E103","2067214011")</f>
        <v>10202.280000000001</v>
      </c>
      <c r="H992" s="48">
        <f>[1]!BexGetData("DP_2","DL719O2RYNGN1RZRS91K7M4TV","17","E","17031021E103","2067214011")</f>
        <v>10202.280000000001</v>
      </c>
      <c r="I992" s="48">
        <f>[1]!BexGetData("DP_2","DL719O2RYNIY3MZ1QVCEEWBN7","17","E","17031021E103","2067214011")</f>
        <v>0</v>
      </c>
    </row>
    <row r="993" spans="1:9" x14ac:dyDescent="0.2">
      <c r="A993" s="46" t="s">
        <v>32</v>
      </c>
      <c r="B993" s="46" t="s">
        <v>32</v>
      </c>
      <c r="C993" s="46" t="s">
        <v>32</v>
      </c>
      <c r="D993" s="46" t="s">
        <v>32</v>
      </c>
      <c r="E993" s="46" t="s">
        <v>32</v>
      </c>
      <c r="F993" s="47">
        <f>[1]!BexGetData("DP_2","DL719O2RYNC0Y217V0FVT1R77","17","E","17031021E103","2067215021")</f>
        <v>15277.2</v>
      </c>
      <c r="G993" s="48">
        <f>[1]!BexGetData("DP_2","DL719O2RYNEBZX0HTMQQ0BY0J","17","E","17031021E103","2067215021")</f>
        <v>15277.2</v>
      </c>
      <c r="H993" s="48">
        <f>[1]!BexGetData("DP_2","DL719O2RYNGN1RZRS91K7M4TV","17","E","17031021E103","2067215021")</f>
        <v>15277.2</v>
      </c>
      <c r="I993" s="48">
        <f>[1]!BexGetData("DP_2","DL719O2RYNIY3MZ1QVCEEWBN7","17","E","17031021E103","2067215021")</f>
        <v>0</v>
      </c>
    </row>
    <row r="994" spans="1:9" x14ac:dyDescent="0.2">
      <c r="A994" s="46" t="s">
        <v>32</v>
      </c>
      <c r="B994" s="46" t="s">
        <v>32</v>
      </c>
      <c r="C994" s="46" t="s">
        <v>32</v>
      </c>
      <c r="D994" s="46" t="s">
        <v>32</v>
      </c>
      <c r="E994" s="46" t="s">
        <v>32</v>
      </c>
      <c r="F994" s="47">
        <f>[1]!BexGetData("DP_2","DL719O2RYNC0Y217V0FVT1R77","17","E","17031021E103","2067216011")</f>
        <v>4155.18</v>
      </c>
      <c r="G994" s="48">
        <f>[1]!BexGetData("DP_2","DL719O2RYNEBZX0HTMQQ0BY0J","17","E","17031021E103","2067216011")</f>
        <v>4155.18</v>
      </c>
      <c r="H994" s="48">
        <f>[1]!BexGetData("DP_2","DL719O2RYNGN1RZRS91K7M4TV","17","E","17031021E103","2067216011")</f>
        <v>4155.18</v>
      </c>
      <c r="I994" s="48">
        <f>[1]!BexGetData("DP_2","DL719O2RYNIY3MZ1QVCEEWBN7","17","E","17031021E103","2067216011")</f>
        <v>0</v>
      </c>
    </row>
    <row r="995" spans="1:9" x14ac:dyDescent="0.2">
      <c r="A995" s="46" t="s">
        <v>32</v>
      </c>
      <c r="B995" s="46" t="s">
        <v>32</v>
      </c>
      <c r="C995" s="46" t="s">
        <v>32</v>
      </c>
      <c r="D995" s="46" t="s">
        <v>32</v>
      </c>
      <c r="E995" s="46" t="s">
        <v>32</v>
      </c>
      <c r="F995" s="47">
        <f>[1]!BexGetData("DP_2","DL719O2RYNC0Y217V0FVT1R77","17","E","17031021E103","2067217011")</f>
        <v>1527.1</v>
      </c>
      <c r="G995" s="48">
        <f>[1]!BexGetData("DP_2","DL719O2RYNEBZX0HTMQQ0BY0J","17","E","17031021E103","2067217011")</f>
        <v>1527.1</v>
      </c>
      <c r="H995" s="48">
        <f>[1]!BexGetData("DP_2","DL719O2RYNGN1RZRS91K7M4TV","17","E","17031021E103","2067217011")</f>
        <v>1527.1</v>
      </c>
      <c r="I995" s="48">
        <f>[1]!BexGetData("DP_2","DL719O2RYNIY3MZ1QVCEEWBN7","17","E","17031021E103","2067217011")</f>
        <v>0</v>
      </c>
    </row>
    <row r="996" spans="1:9" x14ac:dyDescent="0.2">
      <c r="A996" s="46" t="s">
        <v>32</v>
      </c>
      <c r="B996" s="46" t="s">
        <v>32</v>
      </c>
      <c r="C996" s="46" t="s">
        <v>32</v>
      </c>
      <c r="D996" s="46" t="s">
        <v>32</v>
      </c>
      <c r="E996" s="46" t="s">
        <v>32</v>
      </c>
      <c r="F996" s="47">
        <f>[1]!BexGetData("DP_2","DL719O2RYNC0Y217V0FVT1R77","17","E","17031021E103","2067221011")</f>
        <v>1589.2</v>
      </c>
      <c r="G996" s="48">
        <f>[1]!BexGetData("DP_2","DL719O2RYNEBZX0HTMQQ0BY0J","17","E","17031021E103","2067221011")</f>
        <v>1589.2</v>
      </c>
      <c r="H996" s="48">
        <f>[1]!BexGetData("DP_2","DL719O2RYNGN1RZRS91K7M4TV","17","E","17031021E103","2067221011")</f>
        <v>1589.2</v>
      </c>
      <c r="I996" s="48">
        <f>[1]!BexGetData("DP_2","DL719O2RYNIY3MZ1QVCEEWBN7","17","E","17031021E103","2067221011")</f>
        <v>0</v>
      </c>
    </row>
    <row r="997" spans="1:9" x14ac:dyDescent="0.2">
      <c r="A997" s="46" t="s">
        <v>32</v>
      </c>
      <c r="B997" s="46" t="s">
        <v>32</v>
      </c>
      <c r="C997" s="46" t="s">
        <v>32</v>
      </c>
      <c r="D997" s="46" t="s">
        <v>32</v>
      </c>
      <c r="E997" s="46" t="s">
        <v>32</v>
      </c>
      <c r="F997" s="47">
        <f>[1]!BexGetData("DP_2","DL719O2RYNC0Y217V0FVT1R77","17","E","17031021E103","2067221021")</f>
        <v>625</v>
      </c>
      <c r="G997" s="48">
        <f>[1]!BexGetData("DP_2","DL719O2RYNEBZX0HTMQQ0BY0J","17","E","17031021E103","2067221021")</f>
        <v>625</v>
      </c>
      <c r="H997" s="48">
        <f>[1]!BexGetData("DP_2","DL719O2RYNGN1RZRS91K7M4TV","17","E","17031021E103","2067221021")</f>
        <v>625</v>
      </c>
      <c r="I997" s="48">
        <f>[1]!BexGetData("DP_2","DL719O2RYNIY3MZ1QVCEEWBN7","17","E","17031021E103","2067221021")</f>
        <v>0</v>
      </c>
    </row>
    <row r="998" spans="1:9" x14ac:dyDescent="0.2">
      <c r="A998" s="46" t="s">
        <v>32</v>
      </c>
      <c r="B998" s="46" t="s">
        <v>32</v>
      </c>
      <c r="C998" s="46" t="s">
        <v>32</v>
      </c>
      <c r="D998" s="46" t="s">
        <v>32</v>
      </c>
      <c r="E998" s="46" t="s">
        <v>32</v>
      </c>
      <c r="F998" s="47">
        <f>[1]!BexGetData("DP_2","DL719O2RYNC0Y217V0FVT1R77","17","E","17031021E103","2067221031")</f>
        <v>106019.92</v>
      </c>
      <c r="G998" s="48">
        <f>[1]!BexGetData("DP_2","DL719O2RYNEBZX0HTMQQ0BY0J","17","E","17031021E103","2067221031")</f>
        <v>106019.92</v>
      </c>
      <c r="H998" s="48">
        <f>[1]!BexGetData("DP_2","DL719O2RYNGN1RZRS91K7M4TV","17","E","17031021E103","2067221031")</f>
        <v>106019.92</v>
      </c>
      <c r="I998" s="48">
        <f>[1]!BexGetData("DP_2","DL719O2RYNIY3MZ1QVCEEWBN7","17","E","17031021E103","2067221031")</f>
        <v>0</v>
      </c>
    </row>
    <row r="999" spans="1:9" x14ac:dyDescent="0.2">
      <c r="A999" s="46" t="s">
        <v>32</v>
      </c>
      <c r="B999" s="46" t="s">
        <v>32</v>
      </c>
      <c r="C999" s="46" t="s">
        <v>32</v>
      </c>
      <c r="D999" s="46" t="s">
        <v>32</v>
      </c>
      <c r="E999" s="46" t="s">
        <v>32</v>
      </c>
      <c r="F999" s="47">
        <f>[1]!BexGetData("DP_2","DL719O2RYNC0Y217V0FVT1R77","17","E","17031021E103","2067242011")</f>
        <v>99.83</v>
      </c>
      <c r="G999" s="48">
        <f>[1]!BexGetData("DP_2","DL719O2RYNEBZX0HTMQQ0BY0J","17","E","17031021E103","2067242011")</f>
        <v>99.83</v>
      </c>
      <c r="H999" s="48">
        <f>[1]!BexGetData("DP_2","DL719O2RYNGN1RZRS91K7M4TV","17","E","17031021E103","2067242011")</f>
        <v>99.83</v>
      </c>
      <c r="I999" s="48">
        <f>[1]!BexGetData("DP_2","DL719O2RYNIY3MZ1QVCEEWBN7","17","E","17031021E103","2067242011")</f>
        <v>0</v>
      </c>
    </row>
    <row r="1000" spans="1:9" x14ac:dyDescent="0.2">
      <c r="A1000" s="46" t="s">
        <v>32</v>
      </c>
      <c r="B1000" s="46" t="s">
        <v>32</v>
      </c>
      <c r="C1000" s="46" t="s">
        <v>32</v>
      </c>
      <c r="D1000" s="46" t="s">
        <v>32</v>
      </c>
      <c r="E1000" s="46" t="s">
        <v>32</v>
      </c>
      <c r="F1000" s="47">
        <f>[1]!BexGetData("DP_2","DL719O2RYNC0Y217V0FVT1R77","17","E","17031021E103","2067243011")</f>
        <v>924.23</v>
      </c>
      <c r="G1000" s="48">
        <f>[1]!BexGetData("DP_2","DL719O2RYNEBZX0HTMQQ0BY0J","17","E","17031021E103","2067243011")</f>
        <v>924.23</v>
      </c>
      <c r="H1000" s="48">
        <f>[1]!BexGetData("DP_2","DL719O2RYNGN1RZRS91K7M4TV","17","E","17031021E103","2067243011")</f>
        <v>924.23</v>
      </c>
      <c r="I1000" s="48">
        <f>[1]!BexGetData("DP_2","DL719O2RYNIY3MZ1QVCEEWBN7","17","E","17031021E103","2067243011")</f>
        <v>0</v>
      </c>
    </row>
    <row r="1001" spans="1:9" x14ac:dyDescent="0.2">
      <c r="A1001" s="46" t="s">
        <v>32</v>
      </c>
      <c r="B1001" s="46" t="s">
        <v>32</v>
      </c>
      <c r="C1001" s="46" t="s">
        <v>32</v>
      </c>
      <c r="D1001" s="46" t="s">
        <v>32</v>
      </c>
      <c r="E1001" s="46" t="s">
        <v>32</v>
      </c>
      <c r="F1001" s="47">
        <f>[1]!BexGetData("DP_2","DL719O2RYNC0Y217V0FVT1R77","17","E","17031021E103","2067244011")</f>
        <v>899.56</v>
      </c>
      <c r="G1001" s="48">
        <f>[1]!BexGetData("DP_2","DL719O2RYNEBZX0HTMQQ0BY0J","17","E","17031021E103","2067244011")</f>
        <v>899.56</v>
      </c>
      <c r="H1001" s="48">
        <f>[1]!BexGetData("DP_2","DL719O2RYNGN1RZRS91K7M4TV","17","E","17031021E103","2067244011")</f>
        <v>899.56</v>
      </c>
      <c r="I1001" s="48">
        <f>[1]!BexGetData("DP_2","DL719O2RYNIY3MZ1QVCEEWBN7","17","E","17031021E103","2067244011")</f>
        <v>0</v>
      </c>
    </row>
    <row r="1002" spans="1:9" x14ac:dyDescent="0.2">
      <c r="A1002" s="46" t="s">
        <v>32</v>
      </c>
      <c r="B1002" s="46" t="s">
        <v>32</v>
      </c>
      <c r="C1002" s="46" t="s">
        <v>32</v>
      </c>
      <c r="D1002" s="46" t="s">
        <v>32</v>
      </c>
      <c r="E1002" s="46" t="s">
        <v>32</v>
      </c>
      <c r="F1002" s="47">
        <f>[1]!BexGetData("DP_2","DL719O2RYNC0Y217V0FVT1R77","17","E","17031021E103","2067246011")</f>
        <v>6300.45</v>
      </c>
      <c r="G1002" s="48">
        <f>[1]!BexGetData("DP_2","DL719O2RYNEBZX0HTMQQ0BY0J","17","E","17031021E103","2067246011")</f>
        <v>6300.45</v>
      </c>
      <c r="H1002" s="48">
        <f>[1]!BexGetData("DP_2","DL719O2RYNGN1RZRS91K7M4TV","17","E","17031021E103","2067246011")</f>
        <v>6300.45</v>
      </c>
      <c r="I1002" s="48">
        <f>[1]!BexGetData("DP_2","DL719O2RYNIY3MZ1QVCEEWBN7","17","E","17031021E103","2067246011")</f>
        <v>0</v>
      </c>
    </row>
    <row r="1003" spans="1:9" x14ac:dyDescent="0.2">
      <c r="A1003" s="46" t="s">
        <v>32</v>
      </c>
      <c r="B1003" s="46" t="s">
        <v>32</v>
      </c>
      <c r="C1003" s="46" t="s">
        <v>32</v>
      </c>
      <c r="D1003" s="46" t="s">
        <v>32</v>
      </c>
      <c r="E1003" s="46" t="s">
        <v>32</v>
      </c>
      <c r="F1003" s="47">
        <f>[1]!BexGetData("DP_2","DL719O2RYNC0Y217V0FVT1R77","17","E","17031021E103","2067247011")</f>
        <v>1572.58</v>
      </c>
      <c r="G1003" s="48">
        <f>[1]!BexGetData("DP_2","DL719O2RYNEBZX0HTMQQ0BY0J","17","E","17031021E103","2067247011")</f>
        <v>1572.58</v>
      </c>
      <c r="H1003" s="48">
        <f>[1]!BexGetData("DP_2","DL719O2RYNGN1RZRS91K7M4TV","17","E","17031021E103","2067247011")</f>
        <v>1572.58</v>
      </c>
      <c r="I1003" s="48">
        <f>[1]!BexGetData("DP_2","DL719O2RYNIY3MZ1QVCEEWBN7","17","E","17031021E103","2067247011")</f>
        <v>0</v>
      </c>
    </row>
    <row r="1004" spans="1:9" x14ac:dyDescent="0.2">
      <c r="A1004" s="46" t="s">
        <v>32</v>
      </c>
      <c r="B1004" s="46" t="s">
        <v>32</v>
      </c>
      <c r="C1004" s="46" t="s">
        <v>32</v>
      </c>
      <c r="D1004" s="46" t="s">
        <v>32</v>
      </c>
      <c r="E1004" s="46" t="s">
        <v>32</v>
      </c>
      <c r="F1004" s="47">
        <f>[1]!BexGetData("DP_2","DL719O2RYNC0Y217V0FVT1R77","17","E","17031021E103","2067249011")</f>
        <v>338197.1</v>
      </c>
      <c r="G1004" s="48">
        <f>[1]!BexGetData("DP_2","DL719O2RYNEBZX0HTMQQ0BY0J","17","E","17031021E103","2067249011")</f>
        <v>338197.1</v>
      </c>
      <c r="H1004" s="48">
        <f>[1]!BexGetData("DP_2","DL719O2RYNGN1RZRS91K7M4TV","17","E","17031021E103","2067249011")</f>
        <v>338197.1</v>
      </c>
      <c r="I1004" s="48">
        <f>[1]!BexGetData("DP_2","DL719O2RYNIY3MZ1QVCEEWBN7","17","E","17031021E103","2067249011")</f>
        <v>0</v>
      </c>
    </row>
    <row r="1005" spans="1:9" x14ac:dyDescent="0.2">
      <c r="A1005" s="46" t="s">
        <v>32</v>
      </c>
      <c r="B1005" s="46" t="s">
        <v>32</v>
      </c>
      <c r="C1005" s="46" t="s">
        <v>32</v>
      </c>
      <c r="D1005" s="46" t="s">
        <v>32</v>
      </c>
      <c r="E1005" s="46" t="s">
        <v>32</v>
      </c>
      <c r="F1005" s="47">
        <f>[1]!BexGetData("DP_2","DL719O2RYNC0Y217V0FVT1R77","17","E","17031021E103","2067253021")</f>
        <v>1135.47</v>
      </c>
      <c r="G1005" s="48">
        <f>[1]!BexGetData("DP_2","DL719O2RYNEBZX0HTMQQ0BY0J","17","E","17031021E103","2067253021")</f>
        <v>1135.47</v>
      </c>
      <c r="H1005" s="48">
        <f>[1]!BexGetData("DP_2","DL719O2RYNGN1RZRS91K7M4TV","17","E","17031021E103","2067253021")</f>
        <v>1135.47</v>
      </c>
      <c r="I1005" s="48">
        <f>[1]!BexGetData("DP_2","DL719O2RYNIY3MZ1QVCEEWBN7","17","E","17031021E103","2067253021")</f>
        <v>0</v>
      </c>
    </row>
    <row r="1006" spans="1:9" x14ac:dyDescent="0.2">
      <c r="A1006" s="46" t="s">
        <v>32</v>
      </c>
      <c r="B1006" s="46" t="s">
        <v>32</v>
      </c>
      <c r="C1006" s="46" t="s">
        <v>32</v>
      </c>
      <c r="D1006" s="46" t="s">
        <v>32</v>
      </c>
      <c r="E1006" s="46" t="s">
        <v>32</v>
      </c>
      <c r="F1006" s="47">
        <f>[1]!BexGetData("DP_2","DL719O2RYNC0Y217V0FVT1R77","17","E","17031021E103","2067254021")</f>
        <v>2529.61</v>
      </c>
      <c r="G1006" s="48">
        <f>[1]!BexGetData("DP_2","DL719O2RYNEBZX0HTMQQ0BY0J","17","E","17031021E103","2067254021")</f>
        <v>2529.61</v>
      </c>
      <c r="H1006" s="48">
        <f>[1]!BexGetData("DP_2","DL719O2RYNGN1RZRS91K7M4TV","17","E","17031021E103","2067254021")</f>
        <v>2529.61</v>
      </c>
      <c r="I1006" s="48">
        <f>[1]!BexGetData("DP_2","DL719O2RYNIY3MZ1QVCEEWBN7","17","E","17031021E103","2067254021")</f>
        <v>0</v>
      </c>
    </row>
    <row r="1007" spans="1:9" x14ac:dyDescent="0.2">
      <c r="A1007" s="46" t="s">
        <v>32</v>
      </c>
      <c r="B1007" s="46" t="s">
        <v>32</v>
      </c>
      <c r="C1007" s="46" t="s">
        <v>32</v>
      </c>
      <c r="D1007" s="46" t="s">
        <v>32</v>
      </c>
      <c r="E1007" s="46" t="s">
        <v>32</v>
      </c>
      <c r="F1007" s="47">
        <f>[1]!BexGetData("DP_2","DL719O2RYNC0Y217V0FVT1R77","17","E","17031021E103","2067256011")</f>
        <v>917.05</v>
      </c>
      <c r="G1007" s="48">
        <f>[1]!BexGetData("DP_2","DL719O2RYNEBZX0HTMQQ0BY0J","17","E","17031021E103","2067256011")</f>
        <v>917.05</v>
      </c>
      <c r="H1007" s="48">
        <f>[1]!BexGetData("DP_2","DL719O2RYNGN1RZRS91K7M4TV","17","E","17031021E103","2067256011")</f>
        <v>917.05</v>
      </c>
      <c r="I1007" s="48">
        <f>[1]!BexGetData("DP_2","DL719O2RYNIY3MZ1QVCEEWBN7","17","E","17031021E103","2067256011")</f>
        <v>0</v>
      </c>
    </row>
    <row r="1008" spans="1:9" x14ac:dyDescent="0.2">
      <c r="A1008" s="46" t="s">
        <v>32</v>
      </c>
      <c r="B1008" s="46" t="s">
        <v>32</v>
      </c>
      <c r="C1008" s="46" t="s">
        <v>32</v>
      </c>
      <c r="D1008" s="46" t="s">
        <v>32</v>
      </c>
      <c r="E1008" s="46" t="s">
        <v>32</v>
      </c>
      <c r="F1008" s="47">
        <f>[1]!BexGetData("DP_2","DL719O2RYNC0Y217V0FVT1R77","17","E","17031021E103","2067261011")</f>
        <v>1698979.19</v>
      </c>
      <c r="G1008" s="48">
        <f>[1]!BexGetData("DP_2","DL719O2RYNEBZX0HTMQQ0BY0J","17","E","17031021E103","2067261011")</f>
        <v>1698979.19</v>
      </c>
      <c r="H1008" s="48">
        <f>[1]!BexGetData("DP_2","DL719O2RYNGN1RZRS91K7M4TV","17","E","17031021E103","2067261011")</f>
        <v>1698979.19</v>
      </c>
      <c r="I1008" s="48">
        <f>[1]!BexGetData("DP_2","DL719O2RYNIY3MZ1QVCEEWBN7","17","E","17031021E103","2067261011")</f>
        <v>0</v>
      </c>
    </row>
    <row r="1009" spans="1:9" x14ac:dyDescent="0.2">
      <c r="A1009" s="46" t="s">
        <v>32</v>
      </c>
      <c r="B1009" s="46" t="s">
        <v>32</v>
      </c>
      <c r="C1009" s="46" t="s">
        <v>32</v>
      </c>
      <c r="D1009" s="46" t="s">
        <v>32</v>
      </c>
      <c r="E1009" s="46" t="s">
        <v>32</v>
      </c>
      <c r="F1009" s="47">
        <f>[1]!BexGetData("DP_2","DL719O2RYNC0Y217V0FVT1R77","17","E","17031021E103","2067272011")</f>
        <v>807.36</v>
      </c>
      <c r="G1009" s="48">
        <f>[1]!BexGetData("DP_2","DL719O2RYNEBZX0HTMQQ0BY0J","17","E","17031021E103","2067272011")</f>
        <v>807.36</v>
      </c>
      <c r="H1009" s="48">
        <f>[1]!BexGetData("DP_2","DL719O2RYNGN1RZRS91K7M4TV","17","E","17031021E103","2067272011")</f>
        <v>807.36</v>
      </c>
      <c r="I1009" s="48">
        <f>[1]!BexGetData("DP_2","DL719O2RYNIY3MZ1QVCEEWBN7","17","E","17031021E103","2067272011")</f>
        <v>0</v>
      </c>
    </row>
    <row r="1010" spans="1:9" x14ac:dyDescent="0.2">
      <c r="A1010" s="46" t="s">
        <v>32</v>
      </c>
      <c r="B1010" s="46" t="s">
        <v>32</v>
      </c>
      <c r="C1010" s="46" t="s">
        <v>32</v>
      </c>
      <c r="D1010" s="46" t="s">
        <v>32</v>
      </c>
      <c r="E1010" s="46" t="s">
        <v>32</v>
      </c>
      <c r="F1010" s="47">
        <f>[1]!BexGetData("DP_2","DL719O2RYNC0Y217V0FVT1R77","17","E","17031021E103","2067273011")</f>
        <v>1647</v>
      </c>
      <c r="G1010" s="48">
        <f>[1]!BexGetData("DP_2","DL719O2RYNEBZX0HTMQQ0BY0J","17","E","17031021E103","2067273011")</f>
        <v>1647</v>
      </c>
      <c r="H1010" s="48">
        <f>[1]!BexGetData("DP_2","DL719O2RYNGN1RZRS91K7M4TV","17","E","17031021E103","2067273011")</f>
        <v>1647</v>
      </c>
      <c r="I1010" s="48">
        <f>[1]!BexGetData("DP_2","DL719O2RYNIY3MZ1QVCEEWBN7","17","E","17031021E103","2067273011")</f>
        <v>0</v>
      </c>
    </row>
    <row r="1011" spans="1:9" x14ac:dyDescent="0.2">
      <c r="A1011" s="46" t="s">
        <v>32</v>
      </c>
      <c r="B1011" s="46" t="s">
        <v>32</v>
      </c>
      <c r="C1011" s="46" t="s">
        <v>32</v>
      </c>
      <c r="D1011" s="46" t="s">
        <v>32</v>
      </c>
      <c r="E1011" s="46" t="s">
        <v>32</v>
      </c>
      <c r="F1011" s="47">
        <f>[1]!BexGetData("DP_2","DL719O2RYNC0Y217V0FVT1R77","17","E","17031021E103","2067274011")</f>
        <v>556.1</v>
      </c>
      <c r="G1011" s="48">
        <f>[1]!BexGetData("DP_2","DL719O2RYNEBZX0HTMQQ0BY0J","17","E","17031021E103","2067274011")</f>
        <v>556.1</v>
      </c>
      <c r="H1011" s="48">
        <f>[1]!BexGetData("DP_2","DL719O2RYNGN1RZRS91K7M4TV","17","E","17031021E103","2067274011")</f>
        <v>556.1</v>
      </c>
      <c r="I1011" s="48">
        <f>[1]!BexGetData("DP_2","DL719O2RYNIY3MZ1QVCEEWBN7","17","E","17031021E103","2067274011")</f>
        <v>0</v>
      </c>
    </row>
    <row r="1012" spans="1:9" x14ac:dyDescent="0.2">
      <c r="A1012" s="46" t="s">
        <v>32</v>
      </c>
      <c r="B1012" s="46" t="s">
        <v>32</v>
      </c>
      <c r="C1012" s="46" t="s">
        <v>32</v>
      </c>
      <c r="D1012" s="46" t="s">
        <v>32</v>
      </c>
      <c r="E1012" s="46" t="s">
        <v>32</v>
      </c>
      <c r="F1012" s="47">
        <f>[1]!BexGetData("DP_2","DL719O2RYNC0Y217V0FVT1R77","17","E","17031021E103","2067283011")</f>
        <v>2897.44</v>
      </c>
      <c r="G1012" s="48">
        <f>[1]!BexGetData("DP_2","DL719O2RYNEBZX0HTMQQ0BY0J","17","E","17031021E103","2067283011")</f>
        <v>2897.44</v>
      </c>
      <c r="H1012" s="48">
        <f>[1]!BexGetData("DP_2","DL719O2RYNGN1RZRS91K7M4TV","17","E","17031021E103","2067283011")</f>
        <v>2897.44</v>
      </c>
      <c r="I1012" s="48">
        <f>[1]!BexGetData("DP_2","DL719O2RYNIY3MZ1QVCEEWBN7","17","E","17031021E103","2067283011")</f>
        <v>0</v>
      </c>
    </row>
    <row r="1013" spans="1:9" x14ac:dyDescent="0.2">
      <c r="A1013" s="46" t="s">
        <v>32</v>
      </c>
      <c r="B1013" s="46" t="s">
        <v>32</v>
      </c>
      <c r="C1013" s="46" t="s">
        <v>32</v>
      </c>
      <c r="D1013" s="46" t="s">
        <v>32</v>
      </c>
      <c r="E1013" s="46" t="s">
        <v>32</v>
      </c>
      <c r="F1013" s="47">
        <f>[1]!BexGetData("DP_2","DL719O2RYNC0Y217V0FVT1R77","17","E","17031021E103","2067291011")</f>
        <v>21769.759999999998</v>
      </c>
      <c r="G1013" s="48">
        <f>[1]!BexGetData("DP_2","DL719O2RYNEBZX0HTMQQ0BY0J","17","E","17031021E103","2067291011")</f>
        <v>21769.759999999998</v>
      </c>
      <c r="H1013" s="48">
        <f>[1]!BexGetData("DP_2","DL719O2RYNGN1RZRS91K7M4TV","17","E","17031021E103","2067291011")</f>
        <v>21769.759999999998</v>
      </c>
      <c r="I1013" s="48">
        <f>[1]!BexGetData("DP_2","DL719O2RYNIY3MZ1QVCEEWBN7","17","E","17031021E103","2067291011")</f>
        <v>0</v>
      </c>
    </row>
    <row r="1014" spans="1:9" x14ac:dyDescent="0.2">
      <c r="A1014" s="46" t="s">
        <v>32</v>
      </c>
      <c r="B1014" s="46" t="s">
        <v>32</v>
      </c>
      <c r="C1014" s="46" t="s">
        <v>32</v>
      </c>
      <c r="D1014" s="46" t="s">
        <v>32</v>
      </c>
      <c r="E1014" s="46" t="s">
        <v>32</v>
      </c>
      <c r="F1014" s="47">
        <f>[1]!BexGetData("DP_2","DL719O2RYNC0Y217V0FVT1R77","17","E","17031021E103","2067292011")</f>
        <v>333.51</v>
      </c>
      <c r="G1014" s="48">
        <f>[1]!BexGetData("DP_2","DL719O2RYNEBZX0HTMQQ0BY0J","17","E","17031021E103","2067292011")</f>
        <v>333.51</v>
      </c>
      <c r="H1014" s="48">
        <f>[1]!BexGetData("DP_2","DL719O2RYNGN1RZRS91K7M4TV","17","E","17031021E103","2067292011")</f>
        <v>333.51</v>
      </c>
      <c r="I1014" s="48">
        <f>[1]!BexGetData("DP_2","DL719O2RYNIY3MZ1QVCEEWBN7","17","E","17031021E103","2067292011")</f>
        <v>0</v>
      </c>
    </row>
    <row r="1015" spans="1:9" x14ac:dyDescent="0.2">
      <c r="A1015" s="46" t="s">
        <v>32</v>
      </c>
      <c r="B1015" s="46" t="s">
        <v>32</v>
      </c>
      <c r="C1015" s="46" t="s">
        <v>32</v>
      </c>
      <c r="D1015" s="46" t="s">
        <v>32</v>
      </c>
      <c r="E1015" s="46" t="s">
        <v>32</v>
      </c>
      <c r="F1015" s="47">
        <f>[1]!BexGetData("DP_2","DL719O2RYNC0Y217V0FVT1R77","17","E","17031021E103","2067293031")</f>
        <v>0</v>
      </c>
      <c r="G1015" s="48">
        <f>[1]!BexGetData("DP_2","DL719O2RYNEBZX0HTMQQ0BY0J","17","E","17031021E103","2067293031")</f>
        <v>0</v>
      </c>
      <c r="H1015" s="48">
        <f>[1]!BexGetData("DP_2","DL719O2RYNGN1RZRS91K7M4TV","17","E","17031021E103","2067293031")</f>
        <v>0</v>
      </c>
      <c r="I1015" s="48">
        <f>[1]!BexGetData("DP_2","DL719O2RYNIY3MZ1QVCEEWBN7","17","E","17031021E103","2067293031")</f>
        <v>0</v>
      </c>
    </row>
    <row r="1016" spans="1:9" x14ac:dyDescent="0.2">
      <c r="A1016" s="46" t="s">
        <v>32</v>
      </c>
      <c r="B1016" s="46" t="s">
        <v>32</v>
      </c>
      <c r="C1016" s="46" t="s">
        <v>32</v>
      </c>
      <c r="D1016" s="46" t="s">
        <v>32</v>
      </c>
      <c r="E1016" s="46" t="s">
        <v>32</v>
      </c>
      <c r="F1016" s="47">
        <f>[1]!BexGetData("DP_2","DL719O2RYNC0Y217V0FVT1R77","17","E","17031021E103","2067293051")</f>
        <v>1566</v>
      </c>
      <c r="G1016" s="48">
        <f>[1]!BexGetData("DP_2","DL719O2RYNEBZX0HTMQQ0BY0J","17","E","17031021E103","2067293051")</f>
        <v>1566</v>
      </c>
      <c r="H1016" s="48">
        <f>[1]!BexGetData("DP_2","DL719O2RYNGN1RZRS91K7M4TV","17","E","17031021E103","2067293051")</f>
        <v>1566</v>
      </c>
      <c r="I1016" s="48">
        <f>[1]!BexGetData("DP_2","DL719O2RYNIY3MZ1QVCEEWBN7","17","E","17031021E103","2067293051")</f>
        <v>0</v>
      </c>
    </row>
    <row r="1017" spans="1:9" x14ac:dyDescent="0.2">
      <c r="A1017" s="46" t="s">
        <v>32</v>
      </c>
      <c r="B1017" s="46" t="s">
        <v>32</v>
      </c>
      <c r="C1017" s="46" t="s">
        <v>32</v>
      </c>
      <c r="D1017" s="46" t="s">
        <v>32</v>
      </c>
      <c r="E1017" s="46" t="s">
        <v>32</v>
      </c>
      <c r="F1017" s="47">
        <f>[1]!BexGetData("DP_2","DL719O2RYNC0Y217V0FVT1R77","17","E","17031021E103","2067294011")</f>
        <v>670</v>
      </c>
      <c r="G1017" s="48">
        <f>[1]!BexGetData("DP_2","DL719O2RYNEBZX0HTMQQ0BY0J","17","E","17031021E103","2067294011")</f>
        <v>670</v>
      </c>
      <c r="H1017" s="48">
        <f>[1]!BexGetData("DP_2","DL719O2RYNGN1RZRS91K7M4TV","17","E","17031021E103","2067294011")</f>
        <v>670</v>
      </c>
      <c r="I1017" s="48">
        <f>[1]!BexGetData("DP_2","DL719O2RYNIY3MZ1QVCEEWBN7","17","E","17031021E103","2067294011")</f>
        <v>0</v>
      </c>
    </row>
    <row r="1018" spans="1:9" x14ac:dyDescent="0.2">
      <c r="A1018" s="46" t="s">
        <v>32</v>
      </c>
      <c r="B1018" s="46" t="s">
        <v>32</v>
      </c>
      <c r="C1018" s="46" t="s">
        <v>32</v>
      </c>
      <c r="D1018" s="46" t="s">
        <v>32</v>
      </c>
      <c r="E1018" s="46" t="s">
        <v>32</v>
      </c>
      <c r="F1018" s="47">
        <f>[1]!BexGetData("DP_2","DL719O2RYNC0Y217V0FVT1R77","17","E","17031021E103","2067298021")</f>
        <v>3248</v>
      </c>
      <c r="G1018" s="48">
        <f>[1]!BexGetData("DP_2","DL719O2RYNEBZX0HTMQQ0BY0J","17","E","17031021E103","2067298021")</f>
        <v>3248</v>
      </c>
      <c r="H1018" s="48">
        <f>[1]!BexGetData("DP_2","DL719O2RYNGN1RZRS91K7M4TV","17","E","17031021E103","2067298021")</f>
        <v>3248</v>
      </c>
      <c r="I1018" s="48">
        <f>[1]!BexGetData("DP_2","DL719O2RYNIY3MZ1QVCEEWBN7","17","E","17031021E103","2067298021")</f>
        <v>0</v>
      </c>
    </row>
    <row r="1019" spans="1:9" x14ac:dyDescent="0.2">
      <c r="A1019" s="46" t="s">
        <v>32</v>
      </c>
      <c r="B1019" s="46" t="s">
        <v>32</v>
      </c>
      <c r="C1019" s="46" t="s">
        <v>32</v>
      </c>
      <c r="D1019" s="46" t="s">
        <v>32</v>
      </c>
      <c r="E1019" s="46" t="s">
        <v>32</v>
      </c>
      <c r="F1019" s="47">
        <f>[1]!BexGetData("DP_2","DL719O2RYNC0Y217V0FVT1R77","17","E","17031021E103","2067298061")</f>
        <v>292952.75</v>
      </c>
      <c r="G1019" s="48">
        <f>[1]!BexGetData("DP_2","DL719O2RYNEBZX0HTMQQ0BY0J","17","E","17031021E103","2067298061")</f>
        <v>292952.75</v>
      </c>
      <c r="H1019" s="48">
        <f>[1]!BexGetData("DP_2","DL719O2RYNGN1RZRS91K7M4TV","17","E","17031021E103","2067298061")</f>
        <v>252352.75</v>
      </c>
      <c r="I1019" s="48">
        <f>[1]!BexGetData("DP_2","DL719O2RYNIY3MZ1QVCEEWBN7","17","E","17031021E103","2067298061")</f>
        <v>0</v>
      </c>
    </row>
    <row r="1020" spans="1:9" x14ac:dyDescent="0.2">
      <c r="A1020" s="46" t="s">
        <v>32</v>
      </c>
      <c r="B1020" s="46" t="s">
        <v>32</v>
      </c>
      <c r="C1020" s="46" t="s">
        <v>32</v>
      </c>
      <c r="D1020" s="46" t="s">
        <v>32</v>
      </c>
      <c r="E1020" s="46" t="s">
        <v>32</v>
      </c>
      <c r="F1020" s="47">
        <f>[1]!BexGetData("DP_2","DL719O2RYNC0Y217V0FVT1R77","17","E","17031021E103","2067298071")</f>
        <v>659.98</v>
      </c>
      <c r="G1020" s="48">
        <f>[1]!BexGetData("DP_2","DL719O2RYNEBZX0HTMQQ0BY0J","17","E","17031021E103","2067298071")</f>
        <v>659.98</v>
      </c>
      <c r="H1020" s="48">
        <f>[1]!BexGetData("DP_2","DL719O2RYNGN1RZRS91K7M4TV","17","E","17031021E103","2067298071")</f>
        <v>659.98</v>
      </c>
      <c r="I1020" s="48">
        <f>[1]!BexGetData("DP_2","DL719O2RYNIY3MZ1QVCEEWBN7","17","E","17031021E103","2067298071")</f>
        <v>0</v>
      </c>
    </row>
    <row r="1021" spans="1:9" x14ac:dyDescent="0.2">
      <c r="A1021" s="46" t="s">
        <v>32</v>
      </c>
      <c r="B1021" s="46" t="s">
        <v>32</v>
      </c>
      <c r="C1021" s="46" t="s">
        <v>32</v>
      </c>
      <c r="D1021" s="46" t="s">
        <v>32</v>
      </c>
      <c r="E1021" s="46" t="s">
        <v>32</v>
      </c>
      <c r="F1021" s="47">
        <f>[1]!BexGetData("DP_2","DL719O2RYNC0Y217V0FVT1R77","17","E","17031021E103","2067311011")</f>
        <v>193108.96</v>
      </c>
      <c r="G1021" s="48">
        <f>[1]!BexGetData("DP_2","DL719O2RYNEBZX0HTMQQ0BY0J","17","E","17031021E103","2067311011")</f>
        <v>193108.96</v>
      </c>
      <c r="H1021" s="48">
        <f>[1]!BexGetData("DP_2","DL719O2RYNGN1RZRS91K7M4TV","17","E","17031021E103","2067311011")</f>
        <v>188783.96</v>
      </c>
      <c r="I1021" s="48">
        <f>[1]!BexGetData("DP_2","DL719O2RYNIY3MZ1QVCEEWBN7","17","E","17031021E103","2067311011")</f>
        <v>0</v>
      </c>
    </row>
    <row r="1022" spans="1:9" x14ac:dyDescent="0.2">
      <c r="A1022" s="46" t="s">
        <v>32</v>
      </c>
      <c r="B1022" s="46" t="s">
        <v>32</v>
      </c>
      <c r="C1022" s="46" t="s">
        <v>32</v>
      </c>
      <c r="D1022" s="46" t="s">
        <v>32</v>
      </c>
      <c r="E1022" s="46" t="s">
        <v>32</v>
      </c>
      <c r="F1022" s="47">
        <f>[1]!BexGetData("DP_2","DL719O2RYNC0Y217V0FVT1R77","17","E","17031021E103","2067313011")</f>
        <v>3250</v>
      </c>
      <c r="G1022" s="48">
        <f>[1]!BexGetData("DP_2","DL719O2RYNEBZX0HTMQQ0BY0J","17","E","17031021E103","2067313011")</f>
        <v>3250</v>
      </c>
      <c r="H1022" s="48">
        <f>[1]!BexGetData("DP_2","DL719O2RYNGN1RZRS91K7M4TV","17","E","17031021E103","2067313011")</f>
        <v>3250</v>
      </c>
      <c r="I1022" s="48">
        <f>[1]!BexGetData("DP_2","DL719O2RYNIY3MZ1QVCEEWBN7","17","E","17031021E103","2067313011")</f>
        <v>0</v>
      </c>
    </row>
    <row r="1023" spans="1:9" x14ac:dyDescent="0.2">
      <c r="A1023" s="46" t="s">
        <v>32</v>
      </c>
      <c r="B1023" s="46" t="s">
        <v>32</v>
      </c>
      <c r="C1023" s="46" t="s">
        <v>32</v>
      </c>
      <c r="D1023" s="46" t="s">
        <v>32</v>
      </c>
      <c r="E1023" s="46" t="s">
        <v>32</v>
      </c>
      <c r="F1023" s="47">
        <f>[1]!BexGetData("DP_2","DL719O2RYNC0Y217V0FVT1R77","17","E","17031021E103","2067314011")</f>
        <v>27857.13</v>
      </c>
      <c r="G1023" s="48">
        <f>[1]!BexGetData("DP_2","DL719O2RYNEBZX0HTMQQ0BY0J","17","E","17031021E103","2067314011")</f>
        <v>27857.13</v>
      </c>
      <c r="H1023" s="48">
        <f>[1]!BexGetData("DP_2","DL719O2RYNGN1RZRS91K7M4TV","17","E","17031021E103","2067314011")</f>
        <v>27857.13</v>
      </c>
      <c r="I1023" s="48">
        <f>[1]!BexGetData("DP_2","DL719O2RYNIY3MZ1QVCEEWBN7","17","E","17031021E103","2067314011")</f>
        <v>0</v>
      </c>
    </row>
    <row r="1024" spans="1:9" x14ac:dyDescent="0.2">
      <c r="A1024" s="46" t="s">
        <v>32</v>
      </c>
      <c r="B1024" s="46" t="s">
        <v>32</v>
      </c>
      <c r="C1024" s="46" t="s">
        <v>32</v>
      </c>
      <c r="D1024" s="46" t="s">
        <v>32</v>
      </c>
      <c r="E1024" s="46" t="s">
        <v>32</v>
      </c>
      <c r="F1024" s="47">
        <f>[1]!BexGetData("DP_2","DL719O2RYNC0Y217V0FVT1R77","17","E","17031021E103","2067321011")</f>
        <v>2099371.08</v>
      </c>
      <c r="G1024" s="48">
        <f>[1]!BexGetData("DP_2","DL719O2RYNEBZX0HTMQQ0BY0J","17","E","17031021E103","2067321011")</f>
        <v>2099371.08</v>
      </c>
      <c r="H1024" s="48">
        <f>[1]!BexGetData("DP_2","DL719O2RYNGN1RZRS91K7M4TV","17","E","17031021E103","2067321011")</f>
        <v>1924423.49</v>
      </c>
      <c r="I1024" s="48">
        <f>[1]!BexGetData("DP_2","DL719O2RYNIY3MZ1QVCEEWBN7","17","E","17031021E103","2067321011")</f>
        <v>0</v>
      </c>
    </row>
    <row r="1025" spans="1:9" x14ac:dyDescent="0.2">
      <c r="A1025" s="46" t="s">
        <v>32</v>
      </c>
      <c r="B1025" s="46" t="s">
        <v>32</v>
      </c>
      <c r="C1025" s="46" t="s">
        <v>32</v>
      </c>
      <c r="D1025" s="46" t="s">
        <v>32</v>
      </c>
      <c r="E1025" s="46" t="s">
        <v>32</v>
      </c>
      <c r="F1025" s="47">
        <f>[1]!BexGetData("DP_2","DL719O2RYNC0Y217V0FVT1R77","17","E","17031021E103","2067322011")</f>
        <v>992347.18</v>
      </c>
      <c r="G1025" s="48">
        <f>[1]!BexGetData("DP_2","DL719O2RYNEBZX0HTMQQ0BY0J","17","E","17031021E103","2067322011")</f>
        <v>992347.18</v>
      </c>
      <c r="H1025" s="48">
        <f>[1]!BexGetData("DP_2","DL719O2RYNGN1RZRS91K7M4TV","17","E","17031021E103","2067322011")</f>
        <v>916947.18</v>
      </c>
      <c r="I1025" s="48">
        <f>[1]!BexGetData("DP_2","DL719O2RYNIY3MZ1QVCEEWBN7","17","E","17031021E103","2067322011")</f>
        <v>0</v>
      </c>
    </row>
    <row r="1026" spans="1:9" x14ac:dyDescent="0.2">
      <c r="A1026" s="46" t="s">
        <v>32</v>
      </c>
      <c r="B1026" s="46" t="s">
        <v>32</v>
      </c>
      <c r="C1026" s="46" t="s">
        <v>32</v>
      </c>
      <c r="D1026" s="46" t="s">
        <v>32</v>
      </c>
      <c r="E1026" s="46" t="s">
        <v>32</v>
      </c>
      <c r="F1026" s="47">
        <f>[1]!BexGetData("DP_2","DL719O2RYNC0Y217V0FVT1R77","17","E","17031021E103","2067336011")</f>
        <v>118606.71</v>
      </c>
      <c r="G1026" s="48">
        <f>[1]!BexGetData("DP_2","DL719O2RYNEBZX0HTMQQ0BY0J","17","E","17031021E103","2067336011")</f>
        <v>118606.71</v>
      </c>
      <c r="H1026" s="48">
        <f>[1]!BexGetData("DP_2","DL719O2RYNGN1RZRS91K7M4TV","17","E","17031021E103","2067336011")</f>
        <v>95655.53</v>
      </c>
      <c r="I1026" s="48">
        <f>[1]!BexGetData("DP_2","DL719O2RYNIY3MZ1QVCEEWBN7","17","E","17031021E103","2067336011")</f>
        <v>0</v>
      </c>
    </row>
    <row r="1027" spans="1:9" x14ac:dyDescent="0.2">
      <c r="A1027" s="46" t="s">
        <v>32</v>
      </c>
      <c r="B1027" s="46" t="s">
        <v>32</v>
      </c>
      <c r="C1027" s="46" t="s">
        <v>32</v>
      </c>
      <c r="D1027" s="46" t="s">
        <v>32</v>
      </c>
      <c r="E1027" s="46" t="s">
        <v>32</v>
      </c>
      <c r="F1027" s="47">
        <f>[1]!BexGetData("DP_2","DL719O2RYNC0Y217V0FVT1R77","17","E","17031021E103","2067347011")</f>
        <v>348</v>
      </c>
      <c r="G1027" s="48">
        <f>[1]!BexGetData("DP_2","DL719O2RYNEBZX0HTMQQ0BY0J","17","E","17031021E103","2067347011")</f>
        <v>348</v>
      </c>
      <c r="H1027" s="48">
        <f>[1]!BexGetData("DP_2","DL719O2RYNGN1RZRS91K7M4TV","17","E","17031021E103","2067347011")</f>
        <v>348</v>
      </c>
      <c r="I1027" s="48">
        <f>[1]!BexGetData("DP_2","DL719O2RYNIY3MZ1QVCEEWBN7","17","E","17031021E103","2067347011")</f>
        <v>0</v>
      </c>
    </row>
    <row r="1028" spans="1:9" x14ac:dyDescent="0.2">
      <c r="A1028" s="46" t="s">
        <v>32</v>
      </c>
      <c r="B1028" s="46" t="s">
        <v>32</v>
      </c>
      <c r="C1028" s="46" t="s">
        <v>32</v>
      </c>
      <c r="D1028" s="46" t="s">
        <v>32</v>
      </c>
      <c r="E1028" s="46" t="s">
        <v>32</v>
      </c>
      <c r="F1028" s="47">
        <f>[1]!BexGetData("DP_2","DL719O2RYNC0Y217V0FVT1R77","17","E","17031021E103","2067352011")</f>
        <v>2320</v>
      </c>
      <c r="G1028" s="48">
        <f>[1]!BexGetData("DP_2","DL719O2RYNEBZX0HTMQQ0BY0J","17","E","17031021E103","2067352011")</f>
        <v>2320</v>
      </c>
      <c r="H1028" s="48">
        <f>[1]!BexGetData("DP_2","DL719O2RYNGN1RZRS91K7M4TV","17","E","17031021E103","2067352011")</f>
        <v>2320</v>
      </c>
      <c r="I1028" s="48">
        <f>[1]!BexGetData("DP_2","DL719O2RYNIY3MZ1QVCEEWBN7","17","E","17031021E103","2067352011")</f>
        <v>0</v>
      </c>
    </row>
    <row r="1029" spans="1:9" x14ac:dyDescent="0.2">
      <c r="A1029" s="46" t="s">
        <v>32</v>
      </c>
      <c r="B1029" s="46" t="s">
        <v>32</v>
      </c>
      <c r="C1029" s="46" t="s">
        <v>32</v>
      </c>
      <c r="D1029" s="46" t="s">
        <v>32</v>
      </c>
      <c r="E1029" s="46" t="s">
        <v>32</v>
      </c>
      <c r="F1029" s="47">
        <f>[1]!BexGetData("DP_2","DL719O2RYNC0Y217V0FVT1R77","17","E","17031021E103","2067355011")</f>
        <v>1102</v>
      </c>
      <c r="G1029" s="48">
        <f>[1]!BexGetData("DP_2","DL719O2RYNEBZX0HTMQQ0BY0J","17","E","17031021E103","2067355011")</f>
        <v>1102</v>
      </c>
      <c r="H1029" s="48">
        <f>[1]!BexGetData("DP_2","DL719O2RYNGN1RZRS91K7M4TV","17","E","17031021E103","2067355011")</f>
        <v>1102</v>
      </c>
      <c r="I1029" s="48">
        <f>[1]!BexGetData("DP_2","DL719O2RYNIY3MZ1QVCEEWBN7","17","E","17031021E103","2067355011")</f>
        <v>0</v>
      </c>
    </row>
    <row r="1030" spans="1:9" x14ac:dyDescent="0.2">
      <c r="A1030" s="46" t="s">
        <v>32</v>
      </c>
      <c r="B1030" s="46" t="s">
        <v>32</v>
      </c>
      <c r="C1030" s="46" t="s">
        <v>32</v>
      </c>
      <c r="D1030" s="46" t="s">
        <v>32</v>
      </c>
      <c r="E1030" s="46" t="s">
        <v>32</v>
      </c>
      <c r="F1030" s="47">
        <f>[1]!BexGetData("DP_2","DL719O2RYNC0Y217V0FVT1R77","17","E","17031021E103","2067357021")</f>
        <v>4466</v>
      </c>
      <c r="G1030" s="48">
        <f>[1]!BexGetData("DP_2","DL719O2RYNEBZX0HTMQQ0BY0J","17","E","17031021E103","2067357021")</f>
        <v>4466</v>
      </c>
      <c r="H1030" s="48">
        <f>[1]!BexGetData("DP_2","DL719O2RYNGN1RZRS91K7M4TV","17","E","17031021E103","2067357021")</f>
        <v>4466</v>
      </c>
      <c r="I1030" s="48">
        <f>[1]!BexGetData("DP_2","DL719O2RYNIY3MZ1QVCEEWBN7","17","E","17031021E103","2067357021")</f>
        <v>0</v>
      </c>
    </row>
    <row r="1031" spans="1:9" x14ac:dyDescent="0.2">
      <c r="A1031" s="46" t="s">
        <v>32</v>
      </c>
      <c r="B1031" s="46" t="s">
        <v>32</v>
      </c>
      <c r="C1031" s="46" t="s">
        <v>32</v>
      </c>
      <c r="D1031" s="46" t="s">
        <v>32</v>
      </c>
      <c r="E1031" s="46" t="s">
        <v>32</v>
      </c>
      <c r="F1031" s="47">
        <f>[1]!BexGetData("DP_2","DL719O2RYNC0Y217V0FVT1R77","17","E","17031021E103","2067357041")</f>
        <v>0</v>
      </c>
      <c r="G1031" s="48">
        <f>[1]!BexGetData("DP_2","DL719O2RYNEBZX0HTMQQ0BY0J","17","E","17031021E103","2067357041")</f>
        <v>0</v>
      </c>
      <c r="H1031" s="48">
        <f>[1]!BexGetData("DP_2","DL719O2RYNGN1RZRS91K7M4TV","17","E","17031021E103","2067357041")</f>
        <v>0</v>
      </c>
      <c r="I1031" s="48">
        <f>[1]!BexGetData("DP_2","DL719O2RYNIY3MZ1QVCEEWBN7","17","E","17031021E103","2067357041")</f>
        <v>0</v>
      </c>
    </row>
    <row r="1032" spans="1:9" x14ac:dyDescent="0.2">
      <c r="A1032" s="46" t="s">
        <v>32</v>
      </c>
      <c r="B1032" s="46" t="s">
        <v>32</v>
      </c>
      <c r="C1032" s="46" t="s">
        <v>32</v>
      </c>
      <c r="D1032" s="46" t="s">
        <v>32</v>
      </c>
      <c r="E1032" s="46" t="s">
        <v>32</v>
      </c>
      <c r="F1032" s="47">
        <f>[1]!BexGetData("DP_2","DL719O2RYNC0Y217V0FVT1R77","17","E","17031021E103","2067357071")</f>
        <v>27140</v>
      </c>
      <c r="G1032" s="48">
        <f>[1]!BexGetData("DP_2","DL719O2RYNEBZX0HTMQQ0BY0J","17","E","17031021E103","2067357071")</f>
        <v>27140</v>
      </c>
      <c r="H1032" s="48">
        <f>[1]!BexGetData("DP_2","DL719O2RYNGN1RZRS91K7M4TV","17","E","17031021E103","2067357071")</f>
        <v>8000</v>
      </c>
      <c r="I1032" s="48">
        <f>[1]!BexGetData("DP_2","DL719O2RYNIY3MZ1QVCEEWBN7","17","E","17031021E103","2067357071")</f>
        <v>0</v>
      </c>
    </row>
    <row r="1033" spans="1:9" x14ac:dyDescent="0.2">
      <c r="A1033" s="46" t="s">
        <v>32</v>
      </c>
      <c r="B1033" s="46" t="s">
        <v>32</v>
      </c>
      <c r="C1033" s="46" t="s">
        <v>32</v>
      </c>
      <c r="D1033" s="46" t="s">
        <v>32</v>
      </c>
      <c r="E1033" s="46" t="s">
        <v>32</v>
      </c>
      <c r="F1033" s="47">
        <f>[1]!BexGetData("DP_2","DL719O2RYNC0Y217V0FVT1R77","17","E","17031021E103","2067357091")</f>
        <v>650</v>
      </c>
      <c r="G1033" s="48">
        <f>[1]!BexGetData("DP_2","DL719O2RYNEBZX0HTMQQ0BY0J","17","E","17031021E103","2067357091")</f>
        <v>650</v>
      </c>
      <c r="H1033" s="48">
        <f>[1]!BexGetData("DP_2","DL719O2RYNGN1RZRS91K7M4TV","17","E","17031021E103","2067357091")</f>
        <v>650</v>
      </c>
      <c r="I1033" s="48">
        <f>[1]!BexGetData("DP_2","DL719O2RYNIY3MZ1QVCEEWBN7","17","E","17031021E103","2067357091")</f>
        <v>0</v>
      </c>
    </row>
    <row r="1034" spans="1:9" x14ac:dyDescent="0.2">
      <c r="A1034" s="46" t="s">
        <v>32</v>
      </c>
      <c r="B1034" s="46" t="s">
        <v>32</v>
      </c>
      <c r="C1034" s="46" t="s">
        <v>32</v>
      </c>
      <c r="D1034" s="46" t="s">
        <v>32</v>
      </c>
      <c r="E1034" s="46" t="s">
        <v>32</v>
      </c>
      <c r="F1034" s="47">
        <f>[1]!BexGetData("DP_2","DL719O2RYNC0Y217V0FVT1R77","17","E","17031021E103","2067359011")</f>
        <v>7888</v>
      </c>
      <c r="G1034" s="48">
        <f>[1]!BexGetData("DP_2","DL719O2RYNEBZX0HTMQQ0BY0J","17","E","17031021E103","2067359011")</f>
        <v>7888</v>
      </c>
      <c r="H1034" s="48">
        <f>[1]!BexGetData("DP_2","DL719O2RYNGN1RZRS91K7M4TV","17","E","17031021E103","2067359011")</f>
        <v>7888</v>
      </c>
      <c r="I1034" s="48">
        <f>[1]!BexGetData("DP_2","DL719O2RYNIY3MZ1QVCEEWBN7","17","E","17031021E103","2067359011")</f>
        <v>0</v>
      </c>
    </row>
    <row r="1035" spans="1:9" x14ac:dyDescent="0.2">
      <c r="A1035" s="46" t="s">
        <v>32</v>
      </c>
      <c r="B1035" s="46" t="s">
        <v>32</v>
      </c>
      <c r="C1035" s="46" t="s">
        <v>32</v>
      </c>
      <c r="D1035" s="46" t="s">
        <v>32</v>
      </c>
      <c r="E1035" s="46" t="s">
        <v>32</v>
      </c>
      <c r="F1035" s="47">
        <f>[1]!BexGetData("DP_2","DL719O2RYNC0Y217V0FVT1R77","17","E","17031021E103","2067372011")</f>
        <v>0</v>
      </c>
      <c r="G1035" s="48">
        <f>[1]!BexGetData("DP_2","DL719O2RYNEBZX0HTMQQ0BY0J","17","E","17031021E103","2067372011")</f>
        <v>0</v>
      </c>
      <c r="H1035" s="48">
        <f>[1]!BexGetData("DP_2","DL719O2RYNGN1RZRS91K7M4TV","17","E","17031021E103","2067372011")</f>
        <v>0</v>
      </c>
      <c r="I1035" s="48">
        <f>[1]!BexGetData("DP_2","DL719O2RYNIY3MZ1QVCEEWBN7","17","E","17031021E103","2067372011")</f>
        <v>0</v>
      </c>
    </row>
    <row r="1036" spans="1:9" x14ac:dyDescent="0.2">
      <c r="A1036" s="46" t="s">
        <v>32</v>
      </c>
      <c r="B1036" s="46" t="s">
        <v>32</v>
      </c>
      <c r="C1036" s="46" t="s">
        <v>32</v>
      </c>
      <c r="D1036" s="46" t="s">
        <v>32</v>
      </c>
      <c r="E1036" s="46" t="s">
        <v>32</v>
      </c>
      <c r="F1036" s="47">
        <f>[1]!BexGetData("DP_2","DL719O2RYNC0Y217V0FVT1R77","17","E","17031021E103","2067375011")</f>
        <v>0</v>
      </c>
      <c r="G1036" s="48">
        <f>[1]!BexGetData("DP_2","DL719O2RYNEBZX0HTMQQ0BY0J","17","E","17031021E103","2067375011")</f>
        <v>0</v>
      </c>
      <c r="H1036" s="48">
        <f>[1]!BexGetData("DP_2","DL719O2RYNGN1RZRS91K7M4TV","17","E","17031021E103","2067375011")</f>
        <v>0</v>
      </c>
      <c r="I1036" s="48">
        <f>[1]!BexGetData("DP_2","DL719O2RYNIY3MZ1QVCEEWBN7","17","E","17031021E103","2067375011")</f>
        <v>0</v>
      </c>
    </row>
    <row r="1037" spans="1:9" x14ac:dyDescent="0.2">
      <c r="A1037" s="46" t="s">
        <v>32</v>
      </c>
      <c r="B1037" s="46" t="s">
        <v>32</v>
      </c>
      <c r="C1037" s="46" t="s">
        <v>32</v>
      </c>
      <c r="D1037" s="46" t="s">
        <v>32</v>
      </c>
      <c r="E1037" s="46" t="s">
        <v>32</v>
      </c>
      <c r="F1037" s="47">
        <f>[1]!BexGetData("DP_2","DL719O2RYNC0Y217V0FVT1R77","17","E","17031021E103","2067382021")</f>
        <v>0</v>
      </c>
      <c r="G1037" s="48">
        <f>[1]!BexGetData("DP_2","DL719O2RYNEBZX0HTMQQ0BY0J","17","E","17031021E103","2067382021")</f>
        <v>0</v>
      </c>
      <c r="H1037" s="48">
        <f>[1]!BexGetData("DP_2","DL719O2RYNGN1RZRS91K7M4TV","17","E","17031021E103","2067382021")</f>
        <v>0</v>
      </c>
      <c r="I1037" s="48">
        <f>[1]!BexGetData("DP_2","DL719O2RYNIY3MZ1QVCEEWBN7","17","E","17031021E103","2067382021")</f>
        <v>0</v>
      </c>
    </row>
    <row r="1038" spans="1:9" x14ac:dyDescent="0.2">
      <c r="A1038" s="46" t="s">
        <v>32</v>
      </c>
      <c r="B1038" s="46" t="s">
        <v>32</v>
      </c>
      <c r="C1038" s="46" t="s">
        <v>32</v>
      </c>
      <c r="D1038" s="46" t="s">
        <v>32</v>
      </c>
      <c r="E1038" s="46" t="s">
        <v>32</v>
      </c>
      <c r="F1038" s="47">
        <f>[1]!BexGetData("DP_2","DL719O2RYNC0Y217V0FVT1R77","17","E","17031021E103","2067399031")</f>
        <v>1020.8</v>
      </c>
      <c r="G1038" s="48">
        <f>[1]!BexGetData("DP_2","DL719O2RYNEBZX0HTMQQ0BY0J","17","E","17031021E103","2067399031")</f>
        <v>1020.8</v>
      </c>
      <c r="H1038" s="48">
        <f>[1]!BexGetData("DP_2","DL719O2RYNGN1RZRS91K7M4TV","17","E","17031021E103","2067399031")</f>
        <v>1020.8</v>
      </c>
      <c r="I1038" s="48">
        <f>[1]!BexGetData("DP_2","DL719O2RYNIY3MZ1QVCEEWBN7","17","E","17031021E103","2067399031")</f>
        <v>0</v>
      </c>
    </row>
    <row r="1039" spans="1:9" x14ac:dyDescent="0.2">
      <c r="A1039" s="46" t="s">
        <v>32</v>
      </c>
      <c r="B1039" s="46" t="s">
        <v>32</v>
      </c>
      <c r="C1039" s="46" t="s">
        <v>32</v>
      </c>
      <c r="D1039" s="46" t="s">
        <v>32</v>
      </c>
      <c r="E1039" s="46" t="s">
        <v>32</v>
      </c>
      <c r="F1039" s="47">
        <f>[1]!BexGetData("DP_2","DL719O2RYNC0Y217V0FVT1R77","17","E","17031021E103","2067448011")</f>
        <v>40000</v>
      </c>
      <c r="G1039" s="48">
        <f>[1]!BexGetData("DP_2","DL719O2RYNEBZX0HTMQQ0BY0J","17","E","17031021E103","2067448011")</f>
        <v>40000</v>
      </c>
      <c r="H1039" s="48">
        <f>[1]!BexGetData("DP_2","DL719O2RYNGN1RZRS91K7M4TV","17","E","17031021E103","2067448011")</f>
        <v>40000</v>
      </c>
      <c r="I1039" s="48">
        <f>[1]!BexGetData("DP_2","DL719O2RYNIY3MZ1QVCEEWBN7","17","E","17031021E103","2067448011")</f>
        <v>0</v>
      </c>
    </row>
    <row r="1040" spans="1:9" x14ac:dyDescent="0.2">
      <c r="A1040" s="46" t="s">
        <v>32</v>
      </c>
      <c r="B1040" s="46" t="s">
        <v>32</v>
      </c>
      <c r="C1040" s="46" t="s">
        <v>104</v>
      </c>
      <c r="D1040" s="46" t="s">
        <v>104</v>
      </c>
      <c r="E1040" s="46" t="s">
        <v>32</v>
      </c>
      <c r="F1040" s="47">
        <f>[1]!BexGetData("DP_2","DL719O2RYNC0Y217V0FVT1R77","17","E","18032121E206","2067113011")</f>
        <v>678969.77</v>
      </c>
      <c r="G1040" s="48">
        <f>[1]!BexGetData("DP_2","DL719O2RYNEBZX0HTMQQ0BY0J","17","E","18032121E206","2067113011")</f>
        <v>678969.77</v>
      </c>
      <c r="H1040" s="48">
        <f>[1]!BexGetData("DP_2","DL719O2RYNGN1RZRS91K7M4TV","17","E","18032121E206","2067113011")</f>
        <v>678969.77</v>
      </c>
      <c r="I1040" s="48">
        <f>[1]!BexGetData("DP_2","DL719O2RYNIY3MZ1QVCEEWBN7","17","E","18032121E206","2067113011")</f>
        <v>0</v>
      </c>
    </row>
    <row r="1041" spans="1:9" x14ac:dyDescent="0.2">
      <c r="A1041" s="46" t="s">
        <v>32</v>
      </c>
      <c r="B1041" s="46" t="s">
        <v>32</v>
      </c>
      <c r="C1041" s="46" t="s">
        <v>32</v>
      </c>
      <c r="D1041" s="46" t="s">
        <v>32</v>
      </c>
      <c r="E1041" s="46" t="s">
        <v>32</v>
      </c>
      <c r="F1041" s="47">
        <f>[1]!BexGetData("DP_2","DL719O2RYNC0Y217V0FVT1R77","17","E","18032121E206","2067113021")</f>
        <v>610017.78</v>
      </c>
      <c r="G1041" s="48">
        <f>[1]!BexGetData("DP_2","DL719O2RYNEBZX0HTMQQ0BY0J","17","E","18032121E206","2067113021")</f>
        <v>610017.78</v>
      </c>
      <c r="H1041" s="48">
        <f>[1]!BexGetData("DP_2","DL719O2RYNGN1RZRS91K7M4TV","17","E","18032121E206","2067113021")</f>
        <v>610017.78</v>
      </c>
      <c r="I1041" s="48">
        <f>[1]!BexGetData("DP_2","DL719O2RYNIY3MZ1QVCEEWBN7","17","E","18032121E206","2067113021")</f>
        <v>0</v>
      </c>
    </row>
    <row r="1042" spans="1:9" x14ac:dyDescent="0.2">
      <c r="A1042" s="46" t="s">
        <v>32</v>
      </c>
      <c r="B1042" s="46" t="s">
        <v>32</v>
      </c>
      <c r="C1042" s="46" t="s">
        <v>32</v>
      </c>
      <c r="D1042" s="46" t="s">
        <v>32</v>
      </c>
      <c r="E1042" s="46" t="s">
        <v>32</v>
      </c>
      <c r="F1042" s="47">
        <f>[1]!BexGetData("DP_2","DL719O2RYNC0Y217V0FVT1R77","17","E","18032121E206","2067121011")</f>
        <v>2085547.2</v>
      </c>
      <c r="G1042" s="48">
        <f>[1]!BexGetData("DP_2","DL719O2RYNEBZX0HTMQQ0BY0J","17","E","18032121E206","2067121011")</f>
        <v>2085547.2</v>
      </c>
      <c r="H1042" s="48">
        <f>[1]!BexGetData("DP_2","DL719O2RYNGN1RZRS91K7M4TV","17","E","18032121E206","2067121011")</f>
        <v>1955251.2</v>
      </c>
      <c r="I1042" s="48">
        <f>[1]!BexGetData("DP_2","DL719O2RYNIY3MZ1QVCEEWBN7","17","E","18032121E206","2067121011")</f>
        <v>0</v>
      </c>
    </row>
    <row r="1043" spans="1:9" x14ac:dyDescent="0.2">
      <c r="A1043" s="46" t="s">
        <v>32</v>
      </c>
      <c r="B1043" s="46" t="s">
        <v>32</v>
      </c>
      <c r="C1043" s="46" t="s">
        <v>32</v>
      </c>
      <c r="D1043" s="46" t="s">
        <v>32</v>
      </c>
      <c r="E1043" s="46" t="s">
        <v>32</v>
      </c>
      <c r="F1043" s="47">
        <f>[1]!BexGetData("DP_2","DL719O2RYNC0Y217V0FVT1R77","17","E","18032121E206","2067122011")</f>
        <v>91680.05</v>
      </c>
      <c r="G1043" s="48">
        <f>[1]!BexGetData("DP_2","DL719O2RYNEBZX0HTMQQ0BY0J","17","E","18032121E206","2067122011")</f>
        <v>91680.05</v>
      </c>
      <c r="H1043" s="48">
        <f>[1]!BexGetData("DP_2","DL719O2RYNGN1RZRS91K7M4TV","17","E","18032121E206","2067122011")</f>
        <v>91680.05</v>
      </c>
      <c r="I1043" s="48">
        <f>[1]!BexGetData("DP_2","DL719O2RYNIY3MZ1QVCEEWBN7","17","E","18032121E206","2067122011")</f>
        <v>0</v>
      </c>
    </row>
    <row r="1044" spans="1:9" x14ac:dyDescent="0.2">
      <c r="A1044" s="46" t="s">
        <v>32</v>
      </c>
      <c r="B1044" s="46" t="s">
        <v>32</v>
      </c>
      <c r="C1044" s="46" t="s">
        <v>32</v>
      </c>
      <c r="D1044" s="46" t="s">
        <v>32</v>
      </c>
      <c r="E1044" s="46" t="s">
        <v>32</v>
      </c>
      <c r="F1044" s="47">
        <f>[1]!BexGetData("DP_2","DL719O2RYNC0Y217V0FVT1R77","17","E","18032121E206","2067131011")</f>
        <v>107976.2</v>
      </c>
      <c r="G1044" s="48">
        <f>[1]!BexGetData("DP_2","DL719O2RYNEBZX0HTMQQ0BY0J","17","E","18032121E206","2067131011")</f>
        <v>107976.2</v>
      </c>
      <c r="H1044" s="48">
        <f>[1]!BexGetData("DP_2","DL719O2RYNGN1RZRS91K7M4TV","17","E","18032121E206","2067131011")</f>
        <v>107976.2</v>
      </c>
      <c r="I1044" s="48">
        <f>[1]!BexGetData("DP_2","DL719O2RYNIY3MZ1QVCEEWBN7","17","E","18032121E206","2067131011")</f>
        <v>0</v>
      </c>
    </row>
    <row r="1045" spans="1:9" x14ac:dyDescent="0.2">
      <c r="A1045" s="46" t="s">
        <v>32</v>
      </c>
      <c r="B1045" s="46" t="s">
        <v>32</v>
      </c>
      <c r="C1045" s="46" t="s">
        <v>32</v>
      </c>
      <c r="D1045" s="46" t="s">
        <v>32</v>
      </c>
      <c r="E1045" s="46" t="s">
        <v>32</v>
      </c>
      <c r="F1045" s="47">
        <f>[1]!BexGetData("DP_2","DL719O2RYNC0Y217V0FVT1R77","17","E","18032121E206","2067131021")</f>
        <v>3214.8</v>
      </c>
      <c r="G1045" s="48">
        <f>[1]!BexGetData("DP_2","DL719O2RYNEBZX0HTMQQ0BY0J","17","E","18032121E206","2067131021")</f>
        <v>3214.8</v>
      </c>
      <c r="H1045" s="48">
        <f>[1]!BexGetData("DP_2","DL719O2RYNGN1RZRS91K7M4TV","17","E","18032121E206","2067131021")</f>
        <v>3214.8</v>
      </c>
      <c r="I1045" s="48">
        <f>[1]!BexGetData("DP_2","DL719O2RYNIY3MZ1QVCEEWBN7","17","E","18032121E206","2067131021")</f>
        <v>0</v>
      </c>
    </row>
    <row r="1046" spans="1:9" x14ac:dyDescent="0.2">
      <c r="A1046" s="46" t="s">
        <v>32</v>
      </c>
      <c r="B1046" s="46" t="s">
        <v>32</v>
      </c>
      <c r="C1046" s="46" t="s">
        <v>32</v>
      </c>
      <c r="D1046" s="46" t="s">
        <v>32</v>
      </c>
      <c r="E1046" s="46" t="s">
        <v>32</v>
      </c>
      <c r="F1046" s="47">
        <f>[1]!BexGetData("DP_2","DL719O2RYNC0Y217V0FVT1R77","17","E","18032121E206","2067132011")</f>
        <v>57596.54</v>
      </c>
      <c r="G1046" s="48">
        <f>[1]!BexGetData("DP_2","DL719O2RYNEBZX0HTMQQ0BY0J","17","E","18032121E206","2067132011")</f>
        <v>57596.54</v>
      </c>
      <c r="H1046" s="48">
        <f>[1]!BexGetData("DP_2","DL719O2RYNGN1RZRS91K7M4TV","17","E","18032121E206","2067132011")</f>
        <v>57596.54</v>
      </c>
      <c r="I1046" s="48">
        <f>[1]!BexGetData("DP_2","DL719O2RYNIY3MZ1QVCEEWBN7","17","E","18032121E206","2067132011")</f>
        <v>0</v>
      </c>
    </row>
    <row r="1047" spans="1:9" x14ac:dyDescent="0.2">
      <c r="A1047" s="46" t="s">
        <v>32</v>
      </c>
      <c r="B1047" s="46" t="s">
        <v>32</v>
      </c>
      <c r="C1047" s="46" t="s">
        <v>32</v>
      </c>
      <c r="D1047" s="46" t="s">
        <v>32</v>
      </c>
      <c r="E1047" s="46" t="s">
        <v>32</v>
      </c>
      <c r="F1047" s="47">
        <f>[1]!BexGetData("DP_2","DL719O2RYNC0Y217V0FVT1R77","17","E","18032121E206","2067132021")</f>
        <v>271742.61</v>
      </c>
      <c r="G1047" s="48">
        <f>[1]!BexGetData("DP_2","DL719O2RYNEBZX0HTMQQ0BY0J","17","E","18032121E206","2067132021")</f>
        <v>271742.61</v>
      </c>
      <c r="H1047" s="48">
        <f>[1]!BexGetData("DP_2","DL719O2RYNGN1RZRS91K7M4TV","17","E","18032121E206","2067132021")</f>
        <v>271742.61</v>
      </c>
      <c r="I1047" s="48">
        <f>[1]!BexGetData("DP_2","DL719O2RYNIY3MZ1QVCEEWBN7","17","E","18032121E206","2067132021")</f>
        <v>0</v>
      </c>
    </row>
    <row r="1048" spans="1:9" x14ac:dyDescent="0.2">
      <c r="A1048" s="46" t="s">
        <v>32</v>
      </c>
      <c r="B1048" s="46" t="s">
        <v>32</v>
      </c>
      <c r="C1048" s="46" t="s">
        <v>32</v>
      </c>
      <c r="D1048" s="46" t="s">
        <v>32</v>
      </c>
      <c r="E1048" s="46" t="s">
        <v>32</v>
      </c>
      <c r="F1048" s="47">
        <f>[1]!BexGetData("DP_2","DL719O2RYNC0Y217V0FVT1R77","17","E","18032121E206","2067134011")</f>
        <v>566777.04</v>
      </c>
      <c r="G1048" s="48">
        <f>[1]!BexGetData("DP_2","DL719O2RYNEBZX0HTMQQ0BY0J","17","E","18032121E206","2067134011")</f>
        <v>566777.04</v>
      </c>
      <c r="H1048" s="48">
        <f>[1]!BexGetData("DP_2","DL719O2RYNGN1RZRS91K7M4TV","17","E","18032121E206","2067134011")</f>
        <v>573267.21</v>
      </c>
      <c r="I1048" s="48">
        <f>[1]!BexGetData("DP_2","DL719O2RYNIY3MZ1QVCEEWBN7","17","E","18032121E206","2067134011")</f>
        <v>0</v>
      </c>
    </row>
    <row r="1049" spans="1:9" x14ac:dyDescent="0.2">
      <c r="A1049" s="46" t="s">
        <v>32</v>
      </c>
      <c r="B1049" s="46" t="s">
        <v>32</v>
      </c>
      <c r="C1049" s="46" t="s">
        <v>32</v>
      </c>
      <c r="D1049" s="46" t="s">
        <v>32</v>
      </c>
      <c r="E1049" s="46" t="s">
        <v>32</v>
      </c>
      <c r="F1049" s="47">
        <f>[1]!BexGetData("DP_2","DL719O2RYNC0Y217V0FVT1R77","17","E","18032121E206","2067134021")</f>
        <v>671480.51</v>
      </c>
      <c r="G1049" s="48">
        <f>[1]!BexGetData("DP_2","DL719O2RYNEBZX0HTMQQ0BY0J","17","E","18032121E206","2067134021")</f>
        <v>671480.51</v>
      </c>
      <c r="H1049" s="48">
        <f>[1]!BexGetData("DP_2","DL719O2RYNGN1RZRS91K7M4TV","17","E","18032121E206","2067134021")</f>
        <v>671480.51</v>
      </c>
      <c r="I1049" s="48">
        <f>[1]!BexGetData("DP_2","DL719O2RYNIY3MZ1QVCEEWBN7","17","E","18032121E206","2067134021")</f>
        <v>0</v>
      </c>
    </row>
    <row r="1050" spans="1:9" x14ac:dyDescent="0.2">
      <c r="A1050" s="46" t="s">
        <v>32</v>
      </c>
      <c r="B1050" s="46" t="s">
        <v>32</v>
      </c>
      <c r="C1050" s="46" t="s">
        <v>32</v>
      </c>
      <c r="D1050" s="46" t="s">
        <v>32</v>
      </c>
      <c r="E1050" s="46" t="s">
        <v>32</v>
      </c>
      <c r="F1050" s="47">
        <f>[1]!BexGetData("DP_2","DL719O2RYNC0Y217V0FVT1R77","17","E","18032121E206","2067141011")</f>
        <v>255381.99</v>
      </c>
      <c r="G1050" s="48">
        <f>[1]!BexGetData("DP_2","DL719O2RYNEBZX0HTMQQ0BY0J","17","E","18032121E206","2067141011")</f>
        <v>255381.99</v>
      </c>
      <c r="H1050" s="48">
        <f>[1]!BexGetData("DP_2","DL719O2RYNGN1RZRS91K7M4TV","17","E","18032121E206","2067141011")</f>
        <v>255381.99</v>
      </c>
      <c r="I1050" s="48">
        <f>[1]!BexGetData("DP_2","DL719O2RYNIY3MZ1QVCEEWBN7","17","E","18032121E206","2067141011")</f>
        <v>0</v>
      </c>
    </row>
    <row r="1051" spans="1:9" x14ac:dyDescent="0.2">
      <c r="A1051" s="46" t="s">
        <v>32</v>
      </c>
      <c r="B1051" s="46" t="s">
        <v>32</v>
      </c>
      <c r="C1051" s="46" t="s">
        <v>32</v>
      </c>
      <c r="D1051" s="46" t="s">
        <v>32</v>
      </c>
      <c r="E1051" s="46" t="s">
        <v>32</v>
      </c>
      <c r="F1051" s="47">
        <f>[1]!BexGetData("DP_2","DL719O2RYNC0Y217V0FVT1R77","17","E","18032121E206","2067141021")</f>
        <v>82802.52</v>
      </c>
      <c r="G1051" s="48">
        <f>[1]!BexGetData("DP_2","DL719O2RYNEBZX0HTMQQ0BY0J","17","E","18032121E206","2067141021")</f>
        <v>82802.52</v>
      </c>
      <c r="H1051" s="48">
        <f>[1]!BexGetData("DP_2","DL719O2RYNGN1RZRS91K7M4TV","17","E","18032121E206","2067141021")</f>
        <v>82802.52</v>
      </c>
      <c r="I1051" s="48">
        <f>[1]!BexGetData("DP_2","DL719O2RYNIY3MZ1QVCEEWBN7","17","E","18032121E206","2067141021")</f>
        <v>0</v>
      </c>
    </row>
    <row r="1052" spans="1:9" x14ac:dyDescent="0.2">
      <c r="A1052" s="46" t="s">
        <v>32</v>
      </c>
      <c r="B1052" s="46" t="s">
        <v>32</v>
      </c>
      <c r="C1052" s="46" t="s">
        <v>32</v>
      </c>
      <c r="D1052" s="46" t="s">
        <v>32</v>
      </c>
      <c r="E1052" s="46" t="s">
        <v>32</v>
      </c>
      <c r="F1052" s="47">
        <f>[1]!BexGetData("DP_2","DL719O2RYNC0Y217V0FVT1R77","17","E","18032121E206","2067143011")</f>
        <v>38759.440000000002</v>
      </c>
      <c r="G1052" s="48">
        <f>[1]!BexGetData("DP_2","DL719O2RYNEBZX0HTMQQ0BY0J","17","E","18032121E206","2067143011")</f>
        <v>38759.440000000002</v>
      </c>
      <c r="H1052" s="48">
        <f>[1]!BexGetData("DP_2","DL719O2RYNGN1RZRS91K7M4TV","17","E","18032121E206","2067143011")</f>
        <v>38759.440000000002</v>
      </c>
      <c r="I1052" s="48">
        <f>[1]!BexGetData("DP_2","DL719O2RYNIY3MZ1QVCEEWBN7","17","E","18032121E206","2067143011")</f>
        <v>0</v>
      </c>
    </row>
    <row r="1053" spans="1:9" x14ac:dyDescent="0.2">
      <c r="A1053" s="46" t="s">
        <v>32</v>
      </c>
      <c r="B1053" s="46" t="s">
        <v>32</v>
      </c>
      <c r="C1053" s="46" t="s">
        <v>32</v>
      </c>
      <c r="D1053" s="46" t="s">
        <v>32</v>
      </c>
      <c r="E1053" s="46" t="s">
        <v>32</v>
      </c>
      <c r="F1053" s="47">
        <f>[1]!BexGetData("DP_2","DL719O2RYNC0Y217V0FVT1R77","17","E","18032121E206","2067151011")</f>
        <v>154707</v>
      </c>
      <c r="G1053" s="48">
        <f>[1]!BexGetData("DP_2","DL719O2RYNEBZX0HTMQQ0BY0J","17","E","18032121E206","2067151011")</f>
        <v>154707</v>
      </c>
      <c r="H1053" s="48">
        <f>[1]!BexGetData("DP_2","DL719O2RYNGN1RZRS91K7M4TV","17","E","18032121E206","2067151011")</f>
        <v>154707</v>
      </c>
      <c r="I1053" s="48">
        <f>[1]!BexGetData("DP_2","DL719O2RYNIY3MZ1QVCEEWBN7","17","E","18032121E206","2067151011")</f>
        <v>0</v>
      </c>
    </row>
    <row r="1054" spans="1:9" x14ac:dyDescent="0.2">
      <c r="A1054" s="46" t="s">
        <v>32</v>
      </c>
      <c r="B1054" s="46" t="s">
        <v>32</v>
      </c>
      <c r="C1054" s="46" t="s">
        <v>32</v>
      </c>
      <c r="D1054" s="46" t="s">
        <v>32</v>
      </c>
      <c r="E1054" s="46" t="s">
        <v>32</v>
      </c>
      <c r="F1054" s="47">
        <f>[1]!BexGetData("DP_2","DL719O2RYNC0Y217V0FVT1R77","17","E","18032121E206","2067154011")</f>
        <v>631328.6</v>
      </c>
      <c r="G1054" s="48">
        <f>[1]!BexGetData("DP_2","DL719O2RYNEBZX0HTMQQ0BY0J","17","E","18032121E206","2067154011")</f>
        <v>631328.6</v>
      </c>
      <c r="H1054" s="48">
        <f>[1]!BexGetData("DP_2","DL719O2RYNGN1RZRS91K7M4TV","17","E","18032121E206","2067154011")</f>
        <v>631328.6</v>
      </c>
      <c r="I1054" s="48">
        <f>[1]!BexGetData("DP_2","DL719O2RYNIY3MZ1QVCEEWBN7","17","E","18032121E206","2067154011")</f>
        <v>0</v>
      </c>
    </row>
    <row r="1055" spans="1:9" x14ac:dyDescent="0.2">
      <c r="A1055" s="46" t="s">
        <v>32</v>
      </c>
      <c r="B1055" s="46" t="s">
        <v>32</v>
      </c>
      <c r="C1055" s="46" t="s">
        <v>32</v>
      </c>
      <c r="D1055" s="46" t="s">
        <v>32</v>
      </c>
      <c r="E1055" s="46" t="s">
        <v>32</v>
      </c>
      <c r="F1055" s="47">
        <f>[1]!BexGetData("DP_2","DL719O2RYNC0Y217V0FVT1R77","17","E","18032121E206","2067211011")</f>
        <v>32007.7</v>
      </c>
      <c r="G1055" s="48">
        <f>[1]!BexGetData("DP_2","DL719O2RYNEBZX0HTMQQ0BY0J","17","E","18032121E206","2067211011")</f>
        <v>32007.7</v>
      </c>
      <c r="H1055" s="48">
        <f>[1]!BexGetData("DP_2","DL719O2RYNGN1RZRS91K7M4TV","17","E","18032121E206","2067211011")</f>
        <v>30588.29</v>
      </c>
      <c r="I1055" s="48">
        <f>[1]!BexGetData("DP_2","DL719O2RYNIY3MZ1QVCEEWBN7","17","E","18032121E206","2067211011")</f>
        <v>0</v>
      </c>
    </row>
    <row r="1056" spans="1:9" x14ac:dyDescent="0.2">
      <c r="A1056" s="46" t="s">
        <v>32</v>
      </c>
      <c r="B1056" s="46" t="s">
        <v>32</v>
      </c>
      <c r="C1056" s="46" t="s">
        <v>32</v>
      </c>
      <c r="D1056" s="46" t="s">
        <v>32</v>
      </c>
      <c r="E1056" s="46" t="s">
        <v>32</v>
      </c>
      <c r="F1056" s="47">
        <f>[1]!BexGetData("DP_2","DL719O2RYNC0Y217V0FVT1R77","17","E","18032121E206","2067211021")</f>
        <v>5028.6000000000004</v>
      </c>
      <c r="G1056" s="48">
        <f>[1]!BexGetData("DP_2","DL719O2RYNEBZX0HTMQQ0BY0J","17","E","18032121E206","2067211021")</f>
        <v>5028.6000000000004</v>
      </c>
      <c r="H1056" s="48">
        <f>[1]!BexGetData("DP_2","DL719O2RYNGN1RZRS91K7M4TV","17","E","18032121E206","2067211021")</f>
        <v>5028.6000000000004</v>
      </c>
      <c r="I1056" s="48">
        <f>[1]!BexGetData("DP_2","DL719O2RYNIY3MZ1QVCEEWBN7","17","E","18032121E206","2067211021")</f>
        <v>0</v>
      </c>
    </row>
    <row r="1057" spans="1:9" x14ac:dyDescent="0.2">
      <c r="A1057" s="46" t="s">
        <v>32</v>
      </c>
      <c r="B1057" s="46" t="s">
        <v>32</v>
      </c>
      <c r="C1057" s="46" t="s">
        <v>32</v>
      </c>
      <c r="D1057" s="46" t="s">
        <v>32</v>
      </c>
      <c r="E1057" s="46" t="s">
        <v>32</v>
      </c>
      <c r="F1057" s="47">
        <f>[1]!BexGetData("DP_2","DL719O2RYNC0Y217V0FVT1R77","17","E","18032121E206","2067214011")</f>
        <v>17857.61</v>
      </c>
      <c r="G1057" s="48">
        <f>[1]!BexGetData("DP_2","DL719O2RYNEBZX0HTMQQ0BY0J","17","E","18032121E206","2067214011")</f>
        <v>17857.61</v>
      </c>
      <c r="H1057" s="48">
        <f>[1]!BexGetData("DP_2","DL719O2RYNGN1RZRS91K7M4TV","17","E","18032121E206","2067214011")</f>
        <v>17625.61</v>
      </c>
      <c r="I1057" s="48">
        <f>[1]!BexGetData("DP_2","DL719O2RYNIY3MZ1QVCEEWBN7","17","E","18032121E206","2067214011")</f>
        <v>0</v>
      </c>
    </row>
    <row r="1058" spans="1:9" x14ac:dyDescent="0.2">
      <c r="A1058" s="46" t="s">
        <v>32</v>
      </c>
      <c r="B1058" s="46" t="s">
        <v>32</v>
      </c>
      <c r="C1058" s="46" t="s">
        <v>32</v>
      </c>
      <c r="D1058" s="46" t="s">
        <v>32</v>
      </c>
      <c r="E1058" s="46" t="s">
        <v>32</v>
      </c>
      <c r="F1058" s="47">
        <f>[1]!BexGetData("DP_2","DL719O2RYNC0Y217V0FVT1R77","17","E","18032121E206","2067214021")</f>
        <v>3576.12</v>
      </c>
      <c r="G1058" s="48">
        <f>[1]!BexGetData("DP_2","DL719O2RYNEBZX0HTMQQ0BY0J","17","E","18032121E206","2067214021")</f>
        <v>3576.12</v>
      </c>
      <c r="H1058" s="48">
        <f>[1]!BexGetData("DP_2","DL719O2RYNGN1RZRS91K7M4TV","17","E","18032121E206","2067214021")</f>
        <v>0</v>
      </c>
      <c r="I1058" s="48">
        <f>[1]!BexGetData("DP_2","DL719O2RYNIY3MZ1QVCEEWBN7","17","E","18032121E206","2067214021")</f>
        <v>0</v>
      </c>
    </row>
    <row r="1059" spans="1:9" x14ac:dyDescent="0.2">
      <c r="A1059" s="46" t="s">
        <v>32</v>
      </c>
      <c r="B1059" s="46" t="s">
        <v>32</v>
      </c>
      <c r="C1059" s="46" t="s">
        <v>32</v>
      </c>
      <c r="D1059" s="46" t="s">
        <v>32</v>
      </c>
      <c r="E1059" s="46" t="s">
        <v>32</v>
      </c>
      <c r="F1059" s="47">
        <f>[1]!BexGetData("DP_2","DL719O2RYNC0Y217V0FVT1R77","17","E","18032121E206","2067215011")</f>
        <v>59080</v>
      </c>
      <c r="G1059" s="48">
        <f>[1]!BexGetData("DP_2","DL719O2RYNEBZX0HTMQQ0BY0J","17","E","18032121E206","2067215011")</f>
        <v>59080</v>
      </c>
      <c r="H1059" s="48">
        <f>[1]!BexGetData("DP_2","DL719O2RYNGN1RZRS91K7M4TV","17","E","18032121E206","2067215011")</f>
        <v>59080</v>
      </c>
      <c r="I1059" s="48">
        <f>[1]!BexGetData("DP_2","DL719O2RYNIY3MZ1QVCEEWBN7","17","E","18032121E206","2067215011")</f>
        <v>0</v>
      </c>
    </row>
    <row r="1060" spans="1:9" x14ac:dyDescent="0.2">
      <c r="A1060" s="46" t="s">
        <v>32</v>
      </c>
      <c r="B1060" s="46" t="s">
        <v>32</v>
      </c>
      <c r="C1060" s="46" t="s">
        <v>32</v>
      </c>
      <c r="D1060" s="46" t="s">
        <v>32</v>
      </c>
      <c r="E1060" s="46" t="s">
        <v>32</v>
      </c>
      <c r="F1060" s="47">
        <f>[1]!BexGetData("DP_2","DL719O2RYNC0Y217V0FVT1R77","17","E","18032121E206","2067215021")</f>
        <v>0</v>
      </c>
      <c r="G1060" s="48">
        <f>[1]!BexGetData("DP_2","DL719O2RYNEBZX0HTMQQ0BY0J","17","E","18032121E206","2067215021")</f>
        <v>0</v>
      </c>
      <c r="H1060" s="48">
        <f>[1]!BexGetData("DP_2","DL719O2RYNGN1RZRS91K7M4TV","17","E","18032121E206","2067215021")</f>
        <v>0</v>
      </c>
      <c r="I1060" s="48">
        <f>[1]!BexGetData("DP_2","DL719O2RYNIY3MZ1QVCEEWBN7","17","E","18032121E206","2067215021")</f>
        <v>0</v>
      </c>
    </row>
    <row r="1061" spans="1:9" x14ac:dyDescent="0.2">
      <c r="A1061" s="46" t="s">
        <v>32</v>
      </c>
      <c r="B1061" s="46" t="s">
        <v>32</v>
      </c>
      <c r="C1061" s="46" t="s">
        <v>32</v>
      </c>
      <c r="D1061" s="46" t="s">
        <v>32</v>
      </c>
      <c r="E1061" s="46" t="s">
        <v>32</v>
      </c>
      <c r="F1061" s="47">
        <f>[1]!BexGetData("DP_2","DL719O2RYNC0Y217V0FVT1R77","17","E","18032121E206","2067216011")</f>
        <v>61566.54</v>
      </c>
      <c r="G1061" s="48">
        <f>[1]!BexGetData("DP_2","DL719O2RYNEBZX0HTMQQ0BY0J","17","E","18032121E206","2067216011")</f>
        <v>61566.54</v>
      </c>
      <c r="H1061" s="48">
        <f>[1]!BexGetData("DP_2","DL719O2RYNGN1RZRS91K7M4TV","17","E","18032121E206","2067216011")</f>
        <v>61566.54</v>
      </c>
      <c r="I1061" s="48">
        <f>[1]!BexGetData("DP_2","DL719O2RYNIY3MZ1QVCEEWBN7","17","E","18032121E206","2067216011")</f>
        <v>0</v>
      </c>
    </row>
    <row r="1062" spans="1:9" x14ac:dyDescent="0.2">
      <c r="A1062" s="46" t="s">
        <v>32</v>
      </c>
      <c r="B1062" s="46" t="s">
        <v>32</v>
      </c>
      <c r="C1062" s="46" t="s">
        <v>32</v>
      </c>
      <c r="D1062" s="46" t="s">
        <v>32</v>
      </c>
      <c r="E1062" s="46" t="s">
        <v>32</v>
      </c>
      <c r="F1062" s="47">
        <f>[1]!BexGetData("DP_2","DL719O2RYNC0Y217V0FVT1R77","17","E","18032121E206","2067221011")</f>
        <v>20686</v>
      </c>
      <c r="G1062" s="48">
        <f>[1]!BexGetData("DP_2","DL719O2RYNEBZX0HTMQQ0BY0J","17","E","18032121E206","2067221011")</f>
        <v>20686</v>
      </c>
      <c r="H1062" s="48">
        <f>[1]!BexGetData("DP_2","DL719O2RYNGN1RZRS91K7M4TV","17","E","18032121E206","2067221011")</f>
        <v>20686</v>
      </c>
      <c r="I1062" s="48">
        <f>[1]!BexGetData("DP_2","DL719O2RYNIY3MZ1QVCEEWBN7","17","E","18032121E206","2067221011")</f>
        <v>0</v>
      </c>
    </row>
    <row r="1063" spans="1:9" x14ac:dyDescent="0.2">
      <c r="A1063" s="46" t="s">
        <v>32</v>
      </c>
      <c r="B1063" s="46" t="s">
        <v>32</v>
      </c>
      <c r="C1063" s="46" t="s">
        <v>32</v>
      </c>
      <c r="D1063" s="46" t="s">
        <v>32</v>
      </c>
      <c r="E1063" s="46" t="s">
        <v>32</v>
      </c>
      <c r="F1063" s="47">
        <f>[1]!BexGetData("DP_2","DL719O2RYNC0Y217V0FVT1R77","17","E","18032121E206","2067221021")</f>
        <v>11440</v>
      </c>
      <c r="G1063" s="48">
        <f>[1]!BexGetData("DP_2","DL719O2RYNEBZX0HTMQQ0BY0J","17","E","18032121E206","2067221021")</f>
        <v>11440</v>
      </c>
      <c r="H1063" s="48">
        <f>[1]!BexGetData("DP_2","DL719O2RYNGN1RZRS91K7M4TV","17","E","18032121E206","2067221021")</f>
        <v>11439.98</v>
      </c>
      <c r="I1063" s="48">
        <f>[1]!BexGetData("DP_2","DL719O2RYNIY3MZ1QVCEEWBN7","17","E","18032121E206","2067221021")</f>
        <v>0</v>
      </c>
    </row>
    <row r="1064" spans="1:9" x14ac:dyDescent="0.2">
      <c r="A1064" s="46" t="s">
        <v>32</v>
      </c>
      <c r="B1064" s="46" t="s">
        <v>32</v>
      </c>
      <c r="C1064" s="46" t="s">
        <v>32</v>
      </c>
      <c r="D1064" s="46" t="s">
        <v>32</v>
      </c>
      <c r="E1064" s="46" t="s">
        <v>32</v>
      </c>
      <c r="F1064" s="47">
        <f>[1]!BexGetData("DP_2","DL719O2RYNC0Y217V0FVT1R77","17","E","18032121E206","2067246011")</f>
        <v>525.66999999999996</v>
      </c>
      <c r="G1064" s="48">
        <f>[1]!BexGetData("DP_2","DL719O2RYNEBZX0HTMQQ0BY0J","17","E","18032121E206","2067246011")</f>
        <v>525.66999999999996</v>
      </c>
      <c r="H1064" s="48">
        <f>[1]!BexGetData("DP_2","DL719O2RYNGN1RZRS91K7M4TV","17","E","18032121E206","2067246011")</f>
        <v>489.67</v>
      </c>
      <c r="I1064" s="48">
        <f>[1]!BexGetData("DP_2","DL719O2RYNIY3MZ1QVCEEWBN7","17","E","18032121E206","2067246011")</f>
        <v>0</v>
      </c>
    </row>
    <row r="1065" spans="1:9" x14ac:dyDescent="0.2">
      <c r="A1065" s="46" t="s">
        <v>32</v>
      </c>
      <c r="B1065" s="46" t="s">
        <v>32</v>
      </c>
      <c r="C1065" s="46" t="s">
        <v>32</v>
      </c>
      <c r="D1065" s="46" t="s">
        <v>32</v>
      </c>
      <c r="E1065" s="46" t="s">
        <v>32</v>
      </c>
      <c r="F1065" s="47">
        <f>[1]!BexGetData("DP_2","DL719O2RYNC0Y217V0FVT1R77","17","E","18032121E206","2067247011")</f>
        <v>11.4</v>
      </c>
      <c r="G1065" s="48">
        <f>[1]!BexGetData("DP_2","DL719O2RYNEBZX0HTMQQ0BY0J","17","E","18032121E206","2067247011")</f>
        <v>11.4</v>
      </c>
      <c r="H1065" s="48">
        <f>[1]!BexGetData("DP_2","DL719O2RYNGN1RZRS91K7M4TV","17","E","18032121E206","2067247011")</f>
        <v>11.4</v>
      </c>
      <c r="I1065" s="48">
        <f>[1]!BexGetData("DP_2","DL719O2RYNIY3MZ1QVCEEWBN7","17","E","18032121E206","2067247011")</f>
        <v>0</v>
      </c>
    </row>
    <row r="1066" spans="1:9" x14ac:dyDescent="0.2">
      <c r="A1066" s="46" t="s">
        <v>32</v>
      </c>
      <c r="B1066" s="46" t="s">
        <v>32</v>
      </c>
      <c r="C1066" s="46" t="s">
        <v>32</v>
      </c>
      <c r="D1066" s="46" t="s">
        <v>32</v>
      </c>
      <c r="E1066" s="46" t="s">
        <v>32</v>
      </c>
      <c r="F1066" s="47">
        <f>[1]!BexGetData("DP_2","DL719O2RYNC0Y217V0FVT1R77","17","E","18032121E206","2067261011")</f>
        <v>0</v>
      </c>
      <c r="G1066" s="48">
        <f>[1]!BexGetData("DP_2","DL719O2RYNEBZX0HTMQQ0BY0J","17","E","18032121E206","2067261011")</f>
        <v>0</v>
      </c>
      <c r="H1066" s="48">
        <f>[1]!BexGetData("DP_2","DL719O2RYNGN1RZRS91K7M4TV","17","E","18032121E206","2067261011")</f>
        <v>0</v>
      </c>
      <c r="I1066" s="48">
        <f>[1]!BexGetData("DP_2","DL719O2RYNIY3MZ1QVCEEWBN7","17","E","18032121E206","2067261011")</f>
        <v>0</v>
      </c>
    </row>
    <row r="1067" spans="1:9" x14ac:dyDescent="0.2">
      <c r="A1067" s="46" t="s">
        <v>32</v>
      </c>
      <c r="B1067" s="46" t="s">
        <v>32</v>
      </c>
      <c r="C1067" s="46" t="s">
        <v>32</v>
      </c>
      <c r="D1067" s="46" t="s">
        <v>32</v>
      </c>
      <c r="E1067" s="46" t="s">
        <v>32</v>
      </c>
      <c r="F1067" s="47">
        <f>[1]!BexGetData("DP_2","DL719O2RYNC0Y217V0FVT1R77","17","E","18032121E206","2067261021")</f>
        <v>0</v>
      </c>
      <c r="G1067" s="48">
        <f>[1]!BexGetData("DP_2","DL719O2RYNEBZX0HTMQQ0BY0J","17","E","18032121E206","2067261021")</f>
        <v>0</v>
      </c>
      <c r="H1067" s="48">
        <f>[1]!BexGetData("DP_2","DL719O2RYNGN1RZRS91K7M4TV","17","E","18032121E206","2067261021")</f>
        <v>0</v>
      </c>
      <c r="I1067" s="48">
        <f>[1]!BexGetData("DP_2","DL719O2RYNIY3MZ1QVCEEWBN7","17","E","18032121E206","2067261021")</f>
        <v>0</v>
      </c>
    </row>
    <row r="1068" spans="1:9" x14ac:dyDescent="0.2">
      <c r="A1068" s="46" t="s">
        <v>32</v>
      </c>
      <c r="B1068" s="46" t="s">
        <v>32</v>
      </c>
      <c r="C1068" s="46" t="s">
        <v>32</v>
      </c>
      <c r="D1068" s="46" t="s">
        <v>32</v>
      </c>
      <c r="E1068" s="46" t="s">
        <v>32</v>
      </c>
      <c r="F1068" s="47">
        <f>[1]!BexGetData("DP_2","DL719O2RYNC0Y217V0FVT1R77","17","E","18032121E206","2067293031")</f>
        <v>0</v>
      </c>
      <c r="G1068" s="48">
        <f>[1]!BexGetData("DP_2","DL719O2RYNEBZX0HTMQQ0BY0J","17","E","18032121E206","2067293031")</f>
        <v>0</v>
      </c>
      <c r="H1068" s="48">
        <f>[1]!BexGetData("DP_2","DL719O2RYNGN1RZRS91K7M4TV","17","E","18032121E206","2067293031")</f>
        <v>0</v>
      </c>
      <c r="I1068" s="48">
        <f>[1]!BexGetData("DP_2","DL719O2RYNIY3MZ1QVCEEWBN7","17","E","18032121E206","2067293031")</f>
        <v>0</v>
      </c>
    </row>
    <row r="1069" spans="1:9" x14ac:dyDescent="0.2">
      <c r="A1069" s="46" t="s">
        <v>32</v>
      </c>
      <c r="B1069" s="46" t="s">
        <v>32</v>
      </c>
      <c r="C1069" s="46" t="s">
        <v>32</v>
      </c>
      <c r="D1069" s="46" t="s">
        <v>32</v>
      </c>
      <c r="E1069" s="46" t="s">
        <v>32</v>
      </c>
      <c r="F1069" s="47">
        <f>[1]!BexGetData("DP_2","DL719O2RYNC0Y217V0FVT1R77","17","E","18032121E206","2067294011")</f>
        <v>29.93</v>
      </c>
      <c r="G1069" s="48">
        <f>[1]!BexGetData("DP_2","DL719O2RYNEBZX0HTMQQ0BY0J","17","E","18032121E206","2067294011")</f>
        <v>29.93</v>
      </c>
      <c r="H1069" s="48">
        <f>[1]!BexGetData("DP_2","DL719O2RYNGN1RZRS91K7M4TV","17","E","18032121E206","2067294011")</f>
        <v>0</v>
      </c>
      <c r="I1069" s="48">
        <f>[1]!BexGetData("DP_2","DL719O2RYNIY3MZ1QVCEEWBN7","17","E","18032121E206","2067294011")</f>
        <v>0</v>
      </c>
    </row>
    <row r="1070" spans="1:9" x14ac:dyDescent="0.2">
      <c r="A1070" s="46" t="s">
        <v>32</v>
      </c>
      <c r="B1070" s="46" t="s">
        <v>32</v>
      </c>
      <c r="C1070" s="46" t="s">
        <v>32</v>
      </c>
      <c r="D1070" s="46" t="s">
        <v>32</v>
      </c>
      <c r="E1070" s="46" t="s">
        <v>32</v>
      </c>
      <c r="F1070" s="47">
        <f>[1]!BexGetData("DP_2","DL719O2RYNC0Y217V0FVT1R77","17","E","18032121E206","2067296011")</f>
        <v>0</v>
      </c>
      <c r="G1070" s="48">
        <f>[1]!BexGetData("DP_2","DL719O2RYNEBZX0HTMQQ0BY0J","17","E","18032121E206","2067296011")</f>
        <v>0</v>
      </c>
      <c r="H1070" s="48">
        <f>[1]!BexGetData("DP_2","DL719O2RYNGN1RZRS91K7M4TV","17","E","18032121E206","2067296011")</f>
        <v>0</v>
      </c>
      <c r="I1070" s="48">
        <f>[1]!BexGetData("DP_2","DL719O2RYNIY3MZ1QVCEEWBN7","17","E","18032121E206","2067296011")</f>
        <v>0</v>
      </c>
    </row>
    <row r="1071" spans="1:9" x14ac:dyDescent="0.2">
      <c r="A1071" s="46" t="s">
        <v>32</v>
      </c>
      <c r="B1071" s="46" t="s">
        <v>32</v>
      </c>
      <c r="C1071" s="46" t="s">
        <v>32</v>
      </c>
      <c r="D1071" s="46" t="s">
        <v>32</v>
      </c>
      <c r="E1071" s="46" t="s">
        <v>32</v>
      </c>
      <c r="F1071" s="47">
        <f>[1]!BexGetData("DP_2","DL719O2RYNC0Y217V0FVT1R77","17","E","18032121E206","2067314011")</f>
        <v>19175.330000000002</v>
      </c>
      <c r="G1071" s="48">
        <f>[1]!BexGetData("DP_2","DL719O2RYNEBZX0HTMQQ0BY0J","17","E","18032121E206","2067314011")</f>
        <v>19175.330000000002</v>
      </c>
      <c r="H1071" s="48">
        <f>[1]!BexGetData("DP_2","DL719O2RYNGN1RZRS91K7M4TV","17","E","18032121E206","2067314011")</f>
        <v>19175.330000000002</v>
      </c>
      <c r="I1071" s="48">
        <f>[1]!BexGetData("DP_2","DL719O2RYNIY3MZ1QVCEEWBN7","17","E","18032121E206","2067314011")</f>
        <v>0</v>
      </c>
    </row>
    <row r="1072" spans="1:9" x14ac:dyDescent="0.2">
      <c r="A1072" s="46" t="s">
        <v>32</v>
      </c>
      <c r="B1072" s="46" t="s">
        <v>32</v>
      </c>
      <c r="C1072" s="46" t="s">
        <v>32</v>
      </c>
      <c r="D1072" s="46" t="s">
        <v>32</v>
      </c>
      <c r="E1072" s="46" t="s">
        <v>32</v>
      </c>
      <c r="F1072" s="47">
        <f>[1]!BexGetData("DP_2","DL719O2RYNC0Y217V0FVT1R77","17","E","18032121E206","2067315011")</f>
        <v>0</v>
      </c>
      <c r="G1072" s="48">
        <f>[1]!BexGetData("DP_2","DL719O2RYNEBZX0HTMQQ0BY0J","17","E","18032121E206","2067315011")</f>
        <v>0</v>
      </c>
      <c r="H1072" s="48">
        <f>[1]!BexGetData("DP_2","DL719O2RYNGN1RZRS91K7M4TV","17","E","18032121E206","2067315011")</f>
        <v>0</v>
      </c>
      <c r="I1072" s="48">
        <f>[1]!BexGetData("DP_2","DL719O2RYNIY3MZ1QVCEEWBN7","17","E","18032121E206","2067315011")</f>
        <v>0</v>
      </c>
    </row>
    <row r="1073" spans="1:9" x14ac:dyDescent="0.2">
      <c r="A1073" s="46" t="s">
        <v>32</v>
      </c>
      <c r="B1073" s="46" t="s">
        <v>32</v>
      </c>
      <c r="C1073" s="46" t="s">
        <v>32</v>
      </c>
      <c r="D1073" s="46" t="s">
        <v>32</v>
      </c>
      <c r="E1073" s="46" t="s">
        <v>32</v>
      </c>
      <c r="F1073" s="47">
        <f>[1]!BexGetData("DP_2","DL719O2RYNC0Y217V0FVT1R77","17","E","18032121E206","2067317011")</f>
        <v>99180.58</v>
      </c>
      <c r="G1073" s="48">
        <f>[1]!BexGetData("DP_2","DL719O2RYNEBZX0HTMQQ0BY0J","17","E","18032121E206","2067317011")</f>
        <v>99180.58</v>
      </c>
      <c r="H1073" s="48">
        <f>[1]!BexGetData("DP_2","DL719O2RYNGN1RZRS91K7M4TV","17","E","18032121E206","2067317011")</f>
        <v>0</v>
      </c>
      <c r="I1073" s="48">
        <f>[1]!BexGetData("DP_2","DL719O2RYNIY3MZ1QVCEEWBN7","17","E","18032121E206","2067317011")</f>
        <v>0</v>
      </c>
    </row>
    <row r="1074" spans="1:9" x14ac:dyDescent="0.2">
      <c r="A1074" s="46" t="s">
        <v>32</v>
      </c>
      <c r="B1074" s="46" t="s">
        <v>32</v>
      </c>
      <c r="C1074" s="46" t="s">
        <v>32</v>
      </c>
      <c r="D1074" s="46" t="s">
        <v>32</v>
      </c>
      <c r="E1074" s="46" t="s">
        <v>32</v>
      </c>
      <c r="F1074" s="47">
        <f>[1]!BexGetData("DP_2","DL719O2RYNC0Y217V0FVT1R77","17","E","18032121E206","2067325011")</f>
        <v>35700</v>
      </c>
      <c r="G1074" s="48">
        <f>[1]!BexGetData("DP_2","DL719O2RYNEBZX0HTMQQ0BY0J","17","E","18032121E206","2067325011")</f>
        <v>35700</v>
      </c>
      <c r="H1074" s="48">
        <f>[1]!BexGetData("DP_2","DL719O2RYNGN1RZRS91K7M4TV","17","E","18032121E206","2067325011")</f>
        <v>0</v>
      </c>
      <c r="I1074" s="48">
        <f>[1]!BexGetData("DP_2","DL719O2RYNIY3MZ1QVCEEWBN7","17","E","18032121E206","2067325011")</f>
        <v>0</v>
      </c>
    </row>
    <row r="1075" spans="1:9" x14ac:dyDescent="0.2">
      <c r="A1075" s="46" t="s">
        <v>32</v>
      </c>
      <c r="B1075" s="46" t="s">
        <v>32</v>
      </c>
      <c r="C1075" s="46" t="s">
        <v>32</v>
      </c>
      <c r="D1075" s="46" t="s">
        <v>32</v>
      </c>
      <c r="E1075" s="46" t="s">
        <v>32</v>
      </c>
      <c r="F1075" s="47">
        <f>[1]!BexGetData("DP_2","DL719O2RYNC0Y217V0FVT1R77","17","E","18032121E206","2067329011")</f>
        <v>57040</v>
      </c>
      <c r="G1075" s="48">
        <f>[1]!BexGetData("DP_2","DL719O2RYNEBZX0HTMQQ0BY0J","17","E","18032121E206","2067329011")</f>
        <v>57040</v>
      </c>
      <c r="H1075" s="48">
        <f>[1]!BexGetData("DP_2","DL719O2RYNGN1RZRS91K7M4TV","17","E","18032121E206","2067329011")</f>
        <v>17400</v>
      </c>
      <c r="I1075" s="48">
        <f>[1]!BexGetData("DP_2","DL719O2RYNIY3MZ1QVCEEWBN7","17","E","18032121E206","2067329011")</f>
        <v>0</v>
      </c>
    </row>
    <row r="1076" spans="1:9" x14ac:dyDescent="0.2">
      <c r="A1076" s="46" t="s">
        <v>32</v>
      </c>
      <c r="B1076" s="46" t="s">
        <v>32</v>
      </c>
      <c r="C1076" s="46" t="s">
        <v>32</v>
      </c>
      <c r="D1076" s="46" t="s">
        <v>32</v>
      </c>
      <c r="E1076" s="46" t="s">
        <v>32</v>
      </c>
      <c r="F1076" s="47">
        <f>[1]!BexGetData("DP_2","DL719O2RYNC0Y217V0FVT1R77","17","E","18032121E206","2067332011")</f>
        <v>80000</v>
      </c>
      <c r="G1076" s="48">
        <f>[1]!BexGetData("DP_2","DL719O2RYNEBZX0HTMQQ0BY0J","17","E","18032121E206","2067332011")</f>
        <v>80000</v>
      </c>
      <c r="H1076" s="48">
        <f>[1]!BexGetData("DP_2","DL719O2RYNGN1RZRS91K7M4TV","17","E","18032121E206","2067332011")</f>
        <v>80000</v>
      </c>
      <c r="I1076" s="48">
        <f>[1]!BexGetData("DP_2","DL719O2RYNIY3MZ1QVCEEWBN7","17","E","18032121E206","2067332011")</f>
        <v>0</v>
      </c>
    </row>
    <row r="1077" spans="1:9" x14ac:dyDescent="0.2">
      <c r="A1077" s="46" t="s">
        <v>32</v>
      </c>
      <c r="B1077" s="46" t="s">
        <v>32</v>
      </c>
      <c r="C1077" s="46" t="s">
        <v>32</v>
      </c>
      <c r="D1077" s="46" t="s">
        <v>32</v>
      </c>
      <c r="E1077" s="46" t="s">
        <v>32</v>
      </c>
      <c r="F1077" s="47">
        <f>[1]!BexGetData("DP_2","DL719O2RYNC0Y217V0FVT1R77","17","E","18032121E206","2067333011")</f>
        <v>248877.57</v>
      </c>
      <c r="G1077" s="48">
        <f>[1]!BexGetData("DP_2","DL719O2RYNEBZX0HTMQQ0BY0J","17","E","18032121E206","2067333011")</f>
        <v>248877.57</v>
      </c>
      <c r="H1077" s="48">
        <f>[1]!BexGetData("DP_2","DL719O2RYNGN1RZRS91K7M4TV","17","E","18032121E206","2067333011")</f>
        <v>248877.57</v>
      </c>
      <c r="I1077" s="48">
        <f>[1]!BexGetData("DP_2","DL719O2RYNIY3MZ1QVCEEWBN7","17","E","18032121E206","2067333011")</f>
        <v>0</v>
      </c>
    </row>
    <row r="1078" spans="1:9" x14ac:dyDescent="0.2">
      <c r="A1078" s="46" t="s">
        <v>32</v>
      </c>
      <c r="B1078" s="46" t="s">
        <v>32</v>
      </c>
      <c r="C1078" s="46" t="s">
        <v>32</v>
      </c>
      <c r="D1078" s="46" t="s">
        <v>32</v>
      </c>
      <c r="E1078" s="46" t="s">
        <v>32</v>
      </c>
      <c r="F1078" s="47">
        <f>[1]!BexGetData("DP_2","DL719O2RYNC0Y217V0FVT1R77","17","E","18032121E206","2067336011")</f>
        <v>225359.89</v>
      </c>
      <c r="G1078" s="48">
        <f>[1]!BexGetData("DP_2","DL719O2RYNEBZX0HTMQQ0BY0J","17","E","18032121E206","2067336011")</f>
        <v>225359.89</v>
      </c>
      <c r="H1078" s="48">
        <f>[1]!BexGetData("DP_2","DL719O2RYNGN1RZRS91K7M4TV","17","E","18032121E206","2067336011")</f>
        <v>221299.89</v>
      </c>
      <c r="I1078" s="48">
        <f>[1]!BexGetData("DP_2","DL719O2RYNIY3MZ1QVCEEWBN7","17","E","18032121E206","2067336011")</f>
        <v>0</v>
      </c>
    </row>
    <row r="1079" spans="1:9" x14ac:dyDescent="0.2">
      <c r="A1079" s="46" t="s">
        <v>32</v>
      </c>
      <c r="B1079" s="46" t="s">
        <v>32</v>
      </c>
      <c r="C1079" s="46" t="s">
        <v>32</v>
      </c>
      <c r="D1079" s="46" t="s">
        <v>32</v>
      </c>
      <c r="E1079" s="46" t="s">
        <v>32</v>
      </c>
      <c r="F1079" s="47">
        <f>[1]!BexGetData("DP_2","DL719O2RYNC0Y217V0FVT1R77","17","E","18032121E206","2067339011")</f>
        <v>180380</v>
      </c>
      <c r="G1079" s="48">
        <f>[1]!BexGetData("DP_2","DL719O2RYNEBZX0HTMQQ0BY0J","17","E","18032121E206","2067339011")</f>
        <v>180380</v>
      </c>
      <c r="H1079" s="48">
        <f>[1]!BexGetData("DP_2","DL719O2RYNGN1RZRS91K7M4TV","17","E","18032121E206","2067339011")</f>
        <v>180380</v>
      </c>
      <c r="I1079" s="48">
        <f>[1]!BexGetData("DP_2","DL719O2RYNIY3MZ1QVCEEWBN7","17","E","18032121E206","2067339011")</f>
        <v>0</v>
      </c>
    </row>
    <row r="1080" spans="1:9" x14ac:dyDescent="0.2">
      <c r="A1080" s="46" t="s">
        <v>32</v>
      </c>
      <c r="B1080" s="46" t="s">
        <v>32</v>
      </c>
      <c r="C1080" s="46" t="s">
        <v>32</v>
      </c>
      <c r="D1080" s="46" t="s">
        <v>32</v>
      </c>
      <c r="E1080" s="46" t="s">
        <v>32</v>
      </c>
      <c r="F1080" s="47">
        <f>[1]!BexGetData("DP_2","DL719O2RYNC0Y217V0FVT1R77","17","E","18032121E206","2067347011")</f>
        <v>2030</v>
      </c>
      <c r="G1080" s="48">
        <f>[1]!BexGetData("DP_2","DL719O2RYNEBZX0HTMQQ0BY0J","17","E","18032121E206","2067347011")</f>
        <v>2030</v>
      </c>
      <c r="H1080" s="48">
        <f>[1]!BexGetData("DP_2","DL719O2RYNGN1RZRS91K7M4TV","17","E","18032121E206","2067347011")</f>
        <v>2030</v>
      </c>
      <c r="I1080" s="48">
        <f>[1]!BexGetData("DP_2","DL719O2RYNIY3MZ1QVCEEWBN7","17","E","18032121E206","2067347011")</f>
        <v>0</v>
      </c>
    </row>
    <row r="1081" spans="1:9" x14ac:dyDescent="0.2">
      <c r="A1081" s="46" t="s">
        <v>32</v>
      </c>
      <c r="B1081" s="46" t="s">
        <v>32</v>
      </c>
      <c r="C1081" s="46" t="s">
        <v>32</v>
      </c>
      <c r="D1081" s="46" t="s">
        <v>32</v>
      </c>
      <c r="E1081" s="46" t="s">
        <v>32</v>
      </c>
      <c r="F1081" s="47">
        <f>[1]!BexGetData("DP_2","DL719O2RYNC0Y217V0FVT1R77","17","E","18032121E206","2067361011")</f>
        <v>24480330.559999999</v>
      </c>
      <c r="G1081" s="48">
        <f>[1]!BexGetData("DP_2","DL719O2RYNEBZX0HTMQQ0BY0J","17","E","18032121E206","2067361011")</f>
        <v>24480330.559999999</v>
      </c>
      <c r="H1081" s="48">
        <f>[1]!BexGetData("DP_2","DL719O2RYNGN1RZRS91K7M4TV","17","E","18032121E206","2067361011")</f>
        <v>22271703.300000001</v>
      </c>
      <c r="I1081" s="48">
        <f>[1]!BexGetData("DP_2","DL719O2RYNIY3MZ1QVCEEWBN7","17","E","18032121E206","2067361011")</f>
        <v>-4.0000000000000002E-9</v>
      </c>
    </row>
    <row r="1082" spans="1:9" x14ac:dyDescent="0.2">
      <c r="A1082" s="46" t="s">
        <v>32</v>
      </c>
      <c r="B1082" s="46" t="s">
        <v>32</v>
      </c>
      <c r="C1082" s="46" t="s">
        <v>32</v>
      </c>
      <c r="D1082" s="46" t="s">
        <v>32</v>
      </c>
      <c r="E1082" s="46" t="s">
        <v>32</v>
      </c>
      <c r="F1082" s="47">
        <f>[1]!BexGetData("DP_2","DL719O2RYNC0Y217V0FVT1R77","17","E","18032121E206","2067369011")</f>
        <v>114132.04</v>
      </c>
      <c r="G1082" s="48">
        <f>[1]!BexGetData("DP_2","DL719O2RYNEBZX0HTMQQ0BY0J","17","E","18032121E206","2067369011")</f>
        <v>114132.04</v>
      </c>
      <c r="H1082" s="48">
        <f>[1]!BexGetData("DP_2","DL719O2RYNGN1RZRS91K7M4TV","17","E","18032121E206","2067369011")</f>
        <v>99586.58</v>
      </c>
      <c r="I1082" s="48">
        <f>[1]!BexGetData("DP_2","DL719O2RYNIY3MZ1QVCEEWBN7","17","E","18032121E206","2067369011")</f>
        <v>0</v>
      </c>
    </row>
    <row r="1083" spans="1:9" x14ac:dyDescent="0.2">
      <c r="A1083" s="46" t="s">
        <v>32</v>
      </c>
      <c r="B1083" s="46" t="s">
        <v>32</v>
      </c>
      <c r="C1083" s="46" t="s">
        <v>32</v>
      </c>
      <c r="D1083" s="46" t="s">
        <v>32</v>
      </c>
      <c r="E1083" s="46" t="s">
        <v>32</v>
      </c>
      <c r="F1083" s="47">
        <f>[1]!BexGetData("DP_2","DL719O2RYNC0Y217V0FVT1R77","17","E","18032121E206","2067371011")</f>
        <v>32755.95</v>
      </c>
      <c r="G1083" s="48">
        <f>[1]!BexGetData("DP_2","DL719O2RYNEBZX0HTMQQ0BY0J","17","E","18032121E206","2067371011")</f>
        <v>32755.95</v>
      </c>
      <c r="H1083" s="48">
        <f>[1]!BexGetData("DP_2","DL719O2RYNGN1RZRS91K7M4TV","17","E","18032121E206","2067371011")</f>
        <v>14992.38</v>
      </c>
      <c r="I1083" s="48">
        <f>[1]!BexGetData("DP_2","DL719O2RYNIY3MZ1QVCEEWBN7","17","E","18032121E206","2067371011")</f>
        <v>0</v>
      </c>
    </row>
    <row r="1084" spans="1:9" x14ac:dyDescent="0.2">
      <c r="A1084" s="46" t="s">
        <v>32</v>
      </c>
      <c r="B1084" s="46" t="s">
        <v>32</v>
      </c>
      <c r="C1084" s="46" t="s">
        <v>32</v>
      </c>
      <c r="D1084" s="46" t="s">
        <v>32</v>
      </c>
      <c r="E1084" s="46" t="s">
        <v>32</v>
      </c>
      <c r="F1084" s="47">
        <f>[1]!BexGetData("DP_2","DL719O2RYNC0Y217V0FVT1R77","17","E","18032121E206","2067375011")</f>
        <v>14900</v>
      </c>
      <c r="G1084" s="48">
        <f>[1]!BexGetData("DP_2","DL719O2RYNEBZX0HTMQQ0BY0J","17","E","18032121E206","2067375011")</f>
        <v>14900</v>
      </c>
      <c r="H1084" s="48">
        <f>[1]!BexGetData("DP_2","DL719O2RYNGN1RZRS91K7M4TV","17","E","18032121E206","2067375011")</f>
        <v>13400</v>
      </c>
      <c r="I1084" s="48">
        <f>[1]!BexGetData("DP_2","DL719O2RYNIY3MZ1QVCEEWBN7","17","E","18032121E206","2067375011")</f>
        <v>0</v>
      </c>
    </row>
    <row r="1085" spans="1:9" x14ac:dyDescent="0.2">
      <c r="A1085" s="46" t="s">
        <v>32</v>
      </c>
      <c r="B1085" s="46" t="s">
        <v>32</v>
      </c>
      <c r="C1085" s="46" t="s">
        <v>32</v>
      </c>
      <c r="D1085" s="46" t="s">
        <v>32</v>
      </c>
      <c r="E1085" s="46" t="s">
        <v>32</v>
      </c>
      <c r="F1085" s="47">
        <f>[1]!BexGetData("DP_2","DL719O2RYNC0Y217V0FVT1R77","17","E","18032121E206","2067382021")</f>
        <v>47371.98</v>
      </c>
      <c r="G1085" s="48">
        <f>[1]!BexGetData("DP_2","DL719O2RYNEBZX0HTMQQ0BY0J","17","E","18032121E206","2067382021")</f>
        <v>47371.98</v>
      </c>
      <c r="H1085" s="48">
        <f>[1]!BexGetData("DP_2","DL719O2RYNGN1RZRS91K7M4TV","17","E","18032121E206","2067382021")</f>
        <v>5944.99</v>
      </c>
      <c r="I1085" s="48">
        <f>[1]!BexGetData("DP_2","DL719O2RYNIY3MZ1QVCEEWBN7","17","E","18032121E206","2067382021")</f>
        <v>0</v>
      </c>
    </row>
    <row r="1086" spans="1:9" x14ac:dyDescent="0.2">
      <c r="A1086" s="46" t="s">
        <v>32</v>
      </c>
      <c r="B1086" s="46" t="s">
        <v>32</v>
      </c>
      <c r="C1086" s="46" t="s">
        <v>32</v>
      </c>
      <c r="D1086" s="46" t="s">
        <v>32</v>
      </c>
      <c r="E1086" s="46" t="s">
        <v>32</v>
      </c>
      <c r="F1086" s="47">
        <f>[1]!BexGetData("DP_2","DL719O2RYNC0Y217V0FVT1R77","17","E","18032121E206","2067392011")</f>
        <v>1518</v>
      </c>
      <c r="G1086" s="48">
        <f>[1]!BexGetData("DP_2","DL719O2RYNEBZX0HTMQQ0BY0J","17","E","18032121E206","2067392011")</f>
        <v>1518</v>
      </c>
      <c r="H1086" s="48">
        <f>[1]!BexGetData("DP_2","DL719O2RYNGN1RZRS91K7M4TV","17","E","18032121E206","2067392011")</f>
        <v>1518</v>
      </c>
      <c r="I1086" s="48">
        <f>[1]!BexGetData("DP_2","DL719O2RYNIY3MZ1QVCEEWBN7","17","E","18032121E206","2067392011")</f>
        <v>0</v>
      </c>
    </row>
    <row r="1087" spans="1:9" x14ac:dyDescent="0.2">
      <c r="A1087" s="46" t="s">
        <v>32</v>
      </c>
      <c r="B1087" s="46" t="s">
        <v>32</v>
      </c>
      <c r="C1087" s="46" t="s">
        <v>105</v>
      </c>
      <c r="D1087" s="46" t="s">
        <v>105</v>
      </c>
      <c r="E1087" s="46" t="s">
        <v>32</v>
      </c>
      <c r="F1087" s="47">
        <f>[1]!BexGetData("DP_2","DL719O2RYNC0Y217V0FVT1R77","17","E","21063051E207","2067113011")</f>
        <v>477012.41</v>
      </c>
      <c r="G1087" s="48">
        <f>[1]!BexGetData("DP_2","DL719O2RYNEBZX0HTMQQ0BY0J","17","E","21063051E207","2067113011")</f>
        <v>477012.41</v>
      </c>
      <c r="H1087" s="48">
        <f>[1]!BexGetData("DP_2","DL719O2RYNGN1RZRS91K7M4TV","17","E","21063051E207","2067113011")</f>
        <v>477012.41</v>
      </c>
      <c r="I1087" s="48">
        <f>[1]!BexGetData("DP_2","DL719O2RYNIY3MZ1QVCEEWBN7","17","E","21063051E207","2067113011")</f>
        <v>0</v>
      </c>
    </row>
    <row r="1088" spans="1:9" x14ac:dyDescent="0.2">
      <c r="A1088" s="46" t="s">
        <v>32</v>
      </c>
      <c r="B1088" s="46" t="s">
        <v>32</v>
      </c>
      <c r="C1088" s="46" t="s">
        <v>32</v>
      </c>
      <c r="D1088" s="46" t="s">
        <v>32</v>
      </c>
      <c r="E1088" s="46" t="s">
        <v>32</v>
      </c>
      <c r="F1088" s="47">
        <f>[1]!BexGetData("DP_2","DL719O2RYNC0Y217V0FVT1R77","17","E","21063051E207","2067113021")</f>
        <v>918063.61</v>
      </c>
      <c r="G1088" s="48">
        <f>[1]!BexGetData("DP_2","DL719O2RYNEBZX0HTMQQ0BY0J","17","E","21063051E207","2067113021")</f>
        <v>918063.61</v>
      </c>
      <c r="H1088" s="48">
        <f>[1]!BexGetData("DP_2","DL719O2RYNGN1RZRS91K7M4TV","17","E","21063051E207","2067113021")</f>
        <v>918063.61</v>
      </c>
      <c r="I1088" s="48">
        <f>[1]!BexGetData("DP_2","DL719O2RYNIY3MZ1QVCEEWBN7","17","E","21063051E207","2067113021")</f>
        <v>0</v>
      </c>
    </row>
    <row r="1089" spans="1:9" x14ac:dyDescent="0.2">
      <c r="A1089" s="46" t="s">
        <v>32</v>
      </c>
      <c r="B1089" s="46" t="s">
        <v>32</v>
      </c>
      <c r="C1089" s="46" t="s">
        <v>32</v>
      </c>
      <c r="D1089" s="46" t="s">
        <v>32</v>
      </c>
      <c r="E1089" s="46" t="s">
        <v>32</v>
      </c>
      <c r="F1089" s="47">
        <f>[1]!BexGetData("DP_2","DL719O2RYNC0Y217V0FVT1R77","17","E","21063051E207","2067122011")</f>
        <v>114862.95</v>
      </c>
      <c r="G1089" s="48">
        <f>[1]!BexGetData("DP_2","DL719O2RYNEBZX0HTMQQ0BY0J","17","E","21063051E207","2067122011")</f>
        <v>114862.95</v>
      </c>
      <c r="H1089" s="48">
        <f>[1]!BexGetData("DP_2","DL719O2RYNGN1RZRS91K7M4TV","17","E","21063051E207","2067122011")</f>
        <v>114862.95</v>
      </c>
      <c r="I1089" s="48">
        <f>[1]!BexGetData("DP_2","DL719O2RYNIY3MZ1QVCEEWBN7","17","E","21063051E207","2067122011")</f>
        <v>0</v>
      </c>
    </row>
    <row r="1090" spans="1:9" x14ac:dyDescent="0.2">
      <c r="A1090" s="46" t="s">
        <v>32</v>
      </c>
      <c r="B1090" s="46" t="s">
        <v>32</v>
      </c>
      <c r="C1090" s="46" t="s">
        <v>32</v>
      </c>
      <c r="D1090" s="46" t="s">
        <v>32</v>
      </c>
      <c r="E1090" s="46" t="s">
        <v>32</v>
      </c>
      <c r="F1090" s="47">
        <f>[1]!BexGetData("DP_2","DL719O2RYNC0Y217V0FVT1R77","17","E","21063051E207","2067131011")</f>
        <v>51475.93</v>
      </c>
      <c r="G1090" s="48">
        <f>[1]!BexGetData("DP_2","DL719O2RYNEBZX0HTMQQ0BY0J","17","E","21063051E207","2067131011")</f>
        <v>51475.93</v>
      </c>
      <c r="H1090" s="48">
        <f>[1]!BexGetData("DP_2","DL719O2RYNGN1RZRS91K7M4TV","17","E","21063051E207","2067131011")</f>
        <v>51475.93</v>
      </c>
      <c r="I1090" s="48">
        <f>[1]!BexGetData("DP_2","DL719O2RYNIY3MZ1QVCEEWBN7","17","E","21063051E207","2067131011")</f>
        <v>0</v>
      </c>
    </row>
    <row r="1091" spans="1:9" x14ac:dyDescent="0.2">
      <c r="A1091" s="46" t="s">
        <v>32</v>
      </c>
      <c r="B1091" s="46" t="s">
        <v>32</v>
      </c>
      <c r="C1091" s="46" t="s">
        <v>32</v>
      </c>
      <c r="D1091" s="46" t="s">
        <v>32</v>
      </c>
      <c r="E1091" s="46" t="s">
        <v>32</v>
      </c>
      <c r="F1091" s="47">
        <f>[1]!BexGetData("DP_2","DL719O2RYNC0Y217V0FVT1R77","17","E","21063051E207","2067131021")</f>
        <v>4143.75</v>
      </c>
      <c r="G1091" s="48">
        <f>[1]!BexGetData("DP_2","DL719O2RYNEBZX0HTMQQ0BY0J","17","E","21063051E207","2067131021")</f>
        <v>4143.75</v>
      </c>
      <c r="H1091" s="48">
        <f>[1]!BexGetData("DP_2","DL719O2RYNGN1RZRS91K7M4TV","17","E","21063051E207","2067131021")</f>
        <v>4143.75</v>
      </c>
      <c r="I1091" s="48">
        <f>[1]!BexGetData("DP_2","DL719O2RYNIY3MZ1QVCEEWBN7","17","E","21063051E207","2067131021")</f>
        <v>0</v>
      </c>
    </row>
    <row r="1092" spans="1:9" x14ac:dyDescent="0.2">
      <c r="A1092" s="46" t="s">
        <v>32</v>
      </c>
      <c r="B1092" s="46" t="s">
        <v>32</v>
      </c>
      <c r="C1092" s="46" t="s">
        <v>32</v>
      </c>
      <c r="D1092" s="46" t="s">
        <v>32</v>
      </c>
      <c r="E1092" s="46" t="s">
        <v>32</v>
      </c>
      <c r="F1092" s="47">
        <f>[1]!BexGetData("DP_2","DL719O2RYNC0Y217V0FVT1R77","17","E","21063051E207","2067132011")</f>
        <v>44791.79</v>
      </c>
      <c r="G1092" s="48">
        <f>[1]!BexGetData("DP_2","DL719O2RYNEBZX0HTMQQ0BY0J","17","E","21063051E207","2067132011")</f>
        <v>44791.79</v>
      </c>
      <c r="H1092" s="48">
        <f>[1]!BexGetData("DP_2","DL719O2RYNGN1RZRS91K7M4TV","17","E","21063051E207","2067132011")</f>
        <v>44791.79</v>
      </c>
      <c r="I1092" s="48">
        <f>[1]!BexGetData("DP_2","DL719O2RYNIY3MZ1QVCEEWBN7","17","E","21063051E207","2067132011")</f>
        <v>0</v>
      </c>
    </row>
    <row r="1093" spans="1:9" x14ac:dyDescent="0.2">
      <c r="A1093" s="46" t="s">
        <v>32</v>
      </c>
      <c r="B1093" s="46" t="s">
        <v>32</v>
      </c>
      <c r="C1093" s="46" t="s">
        <v>32</v>
      </c>
      <c r="D1093" s="46" t="s">
        <v>32</v>
      </c>
      <c r="E1093" s="46" t="s">
        <v>32</v>
      </c>
      <c r="F1093" s="47">
        <f>[1]!BexGetData("DP_2","DL719O2RYNC0Y217V0FVT1R77","17","E","21063051E207","2067132021")</f>
        <v>282139.2</v>
      </c>
      <c r="G1093" s="48">
        <f>[1]!BexGetData("DP_2","DL719O2RYNEBZX0HTMQQ0BY0J","17","E","21063051E207","2067132021")</f>
        <v>282139.2</v>
      </c>
      <c r="H1093" s="48">
        <f>[1]!BexGetData("DP_2","DL719O2RYNGN1RZRS91K7M4TV","17","E","21063051E207","2067132021")</f>
        <v>282139.2</v>
      </c>
      <c r="I1093" s="48">
        <f>[1]!BexGetData("DP_2","DL719O2RYNIY3MZ1QVCEEWBN7","17","E","21063051E207","2067132021")</f>
        <v>0</v>
      </c>
    </row>
    <row r="1094" spans="1:9" x14ac:dyDescent="0.2">
      <c r="A1094" s="46" t="s">
        <v>32</v>
      </c>
      <c r="B1094" s="46" t="s">
        <v>32</v>
      </c>
      <c r="C1094" s="46" t="s">
        <v>32</v>
      </c>
      <c r="D1094" s="46" t="s">
        <v>32</v>
      </c>
      <c r="E1094" s="46" t="s">
        <v>32</v>
      </c>
      <c r="F1094" s="47">
        <f>[1]!BexGetData("DP_2","DL719O2RYNC0Y217V0FVT1R77","17","E","21063051E207","2067134011")</f>
        <v>704565.2</v>
      </c>
      <c r="G1094" s="48">
        <f>[1]!BexGetData("DP_2","DL719O2RYNEBZX0HTMQQ0BY0J","17","E","21063051E207","2067134011")</f>
        <v>704565.2</v>
      </c>
      <c r="H1094" s="48">
        <f>[1]!BexGetData("DP_2","DL719O2RYNGN1RZRS91K7M4TV","17","E","21063051E207","2067134011")</f>
        <v>716239.8</v>
      </c>
      <c r="I1094" s="48">
        <f>[1]!BexGetData("DP_2","DL719O2RYNIY3MZ1QVCEEWBN7","17","E","21063051E207","2067134011")</f>
        <v>0</v>
      </c>
    </row>
    <row r="1095" spans="1:9" x14ac:dyDescent="0.2">
      <c r="A1095" s="46" t="s">
        <v>32</v>
      </c>
      <c r="B1095" s="46" t="s">
        <v>32</v>
      </c>
      <c r="C1095" s="46" t="s">
        <v>32</v>
      </c>
      <c r="D1095" s="46" t="s">
        <v>32</v>
      </c>
      <c r="E1095" s="46" t="s">
        <v>32</v>
      </c>
      <c r="F1095" s="47">
        <f>[1]!BexGetData("DP_2","DL719O2RYNC0Y217V0FVT1R77","17","E","21063051E207","2067134021")</f>
        <v>520717.72</v>
      </c>
      <c r="G1095" s="48">
        <f>[1]!BexGetData("DP_2","DL719O2RYNEBZX0HTMQQ0BY0J","17","E","21063051E207","2067134021")</f>
        <v>520717.72</v>
      </c>
      <c r="H1095" s="48">
        <f>[1]!BexGetData("DP_2","DL719O2RYNGN1RZRS91K7M4TV","17","E","21063051E207","2067134021")</f>
        <v>520717.72</v>
      </c>
      <c r="I1095" s="48">
        <f>[1]!BexGetData("DP_2","DL719O2RYNIY3MZ1QVCEEWBN7","17","E","21063051E207","2067134021")</f>
        <v>0</v>
      </c>
    </row>
    <row r="1096" spans="1:9" x14ac:dyDescent="0.2">
      <c r="A1096" s="46" t="s">
        <v>32</v>
      </c>
      <c r="B1096" s="46" t="s">
        <v>32</v>
      </c>
      <c r="C1096" s="46" t="s">
        <v>32</v>
      </c>
      <c r="D1096" s="46" t="s">
        <v>32</v>
      </c>
      <c r="E1096" s="46" t="s">
        <v>32</v>
      </c>
      <c r="F1096" s="47">
        <f>[1]!BexGetData("DP_2","DL719O2RYNC0Y217V0FVT1R77","17","E","21063051E207","2067141011")</f>
        <v>280509.34000000003</v>
      </c>
      <c r="G1096" s="48">
        <f>[1]!BexGetData("DP_2","DL719O2RYNEBZX0HTMQQ0BY0J","17","E","21063051E207","2067141011")</f>
        <v>280509.34000000003</v>
      </c>
      <c r="H1096" s="48">
        <f>[1]!BexGetData("DP_2","DL719O2RYNGN1RZRS91K7M4TV","17","E","21063051E207","2067141011")</f>
        <v>280509.34000000003</v>
      </c>
      <c r="I1096" s="48">
        <f>[1]!BexGetData("DP_2","DL719O2RYNIY3MZ1QVCEEWBN7","17","E","21063051E207","2067141011")</f>
        <v>0</v>
      </c>
    </row>
    <row r="1097" spans="1:9" x14ac:dyDescent="0.2">
      <c r="A1097" s="46" t="s">
        <v>32</v>
      </c>
      <c r="B1097" s="46" t="s">
        <v>32</v>
      </c>
      <c r="C1097" s="46" t="s">
        <v>32</v>
      </c>
      <c r="D1097" s="46" t="s">
        <v>32</v>
      </c>
      <c r="E1097" s="46" t="s">
        <v>32</v>
      </c>
      <c r="F1097" s="47">
        <f>[1]!BexGetData("DP_2","DL719O2RYNC0Y217V0FVT1R77","17","E","21063051E207","2067141021")</f>
        <v>89420.24</v>
      </c>
      <c r="G1097" s="48">
        <f>[1]!BexGetData("DP_2","DL719O2RYNEBZX0HTMQQ0BY0J","17","E","21063051E207","2067141021")</f>
        <v>89420.24</v>
      </c>
      <c r="H1097" s="48">
        <f>[1]!BexGetData("DP_2","DL719O2RYNGN1RZRS91K7M4TV","17","E","21063051E207","2067141021")</f>
        <v>89420.24</v>
      </c>
      <c r="I1097" s="48">
        <f>[1]!BexGetData("DP_2","DL719O2RYNIY3MZ1QVCEEWBN7","17","E","21063051E207","2067141021")</f>
        <v>0</v>
      </c>
    </row>
    <row r="1098" spans="1:9" x14ac:dyDescent="0.2">
      <c r="A1098" s="46" t="s">
        <v>32</v>
      </c>
      <c r="B1098" s="46" t="s">
        <v>32</v>
      </c>
      <c r="C1098" s="46" t="s">
        <v>32</v>
      </c>
      <c r="D1098" s="46" t="s">
        <v>32</v>
      </c>
      <c r="E1098" s="46" t="s">
        <v>32</v>
      </c>
      <c r="F1098" s="47">
        <f>[1]!BexGetData("DP_2","DL719O2RYNC0Y217V0FVT1R77","17","E","21063051E207","2067143011")</f>
        <v>42432.62</v>
      </c>
      <c r="G1098" s="48">
        <f>[1]!BexGetData("DP_2","DL719O2RYNEBZX0HTMQQ0BY0J","17","E","21063051E207","2067143011")</f>
        <v>42432.62</v>
      </c>
      <c r="H1098" s="48">
        <f>[1]!BexGetData("DP_2","DL719O2RYNGN1RZRS91K7M4TV","17","E","21063051E207","2067143011")</f>
        <v>42432.62</v>
      </c>
      <c r="I1098" s="48">
        <f>[1]!BexGetData("DP_2","DL719O2RYNIY3MZ1QVCEEWBN7","17","E","21063051E207","2067143011")</f>
        <v>0</v>
      </c>
    </row>
    <row r="1099" spans="1:9" x14ac:dyDescent="0.2">
      <c r="A1099" s="46" t="s">
        <v>32</v>
      </c>
      <c r="B1099" s="46" t="s">
        <v>32</v>
      </c>
      <c r="C1099" s="46" t="s">
        <v>32</v>
      </c>
      <c r="D1099" s="46" t="s">
        <v>32</v>
      </c>
      <c r="E1099" s="46" t="s">
        <v>32</v>
      </c>
      <c r="F1099" s="47">
        <f>[1]!BexGetData("DP_2","DL719O2RYNC0Y217V0FVT1R77","17","E","21063051E207","2067151011")</f>
        <v>167479.56</v>
      </c>
      <c r="G1099" s="48">
        <f>[1]!BexGetData("DP_2","DL719O2RYNEBZX0HTMQQ0BY0J","17","E","21063051E207","2067151011")</f>
        <v>167479.56</v>
      </c>
      <c r="H1099" s="48">
        <f>[1]!BexGetData("DP_2","DL719O2RYNGN1RZRS91K7M4TV","17","E","21063051E207","2067151011")</f>
        <v>167479.56</v>
      </c>
      <c r="I1099" s="48">
        <f>[1]!BexGetData("DP_2","DL719O2RYNIY3MZ1QVCEEWBN7","17","E","21063051E207","2067151011")</f>
        <v>0</v>
      </c>
    </row>
    <row r="1100" spans="1:9" x14ac:dyDescent="0.2">
      <c r="A1100" s="46" t="s">
        <v>32</v>
      </c>
      <c r="B1100" s="46" t="s">
        <v>32</v>
      </c>
      <c r="C1100" s="46" t="s">
        <v>32</v>
      </c>
      <c r="D1100" s="46" t="s">
        <v>32</v>
      </c>
      <c r="E1100" s="46" t="s">
        <v>32</v>
      </c>
      <c r="F1100" s="47">
        <f>[1]!BexGetData("DP_2","DL719O2RYNC0Y217V0FVT1R77","17","E","21063051E207","2067154011")</f>
        <v>620782.82999999996</v>
      </c>
      <c r="G1100" s="48">
        <f>[1]!BexGetData("DP_2","DL719O2RYNEBZX0HTMQQ0BY0J","17","E","21063051E207","2067154011")</f>
        <v>620782.82999999996</v>
      </c>
      <c r="H1100" s="48">
        <f>[1]!BexGetData("DP_2","DL719O2RYNGN1RZRS91K7M4TV","17","E","21063051E207","2067154011")</f>
        <v>618832.82999999996</v>
      </c>
      <c r="I1100" s="48">
        <f>[1]!BexGetData("DP_2","DL719O2RYNIY3MZ1QVCEEWBN7","17","E","21063051E207","2067154011")</f>
        <v>0</v>
      </c>
    </row>
    <row r="1101" spans="1:9" x14ac:dyDescent="0.2">
      <c r="A1101" s="46" t="s">
        <v>32</v>
      </c>
      <c r="B1101" s="46" t="s">
        <v>32</v>
      </c>
      <c r="C1101" s="46" t="s">
        <v>32</v>
      </c>
      <c r="D1101" s="46" t="s">
        <v>32</v>
      </c>
      <c r="E1101" s="46" t="s">
        <v>32</v>
      </c>
      <c r="F1101" s="47">
        <f>[1]!BexGetData("DP_2","DL719O2RYNC0Y217V0FVT1R77","17","E","21063051E207","2067211011")</f>
        <v>3061.78</v>
      </c>
      <c r="G1101" s="48">
        <f>[1]!BexGetData("DP_2","DL719O2RYNEBZX0HTMQQ0BY0J","17","E","21063051E207","2067211011")</f>
        <v>3061.78</v>
      </c>
      <c r="H1101" s="48">
        <f>[1]!BexGetData("DP_2","DL719O2RYNGN1RZRS91K7M4TV","17","E","21063051E207","2067211011")</f>
        <v>3061.78</v>
      </c>
      <c r="I1101" s="48">
        <f>[1]!BexGetData("DP_2","DL719O2RYNIY3MZ1QVCEEWBN7","17","E","21063051E207","2067211011")</f>
        <v>0</v>
      </c>
    </row>
    <row r="1102" spans="1:9" x14ac:dyDescent="0.2">
      <c r="A1102" s="46" t="s">
        <v>32</v>
      </c>
      <c r="B1102" s="46" t="s">
        <v>32</v>
      </c>
      <c r="C1102" s="46" t="s">
        <v>32</v>
      </c>
      <c r="D1102" s="46" t="s">
        <v>32</v>
      </c>
      <c r="E1102" s="46" t="s">
        <v>32</v>
      </c>
      <c r="F1102" s="47">
        <f>[1]!BexGetData("DP_2","DL719O2RYNC0Y217V0FVT1R77","17","E","21063051E207","2067211031")</f>
        <v>974.25</v>
      </c>
      <c r="G1102" s="48">
        <f>[1]!BexGetData("DP_2","DL719O2RYNEBZX0HTMQQ0BY0J","17","E","21063051E207","2067211031")</f>
        <v>974.25</v>
      </c>
      <c r="H1102" s="48">
        <f>[1]!BexGetData("DP_2","DL719O2RYNGN1RZRS91K7M4TV","17","E","21063051E207","2067211031")</f>
        <v>974.25</v>
      </c>
      <c r="I1102" s="48">
        <f>[1]!BexGetData("DP_2","DL719O2RYNIY3MZ1QVCEEWBN7","17","E","21063051E207","2067211031")</f>
        <v>0</v>
      </c>
    </row>
    <row r="1103" spans="1:9" x14ac:dyDescent="0.2">
      <c r="A1103" s="46" t="s">
        <v>32</v>
      </c>
      <c r="B1103" s="46" t="s">
        <v>32</v>
      </c>
      <c r="C1103" s="46" t="s">
        <v>32</v>
      </c>
      <c r="D1103" s="46" t="s">
        <v>32</v>
      </c>
      <c r="E1103" s="46" t="s">
        <v>32</v>
      </c>
      <c r="F1103" s="47">
        <f>[1]!BexGetData("DP_2","DL719O2RYNC0Y217V0FVT1R77","17","E","21063051E207","2067214011")</f>
        <v>0</v>
      </c>
      <c r="G1103" s="48">
        <f>[1]!BexGetData("DP_2","DL719O2RYNEBZX0HTMQQ0BY0J","17","E","21063051E207","2067214011")</f>
        <v>0</v>
      </c>
      <c r="H1103" s="48">
        <f>[1]!BexGetData("DP_2","DL719O2RYNGN1RZRS91K7M4TV","17","E","21063051E207","2067214011")</f>
        <v>0</v>
      </c>
      <c r="I1103" s="48">
        <f>[1]!BexGetData("DP_2","DL719O2RYNIY3MZ1QVCEEWBN7","17","E","21063051E207","2067214011")</f>
        <v>0</v>
      </c>
    </row>
    <row r="1104" spans="1:9" x14ac:dyDescent="0.2">
      <c r="A1104" s="46" t="s">
        <v>32</v>
      </c>
      <c r="B1104" s="46" t="s">
        <v>32</v>
      </c>
      <c r="C1104" s="46" t="s">
        <v>32</v>
      </c>
      <c r="D1104" s="46" t="s">
        <v>32</v>
      </c>
      <c r="E1104" s="46" t="s">
        <v>32</v>
      </c>
      <c r="F1104" s="47">
        <f>[1]!BexGetData("DP_2","DL719O2RYNC0Y217V0FVT1R77","17","E","21063051E207","2067215021")</f>
        <v>0</v>
      </c>
      <c r="G1104" s="48">
        <f>[1]!BexGetData("DP_2","DL719O2RYNEBZX0HTMQQ0BY0J","17","E","21063051E207","2067215021")</f>
        <v>0</v>
      </c>
      <c r="H1104" s="48">
        <f>[1]!BexGetData("DP_2","DL719O2RYNGN1RZRS91K7M4TV","17","E","21063051E207","2067215021")</f>
        <v>0</v>
      </c>
      <c r="I1104" s="48">
        <f>[1]!BexGetData("DP_2","DL719O2RYNIY3MZ1QVCEEWBN7","17","E","21063051E207","2067215021")</f>
        <v>0</v>
      </c>
    </row>
    <row r="1105" spans="1:9" x14ac:dyDescent="0.2">
      <c r="A1105" s="46" t="s">
        <v>32</v>
      </c>
      <c r="B1105" s="46" t="s">
        <v>32</v>
      </c>
      <c r="C1105" s="46" t="s">
        <v>32</v>
      </c>
      <c r="D1105" s="46" t="s">
        <v>32</v>
      </c>
      <c r="E1105" s="46" t="s">
        <v>32</v>
      </c>
      <c r="F1105" s="47">
        <f>[1]!BexGetData("DP_2","DL719O2RYNC0Y217V0FVT1R77","17","E","21063051E207","2067249011")</f>
        <v>0</v>
      </c>
      <c r="G1105" s="48">
        <f>[1]!BexGetData("DP_2","DL719O2RYNEBZX0HTMQQ0BY0J","17","E","21063051E207","2067249011")</f>
        <v>0</v>
      </c>
      <c r="H1105" s="48">
        <f>[1]!BexGetData("DP_2","DL719O2RYNGN1RZRS91K7M4TV","17","E","21063051E207","2067249011")</f>
        <v>0</v>
      </c>
      <c r="I1105" s="48">
        <f>[1]!BexGetData("DP_2","DL719O2RYNIY3MZ1QVCEEWBN7","17","E","21063051E207","2067249011")</f>
        <v>0</v>
      </c>
    </row>
    <row r="1106" spans="1:9" x14ac:dyDescent="0.2">
      <c r="A1106" s="46" t="s">
        <v>32</v>
      </c>
      <c r="B1106" s="46" t="s">
        <v>32</v>
      </c>
      <c r="C1106" s="46" t="s">
        <v>32</v>
      </c>
      <c r="D1106" s="46" t="s">
        <v>32</v>
      </c>
      <c r="E1106" s="46" t="s">
        <v>32</v>
      </c>
      <c r="F1106" s="47">
        <f>[1]!BexGetData("DP_2","DL719O2RYNC0Y217V0FVT1R77","17","E","21063051E207","2067291011")</f>
        <v>76</v>
      </c>
      <c r="G1106" s="48">
        <f>[1]!BexGetData("DP_2","DL719O2RYNEBZX0HTMQQ0BY0J","17","E","21063051E207","2067291011")</f>
        <v>76</v>
      </c>
      <c r="H1106" s="48">
        <f>[1]!BexGetData("DP_2","DL719O2RYNGN1RZRS91K7M4TV","17","E","21063051E207","2067291011")</f>
        <v>76</v>
      </c>
      <c r="I1106" s="48">
        <f>[1]!BexGetData("DP_2","DL719O2RYNIY3MZ1QVCEEWBN7","17","E","21063051E207","2067291011")</f>
        <v>0</v>
      </c>
    </row>
    <row r="1107" spans="1:9" x14ac:dyDescent="0.2">
      <c r="A1107" s="46" t="s">
        <v>32</v>
      </c>
      <c r="B1107" s="46" t="s">
        <v>32</v>
      </c>
      <c r="C1107" s="46" t="s">
        <v>32</v>
      </c>
      <c r="D1107" s="46" t="s">
        <v>32</v>
      </c>
      <c r="E1107" s="46" t="s">
        <v>32</v>
      </c>
      <c r="F1107" s="47">
        <f>[1]!BexGetData("DP_2","DL719O2RYNC0Y217V0FVT1R77","17","E","21063051E207","2067293041")</f>
        <v>150</v>
      </c>
      <c r="G1107" s="48">
        <f>[1]!BexGetData("DP_2","DL719O2RYNEBZX0HTMQQ0BY0J","17","E","21063051E207","2067293041")</f>
        <v>150</v>
      </c>
      <c r="H1107" s="48">
        <f>[1]!BexGetData("DP_2","DL719O2RYNGN1RZRS91K7M4TV","17","E","21063051E207","2067293041")</f>
        <v>150</v>
      </c>
      <c r="I1107" s="48">
        <f>[1]!BexGetData("DP_2","DL719O2RYNIY3MZ1QVCEEWBN7","17","E","21063051E207","2067293041")</f>
        <v>0</v>
      </c>
    </row>
    <row r="1108" spans="1:9" x14ac:dyDescent="0.2">
      <c r="A1108" s="46" t="s">
        <v>32</v>
      </c>
      <c r="B1108" s="46" t="s">
        <v>32</v>
      </c>
      <c r="C1108" s="46" t="s">
        <v>32</v>
      </c>
      <c r="D1108" s="46" t="s">
        <v>32</v>
      </c>
      <c r="E1108" s="46" t="s">
        <v>32</v>
      </c>
      <c r="F1108" s="47">
        <f>[1]!BexGetData("DP_2","DL719O2RYNC0Y217V0FVT1R77","17","E","21063051E207","2067311011")</f>
        <v>10957.19</v>
      </c>
      <c r="G1108" s="48">
        <f>[1]!BexGetData("DP_2","DL719O2RYNEBZX0HTMQQ0BY0J","17","E","21063051E207","2067311011")</f>
        <v>10957.19</v>
      </c>
      <c r="H1108" s="48">
        <f>[1]!BexGetData("DP_2","DL719O2RYNGN1RZRS91K7M4TV","17","E","21063051E207","2067311011")</f>
        <v>10332.19</v>
      </c>
      <c r="I1108" s="48">
        <f>[1]!BexGetData("DP_2","DL719O2RYNIY3MZ1QVCEEWBN7","17","E","21063051E207","2067311011")</f>
        <v>0</v>
      </c>
    </row>
    <row r="1109" spans="1:9" x14ac:dyDescent="0.2">
      <c r="A1109" s="46" t="s">
        <v>32</v>
      </c>
      <c r="B1109" s="46" t="s">
        <v>32</v>
      </c>
      <c r="C1109" s="46" t="s">
        <v>32</v>
      </c>
      <c r="D1109" s="46" t="s">
        <v>32</v>
      </c>
      <c r="E1109" s="46" t="s">
        <v>32</v>
      </c>
      <c r="F1109" s="47">
        <f>[1]!BexGetData("DP_2","DL719O2RYNC0Y217V0FVT1R77","17","E","21063051E207","2067313011")</f>
        <v>1684</v>
      </c>
      <c r="G1109" s="48">
        <f>[1]!BexGetData("DP_2","DL719O2RYNEBZX0HTMQQ0BY0J","17","E","21063051E207","2067313011")</f>
        <v>1684</v>
      </c>
      <c r="H1109" s="48">
        <f>[1]!BexGetData("DP_2","DL719O2RYNGN1RZRS91K7M4TV","17","E","21063051E207","2067313011")</f>
        <v>1684</v>
      </c>
      <c r="I1109" s="48">
        <f>[1]!BexGetData("DP_2","DL719O2RYNIY3MZ1QVCEEWBN7","17","E","21063051E207","2067313011")</f>
        <v>0</v>
      </c>
    </row>
    <row r="1110" spans="1:9" x14ac:dyDescent="0.2">
      <c r="A1110" s="46" t="s">
        <v>32</v>
      </c>
      <c r="B1110" s="46" t="s">
        <v>32</v>
      </c>
      <c r="C1110" s="46" t="s">
        <v>32</v>
      </c>
      <c r="D1110" s="46" t="s">
        <v>32</v>
      </c>
      <c r="E1110" s="46" t="s">
        <v>32</v>
      </c>
      <c r="F1110" s="47">
        <f>[1]!BexGetData("DP_2","DL719O2RYNC0Y217V0FVT1R77","17","E","21063051E207","2067314011")</f>
        <v>34944.99</v>
      </c>
      <c r="G1110" s="48">
        <f>[1]!BexGetData("DP_2","DL719O2RYNEBZX0HTMQQ0BY0J","17","E","21063051E207","2067314011")</f>
        <v>34944.99</v>
      </c>
      <c r="H1110" s="48">
        <f>[1]!BexGetData("DP_2","DL719O2RYNGN1RZRS91K7M4TV","17","E","21063051E207","2067314011")</f>
        <v>34944.99</v>
      </c>
      <c r="I1110" s="48">
        <f>[1]!BexGetData("DP_2","DL719O2RYNIY3MZ1QVCEEWBN7","17","E","21063051E207","2067314011")</f>
        <v>0</v>
      </c>
    </row>
    <row r="1111" spans="1:9" x14ac:dyDescent="0.2">
      <c r="A1111" s="46" t="s">
        <v>32</v>
      </c>
      <c r="B1111" s="46" t="s">
        <v>32</v>
      </c>
      <c r="C1111" s="46" t="s">
        <v>32</v>
      </c>
      <c r="D1111" s="46" t="s">
        <v>32</v>
      </c>
      <c r="E1111" s="46" t="s">
        <v>32</v>
      </c>
      <c r="F1111" s="47">
        <f>[1]!BexGetData("DP_2","DL719O2RYNC0Y217V0FVT1R77","17","E","21063051E207","2067322011")</f>
        <v>208800</v>
      </c>
      <c r="G1111" s="48">
        <f>[1]!BexGetData("DP_2","DL719O2RYNEBZX0HTMQQ0BY0J","17","E","21063051E207","2067322011")</f>
        <v>208800</v>
      </c>
      <c r="H1111" s="48">
        <f>[1]!BexGetData("DP_2","DL719O2RYNGN1RZRS91K7M4TV","17","E","21063051E207","2067322011")</f>
        <v>185600</v>
      </c>
      <c r="I1111" s="48">
        <f>[1]!BexGetData("DP_2","DL719O2RYNIY3MZ1QVCEEWBN7","17","E","21063051E207","2067322011")</f>
        <v>0</v>
      </c>
    </row>
    <row r="1112" spans="1:9" x14ac:dyDescent="0.2">
      <c r="A1112" s="46" t="s">
        <v>32</v>
      </c>
      <c r="B1112" s="46" t="s">
        <v>32</v>
      </c>
      <c r="C1112" s="46" t="s">
        <v>32</v>
      </c>
      <c r="D1112" s="46" t="s">
        <v>32</v>
      </c>
      <c r="E1112" s="46" t="s">
        <v>32</v>
      </c>
      <c r="F1112" s="47">
        <f>[1]!BexGetData("DP_2","DL719O2RYNC0Y217V0FVT1R77","17","E","21063051E207","2067329011")</f>
        <v>2186.6</v>
      </c>
      <c r="G1112" s="48">
        <f>[1]!BexGetData("DP_2","DL719O2RYNEBZX0HTMQQ0BY0J","17","E","21063051E207","2067329011")</f>
        <v>2186.6</v>
      </c>
      <c r="H1112" s="48">
        <f>[1]!BexGetData("DP_2","DL719O2RYNGN1RZRS91K7M4TV","17","E","21063051E207","2067329011")</f>
        <v>0</v>
      </c>
      <c r="I1112" s="48">
        <f>[1]!BexGetData("DP_2","DL719O2RYNIY3MZ1QVCEEWBN7","17","E","21063051E207","2067329011")</f>
        <v>0</v>
      </c>
    </row>
    <row r="1113" spans="1:9" x14ac:dyDescent="0.2">
      <c r="A1113" s="46" t="s">
        <v>32</v>
      </c>
      <c r="B1113" s="46" t="s">
        <v>32</v>
      </c>
      <c r="C1113" s="46" t="s">
        <v>32</v>
      </c>
      <c r="D1113" s="46" t="s">
        <v>32</v>
      </c>
      <c r="E1113" s="46" t="s">
        <v>32</v>
      </c>
      <c r="F1113" s="47">
        <f>[1]!BexGetData("DP_2","DL719O2RYNC0Y217V0FVT1R77","17","E","21063051E207","2067336011")</f>
        <v>71209.62</v>
      </c>
      <c r="G1113" s="48">
        <f>[1]!BexGetData("DP_2","DL719O2RYNEBZX0HTMQQ0BY0J","17","E","21063051E207","2067336011")</f>
        <v>71209.62</v>
      </c>
      <c r="H1113" s="48">
        <f>[1]!BexGetData("DP_2","DL719O2RYNGN1RZRS91K7M4TV","17","E","21063051E207","2067336011")</f>
        <v>22543.56</v>
      </c>
      <c r="I1113" s="48">
        <f>[1]!BexGetData("DP_2","DL719O2RYNIY3MZ1QVCEEWBN7","17","E","21063051E207","2067336011")</f>
        <v>0</v>
      </c>
    </row>
    <row r="1114" spans="1:9" x14ac:dyDescent="0.2">
      <c r="A1114" s="46" t="s">
        <v>32</v>
      </c>
      <c r="B1114" s="46" t="s">
        <v>32</v>
      </c>
      <c r="C1114" s="46" t="s">
        <v>32</v>
      </c>
      <c r="D1114" s="46" t="s">
        <v>32</v>
      </c>
      <c r="E1114" s="46" t="s">
        <v>32</v>
      </c>
      <c r="F1114" s="47">
        <f>[1]!BexGetData("DP_2","DL719O2RYNC0Y217V0FVT1R77","17","E","21063051E207","2067352091")</f>
        <v>14964</v>
      </c>
      <c r="G1114" s="48">
        <f>[1]!BexGetData("DP_2","DL719O2RYNEBZX0HTMQQ0BY0J","17","E","21063051E207","2067352091")</f>
        <v>14964</v>
      </c>
      <c r="H1114" s="48">
        <f>[1]!BexGetData("DP_2","DL719O2RYNGN1RZRS91K7M4TV","17","E","21063051E207","2067352091")</f>
        <v>0</v>
      </c>
      <c r="I1114" s="48">
        <f>[1]!BexGetData("DP_2","DL719O2RYNIY3MZ1QVCEEWBN7","17","E","21063051E207","2067352091")</f>
        <v>0</v>
      </c>
    </row>
    <row r="1115" spans="1:9" x14ac:dyDescent="0.2">
      <c r="A1115" s="46" t="s">
        <v>32</v>
      </c>
      <c r="B1115" s="46" t="s">
        <v>32</v>
      </c>
      <c r="C1115" s="46" t="s">
        <v>106</v>
      </c>
      <c r="D1115" s="46" t="s">
        <v>107</v>
      </c>
      <c r="E1115" s="46" t="s">
        <v>32</v>
      </c>
      <c r="F1115" s="47">
        <f>[1]!BexGetData("DP_2","DL719O2RYNC0Y217V0FVT1R77","17","E","22012121E207","2067113011")</f>
        <v>4762277.12</v>
      </c>
      <c r="G1115" s="48">
        <f>[1]!BexGetData("DP_2","DL719O2RYNEBZX0HTMQQ0BY0J","17","E","22012121E207","2067113011")</f>
        <v>4762277.12</v>
      </c>
      <c r="H1115" s="48">
        <f>[1]!BexGetData("DP_2","DL719O2RYNGN1RZRS91K7M4TV","17","E","22012121E207","2067113011")</f>
        <v>4762277.12</v>
      </c>
      <c r="I1115" s="48">
        <f>[1]!BexGetData("DP_2","DL719O2RYNIY3MZ1QVCEEWBN7","17","E","22012121E207","2067113011")</f>
        <v>-1.0000000000000001E-9</v>
      </c>
    </row>
    <row r="1116" spans="1:9" x14ac:dyDescent="0.2">
      <c r="A1116" s="46" t="s">
        <v>32</v>
      </c>
      <c r="B1116" s="46" t="s">
        <v>32</v>
      </c>
      <c r="C1116" s="46" t="s">
        <v>32</v>
      </c>
      <c r="D1116" s="46" t="s">
        <v>32</v>
      </c>
      <c r="E1116" s="46" t="s">
        <v>32</v>
      </c>
      <c r="F1116" s="47">
        <f>[1]!BexGetData("DP_2","DL719O2RYNC0Y217V0FVT1R77","17","E","22012121E207","2067113021")</f>
        <v>1898111.54</v>
      </c>
      <c r="G1116" s="48">
        <f>[1]!BexGetData("DP_2","DL719O2RYNEBZX0HTMQQ0BY0J","17","E","22012121E207","2067113021")</f>
        <v>1898111.54</v>
      </c>
      <c r="H1116" s="48">
        <f>[1]!BexGetData("DP_2","DL719O2RYNGN1RZRS91K7M4TV","17","E","22012121E207","2067113021")</f>
        <v>1898111.54</v>
      </c>
      <c r="I1116" s="48">
        <f>[1]!BexGetData("DP_2","DL719O2RYNIY3MZ1QVCEEWBN7","17","E","22012121E207","2067113021")</f>
        <v>0</v>
      </c>
    </row>
    <row r="1117" spans="1:9" x14ac:dyDescent="0.2">
      <c r="A1117" s="46" t="s">
        <v>32</v>
      </c>
      <c r="B1117" s="46" t="s">
        <v>32</v>
      </c>
      <c r="C1117" s="46" t="s">
        <v>32</v>
      </c>
      <c r="D1117" s="46" t="s">
        <v>32</v>
      </c>
      <c r="E1117" s="46" t="s">
        <v>32</v>
      </c>
      <c r="F1117" s="47">
        <f>[1]!BexGetData("DP_2","DL719O2RYNC0Y217V0FVT1R77","17","E","22012121E207","2067122011")</f>
        <v>512287.46</v>
      </c>
      <c r="G1117" s="48">
        <f>[1]!BexGetData("DP_2","DL719O2RYNEBZX0HTMQQ0BY0J","17","E","22012121E207","2067122011")</f>
        <v>512287.46</v>
      </c>
      <c r="H1117" s="48">
        <f>[1]!BexGetData("DP_2","DL719O2RYNGN1RZRS91K7M4TV","17","E","22012121E207","2067122011")</f>
        <v>512287.46</v>
      </c>
      <c r="I1117" s="48">
        <f>[1]!BexGetData("DP_2","DL719O2RYNIY3MZ1QVCEEWBN7","17","E","22012121E207","2067122011")</f>
        <v>0</v>
      </c>
    </row>
    <row r="1118" spans="1:9" x14ac:dyDescent="0.2">
      <c r="A1118" s="46" t="s">
        <v>32</v>
      </c>
      <c r="B1118" s="46" t="s">
        <v>32</v>
      </c>
      <c r="C1118" s="46" t="s">
        <v>32</v>
      </c>
      <c r="D1118" s="46" t="s">
        <v>32</v>
      </c>
      <c r="E1118" s="46" t="s">
        <v>32</v>
      </c>
      <c r="F1118" s="47">
        <f>[1]!BexGetData("DP_2","DL719O2RYNC0Y217V0FVT1R77","17","E","22012121E207","2067131011")</f>
        <v>626189.5</v>
      </c>
      <c r="G1118" s="48">
        <f>[1]!BexGetData("DP_2","DL719O2RYNEBZX0HTMQQ0BY0J","17","E","22012121E207","2067131011")</f>
        <v>626189.5</v>
      </c>
      <c r="H1118" s="48">
        <f>[1]!BexGetData("DP_2","DL719O2RYNGN1RZRS91K7M4TV","17","E","22012121E207","2067131011")</f>
        <v>626189.5</v>
      </c>
      <c r="I1118" s="48">
        <f>[1]!BexGetData("DP_2","DL719O2RYNIY3MZ1QVCEEWBN7","17","E","22012121E207","2067131011")</f>
        <v>0</v>
      </c>
    </row>
    <row r="1119" spans="1:9" x14ac:dyDescent="0.2">
      <c r="A1119" s="46" t="s">
        <v>32</v>
      </c>
      <c r="B1119" s="46" t="s">
        <v>32</v>
      </c>
      <c r="C1119" s="46" t="s">
        <v>32</v>
      </c>
      <c r="D1119" s="46" t="s">
        <v>32</v>
      </c>
      <c r="E1119" s="46" t="s">
        <v>32</v>
      </c>
      <c r="F1119" s="47">
        <f>[1]!BexGetData("DP_2","DL719O2RYNC0Y217V0FVT1R77","17","E","22012121E207","2067131021")</f>
        <v>52810.06</v>
      </c>
      <c r="G1119" s="48">
        <f>[1]!BexGetData("DP_2","DL719O2RYNEBZX0HTMQQ0BY0J","17","E","22012121E207","2067131021")</f>
        <v>52810.06</v>
      </c>
      <c r="H1119" s="48">
        <f>[1]!BexGetData("DP_2","DL719O2RYNGN1RZRS91K7M4TV","17","E","22012121E207","2067131021")</f>
        <v>52810.06</v>
      </c>
      <c r="I1119" s="48">
        <f>[1]!BexGetData("DP_2","DL719O2RYNIY3MZ1QVCEEWBN7","17","E","22012121E207","2067131021")</f>
        <v>0</v>
      </c>
    </row>
    <row r="1120" spans="1:9" x14ac:dyDescent="0.2">
      <c r="A1120" s="46" t="s">
        <v>32</v>
      </c>
      <c r="B1120" s="46" t="s">
        <v>32</v>
      </c>
      <c r="C1120" s="46" t="s">
        <v>32</v>
      </c>
      <c r="D1120" s="46" t="s">
        <v>32</v>
      </c>
      <c r="E1120" s="46" t="s">
        <v>32</v>
      </c>
      <c r="F1120" s="47">
        <f>[1]!BexGetData("DP_2","DL719O2RYNC0Y217V0FVT1R77","17","E","22012121E207","2067132011")</f>
        <v>336894.47</v>
      </c>
      <c r="G1120" s="48">
        <f>[1]!BexGetData("DP_2","DL719O2RYNEBZX0HTMQQ0BY0J","17","E","22012121E207","2067132011")</f>
        <v>336894.47</v>
      </c>
      <c r="H1120" s="48">
        <f>[1]!BexGetData("DP_2","DL719O2RYNGN1RZRS91K7M4TV","17","E","22012121E207","2067132011")</f>
        <v>336894.47</v>
      </c>
      <c r="I1120" s="48">
        <f>[1]!BexGetData("DP_2","DL719O2RYNIY3MZ1QVCEEWBN7","17","E","22012121E207","2067132011")</f>
        <v>0</v>
      </c>
    </row>
    <row r="1121" spans="1:9" x14ac:dyDescent="0.2">
      <c r="A1121" s="46" t="s">
        <v>32</v>
      </c>
      <c r="B1121" s="46" t="s">
        <v>32</v>
      </c>
      <c r="C1121" s="46" t="s">
        <v>32</v>
      </c>
      <c r="D1121" s="46" t="s">
        <v>32</v>
      </c>
      <c r="E1121" s="46" t="s">
        <v>32</v>
      </c>
      <c r="F1121" s="47">
        <f>[1]!BexGetData("DP_2","DL719O2RYNC0Y217V0FVT1R77","17","E","22012121E207","2067132021")</f>
        <v>1458934.31</v>
      </c>
      <c r="G1121" s="48">
        <f>[1]!BexGetData("DP_2","DL719O2RYNEBZX0HTMQQ0BY0J","17","E","22012121E207","2067132021")</f>
        <v>1458934.31</v>
      </c>
      <c r="H1121" s="48">
        <f>[1]!BexGetData("DP_2","DL719O2RYNGN1RZRS91K7M4TV","17","E","22012121E207","2067132021")</f>
        <v>1458934.31</v>
      </c>
      <c r="I1121" s="48">
        <f>[1]!BexGetData("DP_2","DL719O2RYNIY3MZ1QVCEEWBN7","17","E","22012121E207","2067132021")</f>
        <v>0</v>
      </c>
    </row>
    <row r="1122" spans="1:9" x14ac:dyDescent="0.2">
      <c r="A1122" s="46" t="s">
        <v>32</v>
      </c>
      <c r="B1122" s="46" t="s">
        <v>32</v>
      </c>
      <c r="C1122" s="46" t="s">
        <v>32</v>
      </c>
      <c r="D1122" s="46" t="s">
        <v>32</v>
      </c>
      <c r="E1122" s="46" t="s">
        <v>32</v>
      </c>
      <c r="F1122" s="47">
        <f>[1]!BexGetData("DP_2","DL719O2RYNC0Y217V0FVT1R77","17","E","22012121E207","2067133011")</f>
        <v>13141.66</v>
      </c>
      <c r="G1122" s="48">
        <f>[1]!BexGetData("DP_2","DL719O2RYNEBZX0HTMQQ0BY0J","17","E","22012121E207","2067133011")</f>
        <v>13141.66</v>
      </c>
      <c r="H1122" s="48">
        <f>[1]!BexGetData("DP_2","DL719O2RYNGN1RZRS91K7M4TV","17","E","22012121E207","2067133011")</f>
        <v>13141.66</v>
      </c>
      <c r="I1122" s="48">
        <f>[1]!BexGetData("DP_2","DL719O2RYNIY3MZ1QVCEEWBN7","17","E","22012121E207","2067133011")</f>
        <v>0</v>
      </c>
    </row>
    <row r="1123" spans="1:9" x14ac:dyDescent="0.2">
      <c r="A1123" s="46" t="s">
        <v>32</v>
      </c>
      <c r="B1123" s="46" t="s">
        <v>32</v>
      </c>
      <c r="C1123" s="46" t="s">
        <v>32</v>
      </c>
      <c r="D1123" s="46" t="s">
        <v>32</v>
      </c>
      <c r="E1123" s="46" t="s">
        <v>32</v>
      </c>
      <c r="F1123" s="47">
        <f>[1]!BexGetData("DP_2","DL719O2RYNC0Y217V0FVT1R77","17","E","22012121E207","2067134011")</f>
        <v>2171674.77</v>
      </c>
      <c r="G1123" s="48">
        <f>[1]!BexGetData("DP_2","DL719O2RYNEBZX0HTMQQ0BY0J","17","E","22012121E207","2067134011")</f>
        <v>2171674.77</v>
      </c>
      <c r="H1123" s="48">
        <f>[1]!BexGetData("DP_2","DL719O2RYNGN1RZRS91K7M4TV","17","E","22012121E207","2067134011")</f>
        <v>2205338.16</v>
      </c>
      <c r="I1123" s="48">
        <f>[1]!BexGetData("DP_2","DL719O2RYNIY3MZ1QVCEEWBN7","17","E","22012121E207","2067134011")</f>
        <v>0</v>
      </c>
    </row>
    <row r="1124" spans="1:9" x14ac:dyDescent="0.2">
      <c r="A1124" s="46" t="s">
        <v>32</v>
      </c>
      <c r="B1124" s="46" t="s">
        <v>32</v>
      </c>
      <c r="C1124" s="46" t="s">
        <v>32</v>
      </c>
      <c r="D1124" s="46" t="s">
        <v>32</v>
      </c>
      <c r="E1124" s="46" t="s">
        <v>32</v>
      </c>
      <c r="F1124" s="47">
        <f>[1]!BexGetData("DP_2","DL719O2RYNC0Y217V0FVT1R77","17","E","22012121E207","2067134021")</f>
        <v>2587579.08</v>
      </c>
      <c r="G1124" s="48">
        <f>[1]!BexGetData("DP_2","DL719O2RYNEBZX0HTMQQ0BY0J","17","E","22012121E207","2067134021")</f>
        <v>2587579.08</v>
      </c>
      <c r="H1124" s="48">
        <f>[1]!BexGetData("DP_2","DL719O2RYNGN1RZRS91K7M4TV","17","E","22012121E207","2067134021")</f>
        <v>2587579.08</v>
      </c>
      <c r="I1124" s="48">
        <f>[1]!BexGetData("DP_2","DL719O2RYNIY3MZ1QVCEEWBN7","17","E","22012121E207","2067134021")</f>
        <v>0</v>
      </c>
    </row>
    <row r="1125" spans="1:9" x14ac:dyDescent="0.2">
      <c r="A1125" s="46" t="s">
        <v>32</v>
      </c>
      <c r="B1125" s="46" t="s">
        <v>32</v>
      </c>
      <c r="C1125" s="46" t="s">
        <v>32</v>
      </c>
      <c r="D1125" s="46" t="s">
        <v>32</v>
      </c>
      <c r="E1125" s="46" t="s">
        <v>32</v>
      </c>
      <c r="F1125" s="47">
        <f>[1]!BexGetData("DP_2","DL719O2RYNC0Y217V0FVT1R77","17","E","22012121E207","2067141011")</f>
        <v>1323684.52</v>
      </c>
      <c r="G1125" s="48">
        <f>[1]!BexGetData("DP_2","DL719O2RYNEBZX0HTMQQ0BY0J","17","E","22012121E207","2067141011")</f>
        <v>1323684.52</v>
      </c>
      <c r="H1125" s="48">
        <f>[1]!BexGetData("DP_2","DL719O2RYNGN1RZRS91K7M4TV","17","E","22012121E207","2067141011")</f>
        <v>1323684.52</v>
      </c>
      <c r="I1125" s="48">
        <f>[1]!BexGetData("DP_2","DL719O2RYNIY3MZ1QVCEEWBN7","17","E","22012121E207","2067141011")</f>
        <v>0</v>
      </c>
    </row>
    <row r="1126" spans="1:9" x14ac:dyDescent="0.2">
      <c r="A1126" s="46" t="s">
        <v>32</v>
      </c>
      <c r="B1126" s="46" t="s">
        <v>32</v>
      </c>
      <c r="C1126" s="46" t="s">
        <v>32</v>
      </c>
      <c r="D1126" s="46" t="s">
        <v>32</v>
      </c>
      <c r="E1126" s="46" t="s">
        <v>32</v>
      </c>
      <c r="F1126" s="47">
        <f>[1]!BexGetData("DP_2","DL719O2RYNC0Y217V0FVT1R77","17","E","22012121E207","2067141021")</f>
        <v>426212.34</v>
      </c>
      <c r="G1126" s="48">
        <f>[1]!BexGetData("DP_2","DL719O2RYNEBZX0HTMQQ0BY0J","17","E","22012121E207","2067141021")</f>
        <v>426212.34</v>
      </c>
      <c r="H1126" s="48">
        <f>[1]!BexGetData("DP_2","DL719O2RYNGN1RZRS91K7M4TV","17","E","22012121E207","2067141021")</f>
        <v>426212.34</v>
      </c>
      <c r="I1126" s="48">
        <f>[1]!BexGetData("DP_2","DL719O2RYNIY3MZ1QVCEEWBN7","17","E","22012121E207","2067141021")</f>
        <v>0</v>
      </c>
    </row>
    <row r="1127" spans="1:9" x14ac:dyDescent="0.2">
      <c r="A1127" s="46" t="s">
        <v>32</v>
      </c>
      <c r="B1127" s="46" t="s">
        <v>32</v>
      </c>
      <c r="C1127" s="46" t="s">
        <v>32</v>
      </c>
      <c r="D1127" s="46" t="s">
        <v>32</v>
      </c>
      <c r="E1127" s="46" t="s">
        <v>32</v>
      </c>
      <c r="F1127" s="47">
        <f>[1]!BexGetData("DP_2","DL719O2RYNC0Y217V0FVT1R77","17","E","22012121E207","2067143011")</f>
        <v>202105.34</v>
      </c>
      <c r="G1127" s="48">
        <f>[1]!BexGetData("DP_2","DL719O2RYNEBZX0HTMQQ0BY0J","17","E","22012121E207","2067143011")</f>
        <v>202105.34</v>
      </c>
      <c r="H1127" s="48">
        <f>[1]!BexGetData("DP_2","DL719O2RYNGN1RZRS91K7M4TV","17","E","22012121E207","2067143011")</f>
        <v>202105.34</v>
      </c>
      <c r="I1127" s="48">
        <f>[1]!BexGetData("DP_2","DL719O2RYNIY3MZ1QVCEEWBN7","17","E","22012121E207","2067143011")</f>
        <v>0</v>
      </c>
    </row>
    <row r="1128" spans="1:9" x14ac:dyDescent="0.2">
      <c r="A1128" s="46" t="s">
        <v>32</v>
      </c>
      <c r="B1128" s="46" t="s">
        <v>32</v>
      </c>
      <c r="C1128" s="46" t="s">
        <v>32</v>
      </c>
      <c r="D1128" s="46" t="s">
        <v>32</v>
      </c>
      <c r="E1128" s="46" t="s">
        <v>32</v>
      </c>
      <c r="F1128" s="47">
        <f>[1]!BexGetData("DP_2","DL719O2RYNC0Y217V0FVT1R77","17","E","22012121E207","2067151011")</f>
        <v>800897.28</v>
      </c>
      <c r="G1128" s="48">
        <f>[1]!BexGetData("DP_2","DL719O2RYNEBZX0HTMQQ0BY0J","17","E","22012121E207","2067151011")</f>
        <v>800897.28</v>
      </c>
      <c r="H1128" s="48">
        <f>[1]!BexGetData("DP_2","DL719O2RYNGN1RZRS91K7M4TV","17","E","22012121E207","2067151011")</f>
        <v>800897.28</v>
      </c>
      <c r="I1128" s="48">
        <f>[1]!BexGetData("DP_2","DL719O2RYNIY3MZ1QVCEEWBN7","17","E","22012121E207","2067151011")</f>
        <v>0</v>
      </c>
    </row>
    <row r="1129" spans="1:9" x14ac:dyDescent="0.2">
      <c r="A1129" s="46" t="s">
        <v>32</v>
      </c>
      <c r="B1129" s="46" t="s">
        <v>32</v>
      </c>
      <c r="C1129" s="46" t="s">
        <v>32</v>
      </c>
      <c r="D1129" s="46" t="s">
        <v>32</v>
      </c>
      <c r="E1129" s="46" t="s">
        <v>32</v>
      </c>
      <c r="F1129" s="47">
        <f>[1]!BexGetData("DP_2","DL719O2RYNC0Y217V0FVT1R77","17","E","22012121E207","2067154011")</f>
        <v>3771304.94</v>
      </c>
      <c r="G1129" s="48">
        <f>[1]!BexGetData("DP_2","DL719O2RYNEBZX0HTMQQ0BY0J","17","E","22012121E207","2067154011")</f>
        <v>3771304.94</v>
      </c>
      <c r="H1129" s="48">
        <f>[1]!BexGetData("DP_2","DL719O2RYNGN1RZRS91K7M4TV","17","E","22012121E207","2067154011")</f>
        <v>3762744.94</v>
      </c>
      <c r="I1129" s="48">
        <f>[1]!BexGetData("DP_2","DL719O2RYNIY3MZ1QVCEEWBN7","17","E","22012121E207","2067154011")</f>
        <v>1.0000000000000001E-9</v>
      </c>
    </row>
    <row r="1130" spans="1:9" x14ac:dyDescent="0.2">
      <c r="A1130" s="46" t="s">
        <v>32</v>
      </c>
      <c r="B1130" s="46" t="s">
        <v>32</v>
      </c>
      <c r="C1130" s="46" t="s">
        <v>32</v>
      </c>
      <c r="D1130" s="46" t="s">
        <v>32</v>
      </c>
      <c r="E1130" s="46" t="s">
        <v>32</v>
      </c>
      <c r="F1130" s="47">
        <f>[1]!BexGetData("DP_2","DL719O2RYNC0Y217V0FVT1R77","17","E","22012121E207","2067211011")</f>
        <v>42190.82</v>
      </c>
      <c r="G1130" s="48">
        <f>[1]!BexGetData("DP_2","DL719O2RYNEBZX0HTMQQ0BY0J","17","E","22012121E207","2067211011")</f>
        <v>42190.82</v>
      </c>
      <c r="H1130" s="48">
        <f>[1]!BexGetData("DP_2","DL719O2RYNGN1RZRS91K7M4TV","17","E","22012121E207","2067211011")</f>
        <v>42190.82</v>
      </c>
      <c r="I1130" s="48">
        <f>[1]!BexGetData("DP_2","DL719O2RYNIY3MZ1QVCEEWBN7","17","E","22012121E207","2067211011")</f>
        <v>0</v>
      </c>
    </row>
    <row r="1131" spans="1:9" x14ac:dyDescent="0.2">
      <c r="A1131" s="46" t="s">
        <v>32</v>
      </c>
      <c r="B1131" s="46" t="s">
        <v>32</v>
      </c>
      <c r="C1131" s="46" t="s">
        <v>32</v>
      </c>
      <c r="D1131" s="46" t="s">
        <v>32</v>
      </c>
      <c r="E1131" s="46" t="s">
        <v>32</v>
      </c>
      <c r="F1131" s="47">
        <f>[1]!BexGetData("DP_2","DL719O2RYNC0Y217V0FVT1R77","17","E","22012121E207","2067211031")</f>
        <v>501.12</v>
      </c>
      <c r="G1131" s="48">
        <f>[1]!BexGetData("DP_2","DL719O2RYNEBZX0HTMQQ0BY0J","17","E","22012121E207","2067211031")</f>
        <v>501.12</v>
      </c>
      <c r="H1131" s="48">
        <f>[1]!BexGetData("DP_2","DL719O2RYNGN1RZRS91K7M4TV","17","E","22012121E207","2067211031")</f>
        <v>501.12</v>
      </c>
      <c r="I1131" s="48">
        <f>[1]!BexGetData("DP_2","DL719O2RYNIY3MZ1QVCEEWBN7","17","E","22012121E207","2067211031")</f>
        <v>0</v>
      </c>
    </row>
    <row r="1132" spans="1:9" x14ac:dyDescent="0.2">
      <c r="A1132" s="46" t="s">
        <v>32</v>
      </c>
      <c r="B1132" s="46" t="s">
        <v>32</v>
      </c>
      <c r="C1132" s="46" t="s">
        <v>32</v>
      </c>
      <c r="D1132" s="46" t="s">
        <v>32</v>
      </c>
      <c r="E1132" s="46" t="s">
        <v>32</v>
      </c>
      <c r="F1132" s="47">
        <f>[1]!BexGetData("DP_2","DL719O2RYNC0Y217V0FVT1R77","17","E","22012121E207","2067214011")</f>
        <v>1394.48</v>
      </c>
      <c r="G1132" s="48">
        <f>[1]!BexGetData("DP_2","DL719O2RYNEBZX0HTMQQ0BY0J","17","E","22012121E207","2067214011")</f>
        <v>1394.48</v>
      </c>
      <c r="H1132" s="48">
        <f>[1]!BexGetData("DP_2","DL719O2RYNGN1RZRS91K7M4TV","17","E","22012121E207","2067214011")</f>
        <v>1394.48</v>
      </c>
      <c r="I1132" s="48">
        <f>[1]!BexGetData("DP_2","DL719O2RYNIY3MZ1QVCEEWBN7","17","E","22012121E207","2067214011")</f>
        <v>0</v>
      </c>
    </row>
    <row r="1133" spans="1:9" x14ac:dyDescent="0.2">
      <c r="A1133" s="46" t="s">
        <v>32</v>
      </c>
      <c r="B1133" s="46" t="s">
        <v>32</v>
      </c>
      <c r="C1133" s="46" t="s">
        <v>32</v>
      </c>
      <c r="D1133" s="46" t="s">
        <v>32</v>
      </c>
      <c r="E1133" s="46" t="s">
        <v>32</v>
      </c>
      <c r="F1133" s="47">
        <f>[1]!BexGetData("DP_2","DL719O2RYNC0Y217V0FVT1R77","17","E","22012121E207","2067214021")</f>
        <v>389</v>
      </c>
      <c r="G1133" s="48">
        <f>[1]!BexGetData("DP_2","DL719O2RYNEBZX0HTMQQ0BY0J","17","E","22012121E207","2067214021")</f>
        <v>389</v>
      </c>
      <c r="H1133" s="48">
        <f>[1]!BexGetData("DP_2","DL719O2RYNGN1RZRS91K7M4TV","17","E","22012121E207","2067214021")</f>
        <v>389</v>
      </c>
      <c r="I1133" s="48">
        <f>[1]!BexGetData("DP_2","DL719O2RYNIY3MZ1QVCEEWBN7","17","E","22012121E207","2067214021")</f>
        <v>0</v>
      </c>
    </row>
    <row r="1134" spans="1:9" x14ac:dyDescent="0.2">
      <c r="A1134" s="46" t="s">
        <v>32</v>
      </c>
      <c r="B1134" s="46" t="s">
        <v>32</v>
      </c>
      <c r="C1134" s="46" t="s">
        <v>32</v>
      </c>
      <c r="D1134" s="46" t="s">
        <v>32</v>
      </c>
      <c r="E1134" s="46" t="s">
        <v>32</v>
      </c>
      <c r="F1134" s="47">
        <f>[1]!BexGetData("DP_2","DL719O2RYNC0Y217V0FVT1R77","17","E","22012121E207","2067215021")</f>
        <v>0</v>
      </c>
      <c r="G1134" s="48">
        <f>[1]!BexGetData("DP_2","DL719O2RYNEBZX0HTMQQ0BY0J","17","E","22012121E207","2067215021")</f>
        <v>0</v>
      </c>
      <c r="H1134" s="48">
        <f>[1]!BexGetData("DP_2","DL719O2RYNGN1RZRS91K7M4TV","17","E","22012121E207","2067215021")</f>
        <v>0</v>
      </c>
      <c r="I1134" s="48">
        <f>[1]!BexGetData("DP_2","DL719O2RYNIY3MZ1QVCEEWBN7","17","E","22012121E207","2067215021")</f>
        <v>0</v>
      </c>
    </row>
    <row r="1135" spans="1:9" x14ac:dyDescent="0.2">
      <c r="A1135" s="46" t="s">
        <v>32</v>
      </c>
      <c r="B1135" s="46" t="s">
        <v>32</v>
      </c>
      <c r="C1135" s="46" t="s">
        <v>32</v>
      </c>
      <c r="D1135" s="46" t="s">
        <v>32</v>
      </c>
      <c r="E1135" s="46" t="s">
        <v>32</v>
      </c>
      <c r="F1135" s="47">
        <f>[1]!BexGetData("DP_2","DL719O2RYNC0Y217V0FVT1R77","17","E","22012121E207","2067216011")</f>
        <v>5822.19</v>
      </c>
      <c r="G1135" s="48">
        <f>[1]!BexGetData("DP_2","DL719O2RYNEBZX0HTMQQ0BY0J","17","E","22012121E207","2067216011")</f>
        <v>5822.19</v>
      </c>
      <c r="H1135" s="48">
        <f>[1]!BexGetData("DP_2","DL719O2RYNGN1RZRS91K7M4TV","17","E","22012121E207","2067216011")</f>
        <v>5822.19</v>
      </c>
      <c r="I1135" s="48">
        <f>[1]!BexGetData("DP_2","DL719O2RYNIY3MZ1QVCEEWBN7","17","E","22012121E207","2067216011")</f>
        <v>0</v>
      </c>
    </row>
    <row r="1136" spans="1:9" x14ac:dyDescent="0.2">
      <c r="A1136" s="46" t="s">
        <v>32</v>
      </c>
      <c r="B1136" s="46" t="s">
        <v>32</v>
      </c>
      <c r="C1136" s="46" t="s">
        <v>32</v>
      </c>
      <c r="D1136" s="46" t="s">
        <v>32</v>
      </c>
      <c r="E1136" s="46" t="s">
        <v>32</v>
      </c>
      <c r="F1136" s="47">
        <f>[1]!BexGetData("DP_2","DL719O2RYNC0Y217V0FVT1R77","17","E","22012121E207","2067217011")</f>
        <v>507.5</v>
      </c>
      <c r="G1136" s="48">
        <f>[1]!BexGetData("DP_2","DL719O2RYNEBZX0HTMQQ0BY0J","17","E","22012121E207","2067217011")</f>
        <v>507.5</v>
      </c>
      <c r="H1136" s="48">
        <f>[1]!BexGetData("DP_2","DL719O2RYNGN1RZRS91K7M4TV","17","E","22012121E207","2067217011")</f>
        <v>507.5</v>
      </c>
      <c r="I1136" s="48">
        <f>[1]!BexGetData("DP_2","DL719O2RYNIY3MZ1QVCEEWBN7","17","E","22012121E207","2067217011")</f>
        <v>0</v>
      </c>
    </row>
    <row r="1137" spans="1:9" x14ac:dyDescent="0.2">
      <c r="A1137" s="46" t="s">
        <v>32</v>
      </c>
      <c r="B1137" s="46" t="s">
        <v>32</v>
      </c>
      <c r="C1137" s="46" t="s">
        <v>32</v>
      </c>
      <c r="D1137" s="46" t="s">
        <v>32</v>
      </c>
      <c r="E1137" s="46" t="s">
        <v>32</v>
      </c>
      <c r="F1137" s="47">
        <f>[1]!BexGetData("DP_2","DL719O2RYNC0Y217V0FVT1R77","17","E","22012121E207","2067241011")</f>
        <v>0</v>
      </c>
      <c r="G1137" s="48">
        <f>[1]!BexGetData("DP_2","DL719O2RYNEBZX0HTMQQ0BY0J","17","E","22012121E207","2067241011")</f>
        <v>0</v>
      </c>
      <c r="H1137" s="48">
        <f>[1]!BexGetData("DP_2","DL719O2RYNGN1RZRS91K7M4TV","17","E","22012121E207","2067241011")</f>
        <v>0</v>
      </c>
      <c r="I1137" s="48">
        <f>[1]!BexGetData("DP_2","DL719O2RYNIY3MZ1QVCEEWBN7","17","E","22012121E207","2067241011")</f>
        <v>0</v>
      </c>
    </row>
    <row r="1138" spans="1:9" x14ac:dyDescent="0.2">
      <c r="A1138" s="46" t="s">
        <v>32</v>
      </c>
      <c r="B1138" s="46" t="s">
        <v>32</v>
      </c>
      <c r="C1138" s="46" t="s">
        <v>32</v>
      </c>
      <c r="D1138" s="46" t="s">
        <v>32</v>
      </c>
      <c r="E1138" s="46" t="s">
        <v>32</v>
      </c>
      <c r="F1138" s="47">
        <f>[1]!BexGetData("DP_2","DL719O2RYNC0Y217V0FVT1R77","17","E","22012121E207","2067246011")</f>
        <v>2364.96</v>
      </c>
      <c r="G1138" s="48">
        <f>[1]!BexGetData("DP_2","DL719O2RYNEBZX0HTMQQ0BY0J","17","E","22012121E207","2067246011")</f>
        <v>2364.96</v>
      </c>
      <c r="H1138" s="48">
        <f>[1]!BexGetData("DP_2","DL719O2RYNGN1RZRS91K7M4TV","17","E","22012121E207","2067246011")</f>
        <v>2364.96</v>
      </c>
      <c r="I1138" s="48">
        <f>[1]!BexGetData("DP_2","DL719O2RYNIY3MZ1QVCEEWBN7","17","E","22012121E207","2067246011")</f>
        <v>0</v>
      </c>
    </row>
    <row r="1139" spans="1:9" x14ac:dyDescent="0.2">
      <c r="A1139" s="46" t="s">
        <v>32</v>
      </c>
      <c r="B1139" s="46" t="s">
        <v>32</v>
      </c>
      <c r="C1139" s="46" t="s">
        <v>32</v>
      </c>
      <c r="D1139" s="46" t="s">
        <v>32</v>
      </c>
      <c r="E1139" s="46" t="s">
        <v>32</v>
      </c>
      <c r="F1139" s="47">
        <f>[1]!BexGetData("DP_2","DL719O2RYNC0Y217V0FVT1R77","17","E","22012121E207","2067247011")</f>
        <v>881.59</v>
      </c>
      <c r="G1139" s="48">
        <f>[1]!BexGetData("DP_2","DL719O2RYNEBZX0HTMQQ0BY0J","17","E","22012121E207","2067247011")</f>
        <v>881.59</v>
      </c>
      <c r="H1139" s="48">
        <f>[1]!BexGetData("DP_2","DL719O2RYNGN1RZRS91K7M4TV","17","E","22012121E207","2067247011")</f>
        <v>881.59</v>
      </c>
      <c r="I1139" s="48">
        <f>[1]!BexGetData("DP_2","DL719O2RYNIY3MZ1QVCEEWBN7","17","E","22012121E207","2067247011")</f>
        <v>0</v>
      </c>
    </row>
    <row r="1140" spans="1:9" x14ac:dyDescent="0.2">
      <c r="A1140" s="46" t="s">
        <v>32</v>
      </c>
      <c r="B1140" s="46" t="s">
        <v>32</v>
      </c>
      <c r="C1140" s="46" t="s">
        <v>32</v>
      </c>
      <c r="D1140" s="46" t="s">
        <v>32</v>
      </c>
      <c r="E1140" s="46" t="s">
        <v>32</v>
      </c>
      <c r="F1140" s="47">
        <f>[1]!BexGetData("DP_2","DL719O2RYNC0Y217V0FVT1R77","17","E","22012121E207","2067249011")</f>
        <v>1448.4</v>
      </c>
      <c r="G1140" s="48">
        <f>[1]!BexGetData("DP_2","DL719O2RYNEBZX0HTMQQ0BY0J","17","E","22012121E207","2067249011")</f>
        <v>1448.4</v>
      </c>
      <c r="H1140" s="48">
        <f>[1]!BexGetData("DP_2","DL719O2RYNGN1RZRS91K7M4TV","17","E","22012121E207","2067249011")</f>
        <v>1448.4</v>
      </c>
      <c r="I1140" s="48">
        <f>[1]!BexGetData("DP_2","DL719O2RYNIY3MZ1QVCEEWBN7","17","E","22012121E207","2067249011")</f>
        <v>0</v>
      </c>
    </row>
    <row r="1141" spans="1:9" x14ac:dyDescent="0.2">
      <c r="A1141" s="46" t="s">
        <v>32</v>
      </c>
      <c r="B1141" s="46" t="s">
        <v>32</v>
      </c>
      <c r="C1141" s="46" t="s">
        <v>32</v>
      </c>
      <c r="D1141" s="46" t="s">
        <v>32</v>
      </c>
      <c r="E1141" s="46" t="s">
        <v>32</v>
      </c>
      <c r="F1141" s="47">
        <f>[1]!BexGetData("DP_2","DL719O2RYNC0Y217V0FVT1R77","17","E","22012121E207","2067256011")</f>
        <v>690</v>
      </c>
      <c r="G1141" s="48">
        <f>[1]!BexGetData("DP_2","DL719O2RYNEBZX0HTMQQ0BY0J","17","E","22012121E207","2067256011")</f>
        <v>690</v>
      </c>
      <c r="H1141" s="48">
        <f>[1]!BexGetData("DP_2","DL719O2RYNGN1RZRS91K7M4TV","17","E","22012121E207","2067256011")</f>
        <v>690</v>
      </c>
      <c r="I1141" s="48">
        <f>[1]!BexGetData("DP_2","DL719O2RYNIY3MZ1QVCEEWBN7","17","E","22012121E207","2067256011")</f>
        <v>0</v>
      </c>
    </row>
    <row r="1142" spans="1:9" x14ac:dyDescent="0.2">
      <c r="A1142" s="46" t="s">
        <v>32</v>
      </c>
      <c r="B1142" s="46" t="s">
        <v>32</v>
      </c>
      <c r="C1142" s="46" t="s">
        <v>32</v>
      </c>
      <c r="D1142" s="46" t="s">
        <v>32</v>
      </c>
      <c r="E1142" s="46" t="s">
        <v>32</v>
      </c>
      <c r="F1142" s="47">
        <f>[1]!BexGetData("DP_2","DL719O2RYNC0Y217V0FVT1R77","17","E","22012121E207","2067261011")</f>
        <v>131675.82</v>
      </c>
      <c r="G1142" s="48">
        <f>[1]!BexGetData("DP_2","DL719O2RYNEBZX0HTMQQ0BY0J","17","E","22012121E207","2067261011")</f>
        <v>131675.82</v>
      </c>
      <c r="H1142" s="48">
        <f>[1]!BexGetData("DP_2","DL719O2RYNGN1RZRS91K7M4TV","17","E","22012121E207","2067261011")</f>
        <v>119254.42</v>
      </c>
      <c r="I1142" s="48">
        <f>[1]!BexGetData("DP_2","DL719O2RYNIY3MZ1QVCEEWBN7","17","E","22012121E207","2067261011")</f>
        <v>0</v>
      </c>
    </row>
    <row r="1143" spans="1:9" x14ac:dyDescent="0.2">
      <c r="A1143" s="46" t="s">
        <v>32</v>
      </c>
      <c r="B1143" s="46" t="s">
        <v>32</v>
      </c>
      <c r="C1143" s="46" t="s">
        <v>32</v>
      </c>
      <c r="D1143" s="46" t="s">
        <v>32</v>
      </c>
      <c r="E1143" s="46" t="s">
        <v>32</v>
      </c>
      <c r="F1143" s="47">
        <f>[1]!BexGetData("DP_2","DL719O2RYNC0Y217V0FVT1R77","17","E","22012121E207","2067261021")</f>
        <v>180.99</v>
      </c>
      <c r="G1143" s="48">
        <f>[1]!BexGetData("DP_2","DL719O2RYNEBZX0HTMQQ0BY0J","17","E","22012121E207","2067261021")</f>
        <v>180.99</v>
      </c>
      <c r="H1143" s="48">
        <f>[1]!BexGetData("DP_2","DL719O2RYNGN1RZRS91K7M4TV","17","E","22012121E207","2067261021")</f>
        <v>180.99</v>
      </c>
      <c r="I1143" s="48">
        <f>[1]!BexGetData("DP_2","DL719O2RYNIY3MZ1QVCEEWBN7","17","E","22012121E207","2067261021")</f>
        <v>0</v>
      </c>
    </row>
    <row r="1144" spans="1:9" x14ac:dyDescent="0.2">
      <c r="A1144" s="46" t="s">
        <v>32</v>
      </c>
      <c r="B1144" s="46" t="s">
        <v>32</v>
      </c>
      <c r="C1144" s="46" t="s">
        <v>32</v>
      </c>
      <c r="D1144" s="46" t="s">
        <v>32</v>
      </c>
      <c r="E1144" s="46" t="s">
        <v>32</v>
      </c>
      <c r="F1144" s="47">
        <f>[1]!BexGetData("DP_2","DL719O2RYNC0Y217V0FVT1R77","17","E","22012121E207","2067274011")</f>
        <v>300.01</v>
      </c>
      <c r="G1144" s="48">
        <f>[1]!BexGetData("DP_2","DL719O2RYNEBZX0HTMQQ0BY0J","17","E","22012121E207","2067274011")</f>
        <v>300.01</v>
      </c>
      <c r="H1144" s="48">
        <f>[1]!BexGetData("DP_2","DL719O2RYNGN1RZRS91K7M4TV","17","E","22012121E207","2067274011")</f>
        <v>300.01</v>
      </c>
      <c r="I1144" s="48">
        <f>[1]!BexGetData("DP_2","DL719O2RYNIY3MZ1QVCEEWBN7","17","E","22012121E207","2067274011")</f>
        <v>0</v>
      </c>
    </row>
    <row r="1145" spans="1:9" x14ac:dyDescent="0.2">
      <c r="A1145" s="46" t="s">
        <v>32</v>
      </c>
      <c r="B1145" s="46" t="s">
        <v>32</v>
      </c>
      <c r="C1145" s="46" t="s">
        <v>32</v>
      </c>
      <c r="D1145" s="46" t="s">
        <v>32</v>
      </c>
      <c r="E1145" s="46" t="s">
        <v>32</v>
      </c>
      <c r="F1145" s="47">
        <f>[1]!BexGetData("DP_2","DL719O2RYNC0Y217V0FVT1R77","17","E","22012121E207","2067291011")</f>
        <v>375</v>
      </c>
      <c r="G1145" s="48">
        <f>[1]!BexGetData("DP_2","DL719O2RYNEBZX0HTMQQ0BY0J","17","E","22012121E207","2067291011")</f>
        <v>375</v>
      </c>
      <c r="H1145" s="48">
        <f>[1]!BexGetData("DP_2","DL719O2RYNGN1RZRS91K7M4TV","17","E","22012121E207","2067291011")</f>
        <v>375</v>
      </c>
      <c r="I1145" s="48">
        <f>[1]!BexGetData("DP_2","DL719O2RYNIY3MZ1QVCEEWBN7","17","E","22012121E207","2067291011")</f>
        <v>0</v>
      </c>
    </row>
    <row r="1146" spans="1:9" x14ac:dyDescent="0.2">
      <c r="A1146" s="46" t="s">
        <v>32</v>
      </c>
      <c r="B1146" s="46" t="s">
        <v>32</v>
      </c>
      <c r="C1146" s="46" t="s">
        <v>32</v>
      </c>
      <c r="D1146" s="46" t="s">
        <v>32</v>
      </c>
      <c r="E1146" s="46" t="s">
        <v>32</v>
      </c>
      <c r="F1146" s="47">
        <f>[1]!BexGetData("DP_2","DL719O2RYNC0Y217V0FVT1R77","17","E","22012121E207","2067292011")</f>
        <v>0</v>
      </c>
      <c r="G1146" s="48">
        <f>[1]!BexGetData("DP_2","DL719O2RYNEBZX0HTMQQ0BY0J","17","E","22012121E207","2067292011")</f>
        <v>0</v>
      </c>
      <c r="H1146" s="48">
        <f>[1]!BexGetData("DP_2","DL719O2RYNGN1RZRS91K7M4TV","17","E","22012121E207","2067292011")</f>
        <v>0</v>
      </c>
      <c r="I1146" s="48">
        <f>[1]!BexGetData("DP_2","DL719O2RYNIY3MZ1QVCEEWBN7","17","E","22012121E207","2067292011")</f>
        <v>0</v>
      </c>
    </row>
    <row r="1147" spans="1:9" x14ac:dyDescent="0.2">
      <c r="A1147" s="46" t="s">
        <v>32</v>
      </c>
      <c r="B1147" s="46" t="s">
        <v>32</v>
      </c>
      <c r="C1147" s="46" t="s">
        <v>32</v>
      </c>
      <c r="D1147" s="46" t="s">
        <v>32</v>
      </c>
      <c r="E1147" s="46" t="s">
        <v>32</v>
      </c>
      <c r="F1147" s="47">
        <f>[1]!BexGetData("DP_2","DL719O2RYNC0Y217V0FVT1R77","17","E","22012121E207","2067296011")</f>
        <v>0</v>
      </c>
      <c r="G1147" s="48">
        <f>[1]!BexGetData("DP_2","DL719O2RYNEBZX0HTMQQ0BY0J","17","E","22012121E207","2067296011")</f>
        <v>0</v>
      </c>
      <c r="H1147" s="48">
        <f>[1]!BexGetData("DP_2","DL719O2RYNGN1RZRS91K7M4TV","17","E","22012121E207","2067296011")</f>
        <v>0</v>
      </c>
      <c r="I1147" s="48">
        <f>[1]!BexGetData("DP_2","DL719O2RYNIY3MZ1QVCEEWBN7","17","E","22012121E207","2067296011")</f>
        <v>0</v>
      </c>
    </row>
    <row r="1148" spans="1:9" x14ac:dyDescent="0.2">
      <c r="A1148" s="46" t="s">
        <v>32</v>
      </c>
      <c r="B1148" s="46" t="s">
        <v>32</v>
      </c>
      <c r="C1148" s="46" t="s">
        <v>32</v>
      </c>
      <c r="D1148" s="46" t="s">
        <v>32</v>
      </c>
      <c r="E1148" s="46" t="s">
        <v>32</v>
      </c>
      <c r="F1148" s="47">
        <f>[1]!BexGetData("DP_2","DL719O2RYNC0Y217V0FVT1R77","17","E","22012121E207","2067311011")</f>
        <v>100183.41</v>
      </c>
      <c r="G1148" s="48">
        <f>[1]!BexGetData("DP_2","DL719O2RYNEBZX0HTMQQ0BY0J","17","E","22012121E207","2067311011")</f>
        <v>100183.41</v>
      </c>
      <c r="H1148" s="48">
        <f>[1]!BexGetData("DP_2","DL719O2RYNGN1RZRS91K7M4TV","17","E","22012121E207","2067311011")</f>
        <v>96695.41</v>
      </c>
      <c r="I1148" s="48">
        <f>[1]!BexGetData("DP_2","DL719O2RYNIY3MZ1QVCEEWBN7","17","E","22012121E207","2067311011")</f>
        <v>0</v>
      </c>
    </row>
    <row r="1149" spans="1:9" x14ac:dyDescent="0.2">
      <c r="A1149" s="46" t="s">
        <v>32</v>
      </c>
      <c r="B1149" s="46" t="s">
        <v>32</v>
      </c>
      <c r="C1149" s="46" t="s">
        <v>32</v>
      </c>
      <c r="D1149" s="46" t="s">
        <v>32</v>
      </c>
      <c r="E1149" s="46" t="s">
        <v>32</v>
      </c>
      <c r="F1149" s="47">
        <f>[1]!BexGetData("DP_2","DL719O2RYNC0Y217V0FVT1R77","17","E","22012121E207","2067313011")</f>
        <v>7983</v>
      </c>
      <c r="G1149" s="48">
        <f>[1]!BexGetData("DP_2","DL719O2RYNEBZX0HTMQQ0BY0J","17","E","22012121E207","2067313011")</f>
        <v>7983</v>
      </c>
      <c r="H1149" s="48">
        <f>[1]!BexGetData("DP_2","DL719O2RYNGN1RZRS91K7M4TV","17","E","22012121E207","2067313011")</f>
        <v>7983</v>
      </c>
      <c r="I1149" s="48">
        <f>[1]!BexGetData("DP_2","DL719O2RYNIY3MZ1QVCEEWBN7","17","E","22012121E207","2067313011")</f>
        <v>0</v>
      </c>
    </row>
    <row r="1150" spans="1:9" x14ac:dyDescent="0.2">
      <c r="A1150" s="46" t="s">
        <v>32</v>
      </c>
      <c r="B1150" s="46" t="s">
        <v>32</v>
      </c>
      <c r="C1150" s="46" t="s">
        <v>32</v>
      </c>
      <c r="D1150" s="46" t="s">
        <v>32</v>
      </c>
      <c r="E1150" s="46" t="s">
        <v>32</v>
      </c>
      <c r="F1150" s="47">
        <f>[1]!BexGetData("DP_2","DL719O2RYNC0Y217V0FVT1R77","17","E","22012121E207","2067314011")</f>
        <v>28683.72</v>
      </c>
      <c r="G1150" s="48">
        <f>[1]!BexGetData("DP_2","DL719O2RYNEBZX0HTMQQ0BY0J","17","E","22012121E207","2067314011")</f>
        <v>28683.72</v>
      </c>
      <c r="H1150" s="48">
        <f>[1]!BexGetData("DP_2","DL719O2RYNGN1RZRS91K7M4TV","17","E","22012121E207","2067314011")</f>
        <v>28683.72</v>
      </c>
      <c r="I1150" s="48">
        <f>[1]!BexGetData("DP_2","DL719O2RYNIY3MZ1QVCEEWBN7","17","E","22012121E207","2067314011")</f>
        <v>0</v>
      </c>
    </row>
    <row r="1151" spans="1:9" x14ac:dyDescent="0.2">
      <c r="A1151" s="46" t="s">
        <v>32</v>
      </c>
      <c r="B1151" s="46" t="s">
        <v>32</v>
      </c>
      <c r="C1151" s="46" t="s">
        <v>32</v>
      </c>
      <c r="D1151" s="46" t="s">
        <v>32</v>
      </c>
      <c r="E1151" s="46" t="s">
        <v>32</v>
      </c>
      <c r="F1151" s="47">
        <f>[1]!BexGetData("DP_2","DL719O2RYNC0Y217V0FVT1R77","17","E","22012121E207","2067315011")</f>
        <v>0</v>
      </c>
      <c r="G1151" s="48">
        <f>[1]!BexGetData("DP_2","DL719O2RYNEBZX0HTMQQ0BY0J","17","E","22012121E207","2067315011")</f>
        <v>0</v>
      </c>
      <c r="H1151" s="48">
        <f>[1]!BexGetData("DP_2","DL719O2RYNGN1RZRS91K7M4TV","17","E","22012121E207","2067315011")</f>
        <v>0</v>
      </c>
      <c r="I1151" s="48">
        <f>[1]!BexGetData("DP_2","DL719O2RYNIY3MZ1QVCEEWBN7","17","E","22012121E207","2067315011")</f>
        <v>0</v>
      </c>
    </row>
    <row r="1152" spans="1:9" x14ac:dyDescent="0.2">
      <c r="A1152" s="46" t="s">
        <v>32</v>
      </c>
      <c r="B1152" s="46" t="s">
        <v>32</v>
      </c>
      <c r="C1152" s="46" t="s">
        <v>32</v>
      </c>
      <c r="D1152" s="46" t="s">
        <v>32</v>
      </c>
      <c r="E1152" s="46" t="s">
        <v>32</v>
      </c>
      <c r="F1152" s="47">
        <f>[1]!BexGetData("DP_2","DL719O2RYNC0Y217V0FVT1R77","17","E","22012121E207","2067317011")</f>
        <v>3064.84</v>
      </c>
      <c r="G1152" s="48">
        <f>[1]!BexGetData("DP_2","DL719O2RYNEBZX0HTMQQ0BY0J","17","E","22012121E207","2067317011")</f>
        <v>3064.84</v>
      </c>
      <c r="H1152" s="48">
        <f>[1]!BexGetData("DP_2","DL719O2RYNGN1RZRS91K7M4TV","17","E","22012121E207","2067317011")</f>
        <v>3064.84</v>
      </c>
      <c r="I1152" s="48">
        <f>[1]!BexGetData("DP_2","DL719O2RYNIY3MZ1QVCEEWBN7","17","E","22012121E207","2067317011")</f>
        <v>0</v>
      </c>
    </row>
    <row r="1153" spans="1:9" x14ac:dyDescent="0.2">
      <c r="A1153" s="46" t="s">
        <v>32</v>
      </c>
      <c r="B1153" s="46" t="s">
        <v>32</v>
      </c>
      <c r="C1153" s="46" t="s">
        <v>32</v>
      </c>
      <c r="D1153" s="46" t="s">
        <v>32</v>
      </c>
      <c r="E1153" s="46" t="s">
        <v>32</v>
      </c>
      <c r="F1153" s="47">
        <f>[1]!BexGetData("DP_2","DL719O2RYNC0Y217V0FVT1R77","17","E","22012121E207","2067318011")</f>
        <v>4736.68</v>
      </c>
      <c r="G1153" s="48">
        <f>[1]!BexGetData("DP_2","DL719O2RYNEBZX0HTMQQ0BY0J","17","E","22012121E207","2067318011")</f>
        <v>4736.68</v>
      </c>
      <c r="H1153" s="48">
        <f>[1]!BexGetData("DP_2","DL719O2RYNGN1RZRS91K7M4TV","17","E","22012121E207","2067318011")</f>
        <v>4736.68</v>
      </c>
      <c r="I1153" s="48">
        <f>[1]!BexGetData("DP_2","DL719O2RYNIY3MZ1QVCEEWBN7","17","E","22012121E207","2067318011")</f>
        <v>0</v>
      </c>
    </row>
    <row r="1154" spans="1:9" x14ac:dyDescent="0.2">
      <c r="A1154" s="46" t="s">
        <v>32</v>
      </c>
      <c r="B1154" s="46" t="s">
        <v>32</v>
      </c>
      <c r="C1154" s="46" t="s">
        <v>32</v>
      </c>
      <c r="D1154" s="46" t="s">
        <v>32</v>
      </c>
      <c r="E1154" s="46" t="s">
        <v>32</v>
      </c>
      <c r="F1154" s="47">
        <f>[1]!BexGetData("DP_2","DL719O2RYNC0Y217V0FVT1R77","17","E","22012121E207","2067322011")</f>
        <v>0</v>
      </c>
      <c r="G1154" s="48">
        <f>[1]!BexGetData("DP_2","DL719O2RYNEBZX0HTMQQ0BY0J","17","E","22012121E207","2067322011")</f>
        <v>0</v>
      </c>
      <c r="H1154" s="48">
        <f>[1]!BexGetData("DP_2","DL719O2RYNGN1RZRS91K7M4TV","17","E","22012121E207","2067322011")</f>
        <v>0</v>
      </c>
      <c r="I1154" s="48">
        <f>[1]!BexGetData("DP_2","DL719O2RYNIY3MZ1QVCEEWBN7","17","E","22012121E207","2067322011")</f>
        <v>0</v>
      </c>
    </row>
    <row r="1155" spans="1:9" x14ac:dyDescent="0.2">
      <c r="A1155" s="46" t="s">
        <v>32</v>
      </c>
      <c r="B1155" s="46" t="s">
        <v>32</v>
      </c>
      <c r="C1155" s="46" t="s">
        <v>32</v>
      </c>
      <c r="D1155" s="46" t="s">
        <v>32</v>
      </c>
      <c r="E1155" s="46" t="s">
        <v>32</v>
      </c>
      <c r="F1155" s="47">
        <f>[1]!BexGetData("DP_2","DL719O2RYNC0Y217V0FVT1R77","17","E","22012121E207","2067323011")</f>
        <v>162.4</v>
      </c>
      <c r="G1155" s="48">
        <f>[1]!BexGetData("DP_2","DL719O2RYNEBZX0HTMQQ0BY0J","17","E","22012121E207","2067323011")</f>
        <v>162.4</v>
      </c>
      <c r="H1155" s="48">
        <f>[1]!BexGetData("DP_2","DL719O2RYNGN1RZRS91K7M4TV","17","E","22012121E207","2067323011")</f>
        <v>162.4</v>
      </c>
      <c r="I1155" s="48">
        <f>[1]!BexGetData("DP_2","DL719O2RYNIY3MZ1QVCEEWBN7","17","E","22012121E207","2067323011")</f>
        <v>0</v>
      </c>
    </row>
    <row r="1156" spans="1:9" x14ac:dyDescent="0.2">
      <c r="A1156" s="46" t="s">
        <v>32</v>
      </c>
      <c r="B1156" s="46" t="s">
        <v>32</v>
      </c>
      <c r="C1156" s="46" t="s">
        <v>32</v>
      </c>
      <c r="D1156" s="46" t="s">
        <v>32</v>
      </c>
      <c r="E1156" s="46" t="s">
        <v>32</v>
      </c>
      <c r="F1156" s="47">
        <f>[1]!BexGetData("DP_2","DL719O2RYNC0Y217V0FVT1R77","17","E","22012121E207","2067329011")</f>
        <v>0</v>
      </c>
      <c r="G1156" s="48">
        <f>[1]!BexGetData("DP_2","DL719O2RYNEBZX0HTMQQ0BY0J","17","E","22012121E207","2067329011")</f>
        <v>0</v>
      </c>
      <c r="H1156" s="48">
        <f>[1]!BexGetData("DP_2","DL719O2RYNGN1RZRS91K7M4TV","17","E","22012121E207","2067329011")</f>
        <v>0</v>
      </c>
      <c r="I1156" s="48">
        <f>[1]!BexGetData("DP_2","DL719O2RYNIY3MZ1QVCEEWBN7","17","E","22012121E207","2067329011")</f>
        <v>0</v>
      </c>
    </row>
    <row r="1157" spans="1:9" x14ac:dyDescent="0.2">
      <c r="A1157" s="46" t="s">
        <v>32</v>
      </c>
      <c r="B1157" s="46" t="s">
        <v>32</v>
      </c>
      <c r="C1157" s="46" t="s">
        <v>32</v>
      </c>
      <c r="D1157" s="46" t="s">
        <v>32</v>
      </c>
      <c r="E1157" s="46" t="s">
        <v>32</v>
      </c>
      <c r="F1157" s="47">
        <f>[1]!BexGetData("DP_2","DL719O2RYNC0Y217V0FVT1R77","17","E","22012121E207","2067336011")</f>
        <v>118799.75</v>
      </c>
      <c r="G1157" s="48">
        <f>[1]!BexGetData("DP_2","DL719O2RYNEBZX0HTMQQ0BY0J","17","E","22012121E207","2067336011")</f>
        <v>118799.75</v>
      </c>
      <c r="H1157" s="48">
        <f>[1]!BexGetData("DP_2","DL719O2RYNGN1RZRS91K7M4TV","17","E","22012121E207","2067336011")</f>
        <v>79185.63</v>
      </c>
      <c r="I1157" s="48">
        <f>[1]!BexGetData("DP_2","DL719O2RYNIY3MZ1QVCEEWBN7","17","E","22012121E207","2067336011")</f>
        <v>0</v>
      </c>
    </row>
    <row r="1158" spans="1:9" x14ac:dyDescent="0.2">
      <c r="A1158" s="46" t="s">
        <v>32</v>
      </c>
      <c r="B1158" s="46" t="s">
        <v>32</v>
      </c>
      <c r="C1158" s="46" t="s">
        <v>32</v>
      </c>
      <c r="D1158" s="46" t="s">
        <v>32</v>
      </c>
      <c r="E1158" s="46" t="s">
        <v>32</v>
      </c>
      <c r="F1158" s="47">
        <f>[1]!BexGetData("DP_2","DL719O2RYNC0Y217V0FVT1R77","17","E","22012121E207","2067347011")</f>
        <v>6676</v>
      </c>
      <c r="G1158" s="48">
        <f>[1]!BexGetData("DP_2","DL719O2RYNEBZX0HTMQQ0BY0J","17","E","22012121E207","2067347011")</f>
        <v>6676</v>
      </c>
      <c r="H1158" s="48">
        <f>[1]!BexGetData("DP_2","DL719O2RYNGN1RZRS91K7M4TV","17","E","22012121E207","2067347011")</f>
        <v>2500</v>
      </c>
      <c r="I1158" s="48">
        <f>[1]!BexGetData("DP_2","DL719O2RYNIY3MZ1QVCEEWBN7","17","E","22012121E207","2067347011")</f>
        <v>0</v>
      </c>
    </row>
    <row r="1159" spans="1:9" x14ac:dyDescent="0.2">
      <c r="A1159" s="46" t="s">
        <v>32</v>
      </c>
      <c r="B1159" s="46" t="s">
        <v>32</v>
      </c>
      <c r="C1159" s="46" t="s">
        <v>32</v>
      </c>
      <c r="D1159" s="46" t="s">
        <v>32</v>
      </c>
      <c r="E1159" s="46" t="s">
        <v>32</v>
      </c>
      <c r="F1159" s="47">
        <f>[1]!BexGetData("DP_2","DL719O2RYNC0Y217V0FVT1R77","17","E","22012121E207","2067351011")</f>
        <v>655921.14</v>
      </c>
      <c r="G1159" s="48">
        <f>[1]!BexGetData("DP_2","DL719O2RYNEBZX0HTMQQ0BY0J","17","E","22012121E207","2067351011")</f>
        <v>655921.14</v>
      </c>
      <c r="H1159" s="48">
        <f>[1]!BexGetData("DP_2","DL719O2RYNGN1RZRS91K7M4TV","17","E","22012121E207","2067351011")</f>
        <v>1670.4</v>
      </c>
      <c r="I1159" s="48">
        <f>[1]!BexGetData("DP_2","DL719O2RYNIY3MZ1QVCEEWBN7","17","E","22012121E207","2067351011")</f>
        <v>0</v>
      </c>
    </row>
    <row r="1160" spans="1:9" x14ac:dyDescent="0.2">
      <c r="A1160" s="46" t="s">
        <v>32</v>
      </c>
      <c r="B1160" s="46" t="s">
        <v>32</v>
      </c>
      <c r="C1160" s="46" t="s">
        <v>32</v>
      </c>
      <c r="D1160" s="46" t="s">
        <v>32</v>
      </c>
      <c r="E1160" s="46" t="s">
        <v>32</v>
      </c>
      <c r="F1160" s="47">
        <f>[1]!BexGetData("DP_2","DL719O2RYNC0Y217V0FVT1R77","17","E","22012121E207","2067353011")</f>
        <v>0</v>
      </c>
      <c r="G1160" s="48">
        <f>[1]!BexGetData("DP_2","DL719O2RYNEBZX0HTMQQ0BY0J","17","E","22012121E207","2067353011")</f>
        <v>0</v>
      </c>
      <c r="H1160" s="48">
        <f>[1]!BexGetData("DP_2","DL719O2RYNGN1RZRS91K7M4TV","17","E","22012121E207","2067353011")</f>
        <v>0</v>
      </c>
      <c r="I1160" s="48">
        <f>[1]!BexGetData("DP_2","DL719O2RYNIY3MZ1QVCEEWBN7","17","E","22012121E207","2067353011")</f>
        <v>0</v>
      </c>
    </row>
    <row r="1161" spans="1:9" x14ac:dyDescent="0.2">
      <c r="A1161" s="46" t="s">
        <v>32</v>
      </c>
      <c r="B1161" s="46" t="s">
        <v>32</v>
      </c>
      <c r="C1161" s="46" t="s">
        <v>32</v>
      </c>
      <c r="D1161" s="46" t="s">
        <v>32</v>
      </c>
      <c r="E1161" s="46" t="s">
        <v>32</v>
      </c>
      <c r="F1161" s="47">
        <f>[1]!BexGetData("DP_2","DL719O2RYNC0Y217V0FVT1R77","17","E","22012121E207","2067355011")</f>
        <v>12243.28</v>
      </c>
      <c r="G1161" s="48">
        <f>[1]!BexGetData("DP_2","DL719O2RYNEBZX0HTMQQ0BY0J","17","E","22012121E207","2067355011")</f>
        <v>12243.28</v>
      </c>
      <c r="H1161" s="48">
        <f>[1]!BexGetData("DP_2","DL719O2RYNGN1RZRS91K7M4TV","17","E","22012121E207","2067355011")</f>
        <v>9813.08</v>
      </c>
      <c r="I1161" s="48">
        <f>[1]!BexGetData("DP_2","DL719O2RYNIY3MZ1QVCEEWBN7","17","E","22012121E207","2067355011")</f>
        <v>0</v>
      </c>
    </row>
    <row r="1162" spans="1:9" x14ac:dyDescent="0.2">
      <c r="A1162" s="46" t="s">
        <v>32</v>
      </c>
      <c r="B1162" s="46" t="s">
        <v>32</v>
      </c>
      <c r="C1162" s="46" t="s">
        <v>32</v>
      </c>
      <c r="D1162" s="46" t="s">
        <v>32</v>
      </c>
      <c r="E1162" s="46" t="s">
        <v>32</v>
      </c>
      <c r="F1162" s="47">
        <f>[1]!BexGetData("DP_2","DL719O2RYNC0Y217V0FVT1R77","17","E","22012121E207","2067371011")</f>
        <v>40415.519999999997</v>
      </c>
      <c r="G1162" s="48">
        <f>[1]!BexGetData("DP_2","DL719O2RYNEBZX0HTMQQ0BY0J","17","E","22012121E207","2067371011")</f>
        <v>40415.519999999997</v>
      </c>
      <c r="H1162" s="48">
        <f>[1]!BexGetData("DP_2","DL719O2RYNGN1RZRS91K7M4TV","17","E","22012121E207","2067371011")</f>
        <v>11187</v>
      </c>
      <c r="I1162" s="48">
        <f>[1]!BexGetData("DP_2","DL719O2RYNIY3MZ1QVCEEWBN7","17","E","22012121E207","2067371011")</f>
        <v>0</v>
      </c>
    </row>
    <row r="1163" spans="1:9" x14ac:dyDescent="0.2">
      <c r="A1163" s="46" t="s">
        <v>32</v>
      </c>
      <c r="B1163" s="46" t="s">
        <v>32</v>
      </c>
      <c r="C1163" s="46" t="s">
        <v>32</v>
      </c>
      <c r="D1163" s="46" t="s">
        <v>32</v>
      </c>
      <c r="E1163" s="46" t="s">
        <v>32</v>
      </c>
      <c r="F1163" s="47">
        <f>[1]!BexGetData("DP_2","DL719O2RYNC0Y217V0FVT1R77","17","E","22012121E207","2067372011")</f>
        <v>4891</v>
      </c>
      <c r="G1163" s="48">
        <f>[1]!BexGetData("DP_2","DL719O2RYNEBZX0HTMQQ0BY0J","17","E","22012121E207","2067372011")</f>
        <v>4891</v>
      </c>
      <c r="H1163" s="48">
        <f>[1]!BexGetData("DP_2","DL719O2RYNGN1RZRS91K7M4TV","17","E","22012121E207","2067372011")</f>
        <v>4891</v>
      </c>
      <c r="I1163" s="48">
        <f>[1]!BexGetData("DP_2","DL719O2RYNIY3MZ1QVCEEWBN7","17","E","22012121E207","2067372011")</f>
        <v>0</v>
      </c>
    </row>
    <row r="1164" spans="1:9" x14ac:dyDescent="0.2">
      <c r="A1164" s="46" t="s">
        <v>32</v>
      </c>
      <c r="B1164" s="46" t="s">
        <v>32</v>
      </c>
      <c r="C1164" s="46" t="s">
        <v>32</v>
      </c>
      <c r="D1164" s="46" t="s">
        <v>32</v>
      </c>
      <c r="E1164" s="46" t="s">
        <v>32</v>
      </c>
      <c r="F1164" s="47">
        <f>[1]!BexGetData("DP_2","DL719O2RYNC0Y217V0FVT1R77","17","E","22012121E207","2067375011")</f>
        <v>12364.99</v>
      </c>
      <c r="G1164" s="48">
        <f>[1]!BexGetData("DP_2","DL719O2RYNEBZX0HTMQQ0BY0J","17","E","22012121E207","2067375011")</f>
        <v>12364.99</v>
      </c>
      <c r="H1164" s="48">
        <f>[1]!BexGetData("DP_2","DL719O2RYNGN1RZRS91K7M4TV","17","E","22012121E207","2067375011")</f>
        <v>12364.99</v>
      </c>
      <c r="I1164" s="48">
        <f>[1]!BexGetData("DP_2","DL719O2RYNIY3MZ1QVCEEWBN7","17","E","22012121E207","2067375011")</f>
        <v>0</v>
      </c>
    </row>
    <row r="1165" spans="1:9" x14ac:dyDescent="0.2">
      <c r="A1165" s="46" t="s">
        <v>32</v>
      </c>
      <c r="B1165" s="46" t="s">
        <v>32</v>
      </c>
      <c r="C1165" s="46" t="s">
        <v>32</v>
      </c>
      <c r="D1165" s="46" t="s">
        <v>32</v>
      </c>
      <c r="E1165" s="46" t="s">
        <v>32</v>
      </c>
      <c r="F1165" s="47">
        <f>[1]!BexGetData("DP_2","DL719O2RYNC0Y217V0FVT1R77","17","E","22012121E207","2067382011")</f>
        <v>0</v>
      </c>
      <c r="G1165" s="48">
        <f>[1]!BexGetData("DP_2","DL719O2RYNEBZX0HTMQQ0BY0J","17","E","22012121E207","2067382011")</f>
        <v>0</v>
      </c>
      <c r="H1165" s="48">
        <f>[1]!BexGetData("DP_2","DL719O2RYNGN1RZRS91K7M4TV","17","E","22012121E207","2067382011")</f>
        <v>0</v>
      </c>
      <c r="I1165" s="48">
        <f>[1]!BexGetData("DP_2","DL719O2RYNIY3MZ1QVCEEWBN7","17","E","22012121E207","2067382011")</f>
        <v>0</v>
      </c>
    </row>
    <row r="1166" spans="1:9" x14ac:dyDescent="0.2">
      <c r="A1166" s="46" t="s">
        <v>32</v>
      </c>
      <c r="B1166" s="46" t="s">
        <v>32</v>
      </c>
      <c r="C1166" s="46" t="s">
        <v>32</v>
      </c>
      <c r="D1166" s="46" t="s">
        <v>32</v>
      </c>
      <c r="E1166" s="46" t="s">
        <v>32</v>
      </c>
      <c r="F1166" s="47">
        <f>[1]!BexGetData("DP_2","DL719O2RYNC0Y217V0FVT1R77","17","E","22012121E207","2067382021")</f>
        <v>6112</v>
      </c>
      <c r="G1166" s="48">
        <f>[1]!BexGetData("DP_2","DL719O2RYNEBZX0HTMQQ0BY0J","17","E","22012121E207","2067382021")</f>
        <v>6112</v>
      </c>
      <c r="H1166" s="48">
        <f>[1]!BexGetData("DP_2","DL719O2RYNGN1RZRS91K7M4TV","17","E","22012121E207","2067382021")</f>
        <v>6112</v>
      </c>
      <c r="I1166" s="48">
        <f>[1]!BexGetData("DP_2","DL719O2RYNIY3MZ1QVCEEWBN7","17","E","22012121E207","2067382021")</f>
        <v>0</v>
      </c>
    </row>
    <row r="1167" spans="1:9" x14ac:dyDescent="0.2">
      <c r="A1167" s="46" t="s">
        <v>32</v>
      </c>
      <c r="B1167" s="46" t="s">
        <v>32</v>
      </c>
      <c r="C1167" s="46" t="s">
        <v>32</v>
      </c>
      <c r="D1167" s="46" t="s">
        <v>32</v>
      </c>
      <c r="E1167" s="46" t="s">
        <v>32</v>
      </c>
      <c r="F1167" s="47">
        <f>[1]!BexGetData("DP_2","DL719O2RYNC0Y217V0FVT1R77","17","E","22012121E207","2067392011")</f>
        <v>1000</v>
      </c>
      <c r="G1167" s="48">
        <f>[1]!BexGetData("DP_2","DL719O2RYNEBZX0HTMQQ0BY0J","17","E","22012121E207","2067392011")</f>
        <v>1000</v>
      </c>
      <c r="H1167" s="48">
        <f>[1]!BexGetData("DP_2","DL719O2RYNGN1RZRS91K7M4TV","17","E","22012121E207","2067392011")</f>
        <v>1000</v>
      </c>
      <c r="I1167" s="48">
        <f>[1]!BexGetData("DP_2","DL719O2RYNIY3MZ1QVCEEWBN7","17","E","22012121E207","2067392011")</f>
        <v>0</v>
      </c>
    </row>
    <row r="1168" spans="1:9" x14ac:dyDescent="0.2">
      <c r="A1168" s="46" t="s">
        <v>32</v>
      </c>
      <c r="B1168" s="46" t="s">
        <v>32</v>
      </c>
      <c r="C1168" s="46" t="s">
        <v>32</v>
      </c>
      <c r="D1168" s="46" t="s">
        <v>32</v>
      </c>
      <c r="E1168" s="46" t="s">
        <v>32</v>
      </c>
      <c r="F1168" s="47">
        <f>[1]!BexGetData("DP_2","DL719O2RYNC0Y217V0FVT1R77","17","E","22012121E207","2067399031")</f>
        <v>417.6</v>
      </c>
      <c r="G1168" s="48">
        <f>[1]!BexGetData("DP_2","DL719O2RYNEBZX0HTMQQ0BY0J","17","E","22012121E207","2067399031")</f>
        <v>417.6</v>
      </c>
      <c r="H1168" s="48">
        <f>[1]!BexGetData("DP_2","DL719O2RYNGN1RZRS91K7M4TV","17","E","22012121E207","2067399031")</f>
        <v>417.6</v>
      </c>
      <c r="I1168" s="48">
        <f>[1]!BexGetData("DP_2","DL719O2RYNIY3MZ1QVCEEWBN7","17","E","22012121E207","2067399031")</f>
        <v>0</v>
      </c>
    </row>
    <row r="1169" spans="1:9" x14ac:dyDescent="0.2">
      <c r="A1169" s="46" t="s">
        <v>32</v>
      </c>
      <c r="B1169" s="46" t="s">
        <v>32</v>
      </c>
      <c r="C1169" s="46" t="s">
        <v>108</v>
      </c>
      <c r="D1169" s="46" t="s">
        <v>109</v>
      </c>
      <c r="E1169" s="46" t="s">
        <v>32</v>
      </c>
      <c r="F1169" s="47">
        <f>[1]!BexGetData("DP_2","DL719O2RYNC0Y217V0FVT1R77","17","E","22012121E208","2067382011")</f>
        <v>0</v>
      </c>
      <c r="G1169" s="48">
        <f>[1]!BexGetData("DP_2","DL719O2RYNEBZX0HTMQQ0BY0J","17","E","22012121E208","2067382011")</f>
        <v>0</v>
      </c>
      <c r="H1169" s="48">
        <f>[1]!BexGetData("DP_2","DL719O2RYNGN1RZRS91K7M4TV","17","E","22012121E208","2067382011")</f>
        <v>0</v>
      </c>
      <c r="I1169" s="48">
        <f>[1]!BexGetData("DP_2","DL719O2RYNIY3MZ1QVCEEWBN7","17","E","22012121E208","2067382011")</f>
        <v>0</v>
      </c>
    </row>
    <row r="1170" spans="1:9" x14ac:dyDescent="0.2">
      <c r="A1170" s="46" t="s">
        <v>32</v>
      </c>
      <c r="B1170" s="46" t="s">
        <v>32</v>
      </c>
      <c r="C1170" s="46" t="s">
        <v>107</v>
      </c>
      <c r="D1170" s="46" t="s">
        <v>110</v>
      </c>
      <c r="E1170" s="46" t="s">
        <v>32</v>
      </c>
      <c r="F1170" s="49" t="str">
        <f>[1]!BexGetData("DP_2","DL719O2RYNC0Y217V0FVT1R77","17","E","22012121E209","2067154011")</f>
        <v/>
      </c>
      <c r="G1170" s="48">
        <f>[1]!BexGetData("DP_2","DL719O2RYNEBZX0HTMQQ0BY0J","17","E","22012121E209","2067154011")</f>
        <v>0</v>
      </c>
      <c r="H1170" s="48">
        <f>[1]!BexGetData("DP_2","DL719O2RYNGN1RZRS91K7M4TV","17","E","22012121E209","2067154011")</f>
        <v>0</v>
      </c>
      <c r="I1170" s="48">
        <f>[1]!BexGetData("DP_2","DL719O2RYNIY3MZ1QVCEEWBN7","17","E","22012121E209","2067154011")</f>
        <v>0</v>
      </c>
    </row>
    <row r="1171" spans="1:9" x14ac:dyDescent="0.2">
      <c r="A1171" s="46" t="s">
        <v>32</v>
      </c>
      <c r="B1171" s="46" t="s">
        <v>32</v>
      </c>
      <c r="C1171" s="46" t="s">
        <v>111</v>
      </c>
      <c r="D1171" s="46" t="s">
        <v>111</v>
      </c>
      <c r="E1171" s="46" t="s">
        <v>32</v>
      </c>
      <c r="F1171" s="47">
        <f>[1]!BexGetData("DP_2","DL719O2RYNC0Y217V0FVT1R77","17","E","22013071E207","2067113011")</f>
        <v>1964171.18</v>
      </c>
      <c r="G1171" s="48">
        <f>[1]!BexGetData("DP_2","DL719O2RYNEBZX0HTMQQ0BY0J","17","E","22013071E207","2067113011")</f>
        <v>1964171.18</v>
      </c>
      <c r="H1171" s="48">
        <f>[1]!BexGetData("DP_2","DL719O2RYNGN1RZRS91K7M4TV","17","E","22013071E207","2067113011")</f>
        <v>1964171.18</v>
      </c>
      <c r="I1171" s="48">
        <f>[1]!BexGetData("DP_2","DL719O2RYNIY3MZ1QVCEEWBN7","17","E","22013071E207","2067113011")</f>
        <v>0</v>
      </c>
    </row>
    <row r="1172" spans="1:9" x14ac:dyDescent="0.2">
      <c r="A1172" s="46" t="s">
        <v>32</v>
      </c>
      <c r="B1172" s="46" t="s">
        <v>32</v>
      </c>
      <c r="C1172" s="46" t="s">
        <v>32</v>
      </c>
      <c r="D1172" s="46" t="s">
        <v>32</v>
      </c>
      <c r="E1172" s="46" t="s">
        <v>32</v>
      </c>
      <c r="F1172" s="47">
        <f>[1]!BexGetData("DP_2","DL719O2RYNC0Y217V0FVT1R77","17","E","22013071E207","2067113021")</f>
        <v>699237.89</v>
      </c>
      <c r="G1172" s="48">
        <f>[1]!BexGetData("DP_2","DL719O2RYNEBZX0HTMQQ0BY0J","17","E","22013071E207","2067113021")</f>
        <v>699237.89</v>
      </c>
      <c r="H1172" s="48">
        <f>[1]!BexGetData("DP_2","DL719O2RYNGN1RZRS91K7M4TV","17","E","22013071E207","2067113021")</f>
        <v>699237.89</v>
      </c>
      <c r="I1172" s="48">
        <f>[1]!BexGetData("DP_2","DL719O2RYNIY3MZ1QVCEEWBN7","17","E","22013071E207","2067113021")</f>
        <v>0</v>
      </c>
    </row>
    <row r="1173" spans="1:9" x14ac:dyDescent="0.2">
      <c r="A1173" s="46" t="s">
        <v>32</v>
      </c>
      <c r="B1173" s="46" t="s">
        <v>32</v>
      </c>
      <c r="C1173" s="46" t="s">
        <v>32</v>
      </c>
      <c r="D1173" s="46" t="s">
        <v>32</v>
      </c>
      <c r="E1173" s="46" t="s">
        <v>32</v>
      </c>
      <c r="F1173" s="47">
        <f>[1]!BexGetData("DP_2","DL719O2RYNC0Y217V0FVT1R77","17","E","22013071E207","2067122011")</f>
        <v>0</v>
      </c>
      <c r="G1173" s="48">
        <f>[1]!BexGetData("DP_2","DL719O2RYNEBZX0HTMQQ0BY0J","17","E","22013071E207","2067122011")</f>
        <v>0</v>
      </c>
      <c r="H1173" s="48">
        <f>[1]!BexGetData("DP_2","DL719O2RYNGN1RZRS91K7M4TV","17","E","22013071E207","2067122011")</f>
        <v>0</v>
      </c>
      <c r="I1173" s="48">
        <f>[1]!BexGetData("DP_2","DL719O2RYNIY3MZ1QVCEEWBN7","17","E","22013071E207","2067122011")</f>
        <v>0</v>
      </c>
    </row>
    <row r="1174" spans="1:9" x14ac:dyDescent="0.2">
      <c r="A1174" s="46" t="s">
        <v>32</v>
      </c>
      <c r="B1174" s="46" t="s">
        <v>32</v>
      </c>
      <c r="C1174" s="46" t="s">
        <v>32</v>
      </c>
      <c r="D1174" s="46" t="s">
        <v>32</v>
      </c>
      <c r="E1174" s="46" t="s">
        <v>32</v>
      </c>
      <c r="F1174" s="47">
        <f>[1]!BexGetData("DP_2","DL719O2RYNC0Y217V0FVT1R77","17","E","22013071E207","2067131011")</f>
        <v>474646.09</v>
      </c>
      <c r="G1174" s="48">
        <f>[1]!BexGetData("DP_2","DL719O2RYNEBZX0HTMQQ0BY0J","17","E","22013071E207","2067131011")</f>
        <v>474646.09</v>
      </c>
      <c r="H1174" s="48">
        <f>[1]!BexGetData("DP_2","DL719O2RYNGN1RZRS91K7M4TV","17","E","22013071E207","2067131011")</f>
        <v>474646.09</v>
      </c>
      <c r="I1174" s="48">
        <f>[1]!BexGetData("DP_2","DL719O2RYNIY3MZ1QVCEEWBN7","17","E","22013071E207","2067131011")</f>
        <v>0</v>
      </c>
    </row>
    <row r="1175" spans="1:9" x14ac:dyDescent="0.2">
      <c r="A1175" s="46" t="s">
        <v>32</v>
      </c>
      <c r="B1175" s="46" t="s">
        <v>32</v>
      </c>
      <c r="C1175" s="46" t="s">
        <v>32</v>
      </c>
      <c r="D1175" s="46" t="s">
        <v>32</v>
      </c>
      <c r="E1175" s="46" t="s">
        <v>32</v>
      </c>
      <c r="F1175" s="47">
        <f>[1]!BexGetData("DP_2","DL719O2RYNC0Y217V0FVT1R77","17","E","22013071E207","2067131021")</f>
        <v>38920.99</v>
      </c>
      <c r="G1175" s="48">
        <f>[1]!BexGetData("DP_2","DL719O2RYNEBZX0HTMQQ0BY0J","17","E","22013071E207","2067131021")</f>
        <v>38920.99</v>
      </c>
      <c r="H1175" s="48">
        <f>[1]!BexGetData("DP_2","DL719O2RYNGN1RZRS91K7M4TV","17","E","22013071E207","2067131021")</f>
        <v>38920.99</v>
      </c>
      <c r="I1175" s="48">
        <f>[1]!BexGetData("DP_2","DL719O2RYNIY3MZ1QVCEEWBN7","17","E","22013071E207","2067131021")</f>
        <v>0</v>
      </c>
    </row>
    <row r="1176" spans="1:9" x14ac:dyDescent="0.2">
      <c r="A1176" s="46" t="s">
        <v>32</v>
      </c>
      <c r="B1176" s="46" t="s">
        <v>32</v>
      </c>
      <c r="C1176" s="46" t="s">
        <v>32</v>
      </c>
      <c r="D1176" s="46" t="s">
        <v>32</v>
      </c>
      <c r="E1176" s="46" t="s">
        <v>32</v>
      </c>
      <c r="F1176" s="47">
        <f>[1]!BexGetData("DP_2","DL719O2RYNC0Y217V0FVT1R77","17","E","22013071E207","2067132011")</f>
        <v>156850.07</v>
      </c>
      <c r="G1176" s="48">
        <f>[1]!BexGetData("DP_2","DL719O2RYNEBZX0HTMQQ0BY0J","17","E","22013071E207","2067132011")</f>
        <v>156850.07</v>
      </c>
      <c r="H1176" s="48">
        <f>[1]!BexGetData("DP_2","DL719O2RYNGN1RZRS91K7M4TV","17","E","22013071E207","2067132011")</f>
        <v>156850.07</v>
      </c>
      <c r="I1176" s="48">
        <f>[1]!BexGetData("DP_2","DL719O2RYNIY3MZ1QVCEEWBN7","17","E","22013071E207","2067132011")</f>
        <v>0</v>
      </c>
    </row>
    <row r="1177" spans="1:9" x14ac:dyDescent="0.2">
      <c r="A1177" s="46" t="s">
        <v>32</v>
      </c>
      <c r="B1177" s="46" t="s">
        <v>32</v>
      </c>
      <c r="C1177" s="46" t="s">
        <v>32</v>
      </c>
      <c r="D1177" s="46" t="s">
        <v>32</v>
      </c>
      <c r="E1177" s="46" t="s">
        <v>32</v>
      </c>
      <c r="F1177" s="47">
        <f>[1]!BexGetData("DP_2","DL719O2RYNC0Y217V0FVT1R77","17","E","22013071E207","2067132021")</f>
        <v>575175.74</v>
      </c>
      <c r="G1177" s="48">
        <f>[1]!BexGetData("DP_2","DL719O2RYNEBZX0HTMQQ0BY0J","17","E","22013071E207","2067132021")</f>
        <v>575175.74</v>
      </c>
      <c r="H1177" s="48">
        <f>[1]!BexGetData("DP_2","DL719O2RYNGN1RZRS91K7M4TV","17","E","22013071E207","2067132021")</f>
        <v>575175.74</v>
      </c>
      <c r="I1177" s="48">
        <f>[1]!BexGetData("DP_2","DL719O2RYNIY3MZ1QVCEEWBN7","17","E","22013071E207","2067132021")</f>
        <v>0</v>
      </c>
    </row>
    <row r="1178" spans="1:9" x14ac:dyDescent="0.2">
      <c r="A1178" s="46" t="s">
        <v>32</v>
      </c>
      <c r="B1178" s="46" t="s">
        <v>32</v>
      </c>
      <c r="C1178" s="46" t="s">
        <v>32</v>
      </c>
      <c r="D1178" s="46" t="s">
        <v>32</v>
      </c>
      <c r="E1178" s="46" t="s">
        <v>32</v>
      </c>
      <c r="F1178" s="47">
        <f>[1]!BexGetData("DP_2","DL719O2RYNC0Y217V0FVT1R77","17","E","22013071E207","2067133011")</f>
        <v>1085.5999999999999</v>
      </c>
      <c r="G1178" s="48">
        <f>[1]!BexGetData("DP_2","DL719O2RYNEBZX0HTMQQ0BY0J","17","E","22013071E207","2067133011")</f>
        <v>1085.5999999999999</v>
      </c>
      <c r="H1178" s="48">
        <f>[1]!BexGetData("DP_2","DL719O2RYNGN1RZRS91K7M4TV","17","E","22013071E207","2067133011")</f>
        <v>1085.5999999999999</v>
      </c>
      <c r="I1178" s="48">
        <f>[1]!BexGetData("DP_2","DL719O2RYNIY3MZ1QVCEEWBN7","17","E","22013071E207","2067133011")</f>
        <v>0</v>
      </c>
    </row>
    <row r="1179" spans="1:9" x14ac:dyDescent="0.2">
      <c r="A1179" s="46" t="s">
        <v>32</v>
      </c>
      <c r="B1179" s="46" t="s">
        <v>32</v>
      </c>
      <c r="C1179" s="46" t="s">
        <v>32</v>
      </c>
      <c r="D1179" s="46" t="s">
        <v>32</v>
      </c>
      <c r="E1179" s="46" t="s">
        <v>32</v>
      </c>
      <c r="F1179" s="47">
        <f>[1]!BexGetData("DP_2","DL719O2RYNC0Y217V0FVT1R77","17","E","22013071E207","2067134011")</f>
        <v>229403.36</v>
      </c>
      <c r="G1179" s="48">
        <f>[1]!BexGetData("DP_2","DL719O2RYNEBZX0HTMQQ0BY0J","17","E","22013071E207","2067134011")</f>
        <v>229403.36</v>
      </c>
      <c r="H1179" s="48">
        <f>[1]!BexGetData("DP_2","DL719O2RYNGN1RZRS91K7M4TV","17","E","22013071E207","2067134011")</f>
        <v>232537.51</v>
      </c>
      <c r="I1179" s="48">
        <f>[1]!BexGetData("DP_2","DL719O2RYNIY3MZ1QVCEEWBN7","17","E","22013071E207","2067134011")</f>
        <v>0</v>
      </c>
    </row>
    <row r="1180" spans="1:9" x14ac:dyDescent="0.2">
      <c r="A1180" s="46" t="s">
        <v>32</v>
      </c>
      <c r="B1180" s="46" t="s">
        <v>32</v>
      </c>
      <c r="C1180" s="46" t="s">
        <v>32</v>
      </c>
      <c r="D1180" s="46" t="s">
        <v>32</v>
      </c>
      <c r="E1180" s="46" t="s">
        <v>32</v>
      </c>
      <c r="F1180" s="47">
        <f>[1]!BexGetData("DP_2","DL719O2RYNC0Y217V0FVT1R77","17","E","22013071E207","2067134021")</f>
        <v>808167.78</v>
      </c>
      <c r="G1180" s="48">
        <f>[1]!BexGetData("DP_2","DL719O2RYNEBZX0HTMQQ0BY0J","17","E","22013071E207","2067134021")</f>
        <v>808167.78</v>
      </c>
      <c r="H1180" s="48">
        <f>[1]!BexGetData("DP_2","DL719O2RYNGN1RZRS91K7M4TV","17","E","22013071E207","2067134021")</f>
        <v>808167.78</v>
      </c>
      <c r="I1180" s="48">
        <f>[1]!BexGetData("DP_2","DL719O2RYNIY3MZ1QVCEEWBN7","17","E","22013071E207","2067134021")</f>
        <v>0</v>
      </c>
    </row>
    <row r="1181" spans="1:9" x14ac:dyDescent="0.2">
      <c r="A1181" s="46" t="s">
        <v>32</v>
      </c>
      <c r="B1181" s="46" t="s">
        <v>32</v>
      </c>
      <c r="C1181" s="46" t="s">
        <v>32</v>
      </c>
      <c r="D1181" s="46" t="s">
        <v>32</v>
      </c>
      <c r="E1181" s="46" t="s">
        <v>32</v>
      </c>
      <c r="F1181" s="47">
        <f>[1]!BexGetData("DP_2","DL719O2RYNC0Y217V0FVT1R77","17","E","22013071E207","2067141011")</f>
        <v>496262.68</v>
      </c>
      <c r="G1181" s="48">
        <f>[1]!BexGetData("DP_2","DL719O2RYNEBZX0HTMQQ0BY0J","17","E","22013071E207","2067141011")</f>
        <v>496262.68</v>
      </c>
      <c r="H1181" s="48">
        <f>[1]!BexGetData("DP_2","DL719O2RYNGN1RZRS91K7M4TV","17","E","22013071E207","2067141011")</f>
        <v>496262.68</v>
      </c>
      <c r="I1181" s="48">
        <f>[1]!BexGetData("DP_2","DL719O2RYNIY3MZ1QVCEEWBN7","17","E","22013071E207","2067141011")</f>
        <v>0</v>
      </c>
    </row>
    <row r="1182" spans="1:9" x14ac:dyDescent="0.2">
      <c r="A1182" s="46" t="s">
        <v>32</v>
      </c>
      <c r="B1182" s="46" t="s">
        <v>32</v>
      </c>
      <c r="C1182" s="46" t="s">
        <v>32</v>
      </c>
      <c r="D1182" s="46" t="s">
        <v>32</v>
      </c>
      <c r="E1182" s="46" t="s">
        <v>32</v>
      </c>
      <c r="F1182" s="47">
        <f>[1]!BexGetData("DP_2","DL719O2RYNC0Y217V0FVT1R77","17","E","22013071E207","2067141021")</f>
        <v>161475.98000000001</v>
      </c>
      <c r="G1182" s="48">
        <f>[1]!BexGetData("DP_2","DL719O2RYNEBZX0HTMQQ0BY0J","17","E","22013071E207","2067141021")</f>
        <v>161475.98000000001</v>
      </c>
      <c r="H1182" s="48">
        <f>[1]!BexGetData("DP_2","DL719O2RYNGN1RZRS91K7M4TV","17","E","22013071E207","2067141021")</f>
        <v>161475.98000000001</v>
      </c>
      <c r="I1182" s="48">
        <f>[1]!BexGetData("DP_2","DL719O2RYNIY3MZ1QVCEEWBN7","17","E","22013071E207","2067141021")</f>
        <v>0</v>
      </c>
    </row>
    <row r="1183" spans="1:9" x14ac:dyDescent="0.2">
      <c r="A1183" s="46" t="s">
        <v>32</v>
      </c>
      <c r="B1183" s="46" t="s">
        <v>32</v>
      </c>
      <c r="C1183" s="46" t="s">
        <v>32</v>
      </c>
      <c r="D1183" s="46" t="s">
        <v>32</v>
      </c>
      <c r="E1183" s="46" t="s">
        <v>32</v>
      </c>
      <c r="F1183" s="47">
        <f>[1]!BexGetData("DP_2","DL719O2RYNC0Y217V0FVT1R77","17","E","22013071E207","2067143011")</f>
        <v>76832.45</v>
      </c>
      <c r="G1183" s="48">
        <f>[1]!BexGetData("DP_2","DL719O2RYNEBZX0HTMQQ0BY0J","17","E","22013071E207","2067143011")</f>
        <v>76832.45</v>
      </c>
      <c r="H1183" s="48">
        <f>[1]!BexGetData("DP_2","DL719O2RYNGN1RZRS91K7M4TV","17","E","22013071E207","2067143011")</f>
        <v>76832.45</v>
      </c>
      <c r="I1183" s="48">
        <f>[1]!BexGetData("DP_2","DL719O2RYNIY3MZ1QVCEEWBN7","17","E","22013071E207","2067143011")</f>
        <v>0</v>
      </c>
    </row>
    <row r="1184" spans="1:9" x14ac:dyDescent="0.2">
      <c r="A1184" s="46" t="s">
        <v>32</v>
      </c>
      <c r="B1184" s="46" t="s">
        <v>32</v>
      </c>
      <c r="C1184" s="46" t="s">
        <v>32</v>
      </c>
      <c r="D1184" s="46" t="s">
        <v>32</v>
      </c>
      <c r="E1184" s="46" t="s">
        <v>32</v>
      </c>
      <c r="F1184" s="47">
        <f>[1]!BexGetData("DP_2","DL719O2RYNC0Y217V0FVT1R77","17","E","22013071E207","2067151011")</f>
        <v>319740</v>
      </c>
      <c r="G1184" s="48">
        <f>[1]!BexGetData("DP_2","DL719O2RYNEBZX0HTMQQ0BY0J","17","E","22013071E207","2067151011")</f>
        <v>319740</v>
      </c>
      <c r="H1184" s="48">
        <f>[1]!BexGetData("DP_2","DL719O2RYNGN1RZRS91K7M4TV","17","E","22013071E207","2067151011")</f>
        <v>319740</v>
      </c>
      <c r="I1184" s="48">
        <f>[1]!BexGetData("DP_2","DL719O2RYNIY3MZ1QVCEEWBN7","17","E","22013071E207","2067151011")</f>
        <v>0</v>
      </c>
    </row>
    <row r="1185" spans="1:9" x14ac:dyDescent="0.2">
      <c r="A1185" s="46" t="s">
        <v>32</v>
      </c>
      <c r="B1185" s="46" t="s">
        <v>32</v>
      </c>
      <c r="C1185" s="46" t="s">
        <v>32</v>
      </c>
      <c r="D1185" s="46" t="s">
        <v>32</v>
      </c>
      <c r="E1185" s="46" t="s">
        <v>32</v>
      </c>
      <c r="F1185" s="47">
        <f>[1]!BexGetData("DP_2","DL719O2RYNC0Y217V0FVT1R77","17","E","22013071E207","2067154011")</f>
        <v>1503014.43</v>
      </c>
      <c r="G1185" s="48">
        <f>[1]!BexGetData("DP_2","DL719O2RYNEBZX0HTMQQ0BY0J","17","E","22013071E207","2067154011")</f>
        <v>1503014.43</v>
      </c>
      <c r="H1185" s="48">
        <f>[1]!BexGetData("DP_2","DL719O2RYNGN1RZRS91K7M4TV","17","E","22013071E207","2067154011")</f>
        <v>1503014.43</v>
      </c>
      <c r="I1185" s="48">
        <f>[1]!BexGetData("DP_2","DL719O2RYNIY3MZ1QVCEEWBN7","17","E","22013071E207","2067154011")</f>
        <v>0</v>
      </c>
    </row>
    <row r="1186" spans="1:9" x14ac:dyDescent="0.2">
      <c r="A1186" s="46" t="s">
        <v>32</v>
      </c>
      <c r="B1186" s="46" t="s">
        <v>32</v>
      </c>
      <c r="C1186" s="46" t="s">
        <v>32</v>
      </c>
      <c r="D1186" s="46" t="s">
        <v>32</v>
      </c>
      <c r="E1186" s="46" t="s">
        <v>32</v>
      </c>
      <c r="F1186" s="47">
        <f>[1]!BexGetData("DP_2","DL719O2RYNC0Y217V0FVT1R77","17","E","22013071E207","2067211011")</f>
        <v>5699</v>
      </c>
      <c r="G1186" s="48">
        <f>[1]!BexGetData("DP_2","DL719O2RYNEBZX0HTMQQ0BY0J","17","E","22013071E207","2067211011")</f>
        <v>5699</v>
      </c>
      <c r="H1186" s="48">
        <f>[1]!BexGetData("DP_2","DL719O2RYNGN1RZRS91K7M4TV","17","E","22013071E207","2067211011")</f>
        <v>5699</v>
      </c>
      <c r="I1186" s="48">
        <f>[1]!BexGetData("DP_2","DL719O2RYNIY3MZ1QVCEEWBN7","17","E","22013071E207","2067211011")</f>
        <v>0</v>
      </c>
    </row>
    <row r="1187" spans="1:9" x14ac:dyDescent="0.2">
      <c r="A1187" s="46" t="s">
        <v>32</v>
      </c>
      <c r="B1187" s="46" t="s">
        <v>32</v>
      </c>
      <c r="C1187" s="46" t="s">
        <v>32</v>
      </c>
      <c r="D1187" s="46" t="s">
        <v>32</v>
      </c>
      <c r="E1187" s="46" t="s">
        <v>32</v>
      </c>
      <c r="F1187" s="47">
        <f>[1]!BexGetData("DP_2","DL719O2RYNC0Y217V0FVT1R77","17","E","22013071E207","2067211021")</f>
        <v>0</v>
      </c>
      <c r="G1187" s="48">
        <f>[1]!BexGetData("DP_2","DL719O2RYNEBZX0HTMQQ0BY0J","17","E","22013071E207","2067211021")</f>
        <v>0</v>
      </c>
      <c r="H1187" s="48">
        <f>[1]!BexGetData("DP_2","DL719O2RYNGN1RZRS91K7M4TV","17","E","22013071E207","2067211021")</f>
        <v>0</v>
      </c>
      <c r="I1187" s="48">
        <f>[1]!BexGetData("DP_2","DL719O2RYNIY3MZ1QVCEEWBN7","17","E","22013071E207","2067211021")</f>
        <v>0</v>
      </c>
    </row>
    <row r="1188" spans="1:9" x14ac:dyDescent="0.2">
      <c r="A1188" s="46" t="s">
        <v>32</v>
      </c>
      <c r="B1188" s="46" t="s">
        <v>32</v>
      </c>
      <c r="C1188" s="46" t="s">
        <v>32</v>
      </c>
      <c r="D1188" s="46" t="s">
        <v>32</v>
      </c>
      <c r="E1188" s="46" t="s">
        <v>32</v>
      </c>
      <c r="F1188" s="47">
        <f>[1]!BexGetData("DP_2","DL719O2RYNC0Y217V0FVT1R77","17","E","22013071E207","2067214011")</f>
        <v>8852.99</v>
      </c>
      <c r="G1188" s="48">
        <f>[1]!BexGetData("DP_2","DL719O2RYNEBZX0HTMQQ0BY0J","17","E","22013071E207","2067214011")</f>
        <v>8852.99</v>
      </c>
      <c r="H1188" s="48">
        <f>[1]!BexGetData("DP_2","DL719O2RYNGN1RZRS91K7M4TV","17","E","22013071E207","2067214011")</f>
        <v>8852.99</v>
      </c>
      <c r="I1188" s="48">
        <f>[1]!BexGetData("DP_2","DL719O2RYNIY3MZ1QVCEEWBN7","17","E","22013071E207","2067214011")</f>
        <v>0</v>
      </c>
    </row>
    <row r="1189" spans="1:9" x14ac:dyDescent="0.2">
      <c r="A1189" s="46" t="s">
        <v>32</v>
      </c>
      <c r="B1189" s="46" t="s">
        <v>32</v>
      </c>
      <c r="C1189" s="46" t="s">
        <v>32</v>
      </c>
      <c r="D1189" s="46" t="s">
        <v>32</v>
      </c>
      <c r="E1189" s="46" t="s">
        <v>32</v>
      </c>
      <c r="F1189" s="47">
        <f>[1]!BexGetData("DP_2","DL719O2RYNC0Y217V0FVT1R77","17","E","22013071E207","2067214021")</f>
        <v>0</v>
      </c>
      <c r="G1189" s="48">
        <f>[1]!BexGetData("DP_2","DL719O2RYNEBZX0HTMQQ0BY0J","17","E","22013071E207","2067214021")</f>
        <v>0</v>
      </c>
      <c r="H1189" s="48">
        <f>[1]!BexGetData("DP_2","DL719O2RYNGN1RZRS91K7M4TV","17","E","22013071E207","2067214021")</f>
        <v>0</v>
      </c>
      <c r="I1189" s="48">
        <f>[1]!BexGetData("DP_2","DL719O2RYNIY3MZ1QVCEEWBN7","17","E","22013071E207","2067214021")</f>
        <v>0</v>
      </c>
    </row>
    <row r="1190" spans="1:9" x14ac:dyDescent="0.2">
      <c r="A1190" s="46" t="s">
        <v>32</v>
      </c>
      <c r="B1190" s="46" t="s">
        <v>32</v>
      </c>
      <c r="C1190" s="46" t="s">
        <v>32</v>
      </c>
      <c r="D1190" s="46" t="s">
        <v>32</v>
      </c>
      <c r="E1190" s="46" t="s">
        <v>32</v>
      </c>
      <c r="F1190" s="47">
        <f>[1]!BexGetData("DP_2","DL719O2RYNC0Y217V0FVT1R77","17","E","22013071E207","2067215021")</f>
        <v>0</v>
      </c>
      <c r="G1190" s="48">
        <f>[1]!BexGetData("DP_2","DL719O2RYNEBZX0HTMQQ0BY0J","17","E","22013071E207","2067215021")</f>
        <v>0</v>
      </c>
      <c r="H1190" s="48">
        <f>[1]!BexGetData("DP_2","DL719O2RYNGN1RZRS91K7M4TV","17","E","22013071E207","2067215021")</f>
        <v>0</v>
      </c>
      <c r="I1190" s="48">
        <f>[1]!BexGetData("DP_2","DL719O2RYNIY3MZ1QVCEEWBN7","17","E","22013071E207","2067215021")</f>
        <v>0</v>
      </c>
    </row>
    <row r="1191" spans="1:9" x14ac:dyDescent="0.2">
      <c r="A1191" s="46" t="s">
        <v>32</v>
      </c>
      <c r="B1191" s="46" t="s">
        <v>32</v>
      </c>
      <c r="C1191" s="46" t="s">
        <v>32</v>
      </c>
      <c r="D1191" s="46" t="s">
        <v>32</v>
      </c>
      <c r="E1191" s="46" t="s">
        <v>32</v>
      </c>
      <c r="F1191" s="47">
        <f>[1]!BexGetData("DP_2","DL719O2RYNC0Y217V0FVT1R77","17","E","22013071E207","2067217011")</f>
        <v>0</v>
      </c>
      <c r="G1191" s="48">
        <f>[1]!BexGetData("DP_2","DL719O2RYNEBZX0HTMQQ0BY0J","17","E","22013071E207","2067217011")</f>
        <v>0</v>
      </c>
      <c r="H1191" s="48">
        <f>[1]!BexGetData("DP_2","DL719O2RYNGN1RZRS91K7M4TV","17","E","22013071E207","2067217011")</f>
        <v>0</v>
      </c>
      <c r="I1191" s="48">
        <f>[1]!BexGetData("DP_2","DL719O2RYNIY3MZ1QVCEEWBN7","17","E","22013071E207","2067217011")</f>
        <v>0</v>
      </c>
    </row>
    <row r="1192" spans="1:9" x14ac:dyDescent="0.2">
      <c r="A1192" s="46" t="s">
        <v>32</v>
      </c>
      <c r="B1192" s="46" t="s">
        <v>32</v>
      </c>
      <c r="C1192" s="46" t="s">
        <v>32</v>
      </c>
      <c r="D1192" s="46" t="s">
        <v>32</v>
      </c>
      <c r="E1192" s="46" t="s">
        <v>32</v>
      </c>
      <c r="F1192" s="47">
        <f>[1]!BexGetData("DP_2","DL719O2RYNC0Y217V0FVT1R77","17","E","22013071E207","2067244011")</f>
        <v>0</v>
      </c>
      <c r="G1192" s="48">
        <f>[1]!BexGetData("DP_2","DL719O2RYNEBZX0HTMQQ0BY0J","17","E","22013071E207","2067244011")</f>
        <v>0</v>
      </c>
      <c r="H1192" s="48">
        <f>[1]!BexGetData("DP_2","DL719O2RYNGN1RZRS91K7M4TV","17","E","22013071E207","2067244011")</f>
        <v>0</v>
      </c>
      <c r="I1192" s="48">
        <f>[1]!BexGetData("DP_2","DL719O2RYNIY3MZ1QVCEEWBN7","17","E","22013071E207","2067244011")</f>
        <v>0</v>
      </c>
    </row>
    <row r="1193" spans="1:9" x14ac:dyDescent="0.2">
      <c r="A1193" s="46" t="s">
        <v>32</v>
      </c>
      <c r="B1193" s="46" t="s">
        <v>32</v>
      </c>
      <c r="C1193" s="46" t="s">
        <v>32</v>
      </c>
      <c r="D1193" s="46" t="s">
        <v>32</v>
      </c>
      <c r="E1193" s="46" t="s">
        <v>32</v>
      </c>
      <c r="F1193" s="47">
        <f>[1]!BexGetData("DP_2","DL719O2RYNC0Y217V0FVT1R77","17","E","22013071E207","2067246011")</f>
        <v>301.95999999999998</v>
      </c>
      <c r="G1193" s="48">
        <f>[1]!BexGetData("DP_2","DL719O2RYNEBZX0HTMQQ0BY0J","17","E","22013071E207","2067246011")</f>
        <v>301.95999999999998</v>
      </c>
      <c r="H1193" s="48">
        <f>[1]!BexGetData("DP_2","DL719O2RYNGN1RZRS91K7M4TV","17","E","22013071E207","2067246011")</f>
        <v>301.95999999999998</v>
      </c>
      <c r="I1193" s="48">
        <f>[1]!BexGetData("DP_2","DL719O2RYNIY3MZ1QVCEEWBN7","17","E","22013071E207","2067246011")</f>
        <v>0</v>
      </c>
    </row>
    <row r="1194" spans="1:9" x14ac:dyDescent="0.2">
      <c r="A1194" s="46" t="s">
        <v>32</v>
      </c>
      <c r="B1194" s="46" t="s">
        <v>32</v>
      </c>
      <c r="C1194" s="46" t="s">
        <v>32</v>
      </c>
      <c r="D1194" s="46" t="s">
        <v>32</v>
      </c>
      <c r="E1194" s="46" t="s">
        <v>32</v>
      </c>
      <c r="F1194" s="47">
        <f>[1]!BexGetData("DP_2","DL719O2RYNC0Y217V0FVT1R77","17","E","22013071E207","2067247011")</f>
        <v>0</v>
      </c>
      <c r="G1194" s="48">
        <f>[1]!BexGetData("DP_2","DL719O2RYNEBZX0HTMQQ0BY0J","17","E","22013071E207","2067247011")</f>
        <v>0</v>
      </c>
      <c r="H1194" s="48">
        <f>[1]!BexGetData("DP_2","DL719O2RYNGN1RZRS91K7M4TV","17","E","22013071E207","2067247011")</f>
        <v>0</v>
      </c>
      <c r="I1194" s="48">
        <f>[1]!BexGetData("DP_2","DL719O2RYNIY3MZ1QVCEEWBN7","17","E","22013071E207","2067247011")</f>
        <v>0</v>
      </c>
    </row>
    <row r="1195" spans="1:9" x14ac:dyDescent="0.2">
      <c r="A1195" s="46" t="s">
        <v>32</v>
      </c>
      <c r="B1195" s="46" t="s">
        <v>32</v>
      </c>
      <c r="C1195" s="46" t="s">
        <v>32</v>
      </c>
      <c r="D1195" s="46" t="s">
        <v>32</v>
      </c>
      <c r="E1195" s="46" t="s">
        <v>32</v>
      </c>
      <c r="F1195" s="47">
        <f>[1]!BexGetData("DP_2","DL719O2RYNC0Y217V0FVT1R77","17","E","22013071E207","2067249011")</f>
        <v>354.01</v>
      </c>
      <c r="G1195" s="48">
        <f>[1]!BexGetData("DP_2","DL719O2RYNEBZX0HTMQQ0BY0J","17","E","22013071E207","2067249011")</f>
        <v>354.01</v>
      </c>
      <c r="H1195" s="48">
        <f>[1]!BexGetData("DP_2","DL719O2RYNGN1RZRS91K7M4TV","17","E","22013071E207","2067249011")</f>
        <v>354.01</v>
      </c>
      <c r="I1195" s="48">
        <f>[1]!BexGetData("DP_2","DL719O2RYNIY3MZ1QVCEEWBN7","17","E","22013071E207","2067249011")</f>
        <v>0</v>
      </c>
    </row>
    <row r="1196" spans="1:9" x14ac:dyDescent="0.2">
      <c r="A1196" s="46" t="s">
        <v>32</v>
      </c>
      <c r="B1196" s="46" t="s">
        <v>32</v>
      </c>
      <c r="C1196" s="46" t="s">
        <v>32</v>
      </c>
      <c r="D1196" s="46" t="s">
        <v>32</v>
      </c>
      <c r="E1196" s="46" t="s">
        <v>32</v>
      </c>
      <c r="F1196" s="47">
        <f>[1]!BexGetData("DP_2","DL719O2RYNC0Y217V0FVT1R77","17","E","22013071E207","2067256011")</f>
        <v>0</v>
      </c>
      <c r="G1196" s="48">
        <f>[1]!BexGetData("DP_2","DL719O2RYNEBZX0HTMQQ0BY0J","17","E","22013071E207","2067256011")</f>
        <v>0</v>
      </c>
      <c r="H1196" s="48">
        <f>[1]!BexGetData("DP_2","DL719O2RYNGN1RZRS91K7M4TV","17","E","22013071E207","2067256011")</f>
        <v>0</v>
      </c>
      <c r="I1196" s="48">
        <f>[1]!BexGetData("DP_2","DL719O2RYNIY3MZ1QVCEEWBN7","17","E","22013071E207","2067256011")</f>
        <v>0</v>
      </c>
    </row>
    <row r="1197" spans="1:9" x14ac:dyDescent="0.2">
      <c r="A1197" s="46" t="s">
        <v>32</v>
      </c>
      <c r="B1197" s="46" t="s">
        <v>32</v>
      </c>
      <c r="C1197" s="46" t="s">
        <v>32</v>
      </c>
      <c r="D1197" s="46" t="s">
        <v>32</v>
      </c>
      <c r="E1197" s="46" t="s">
        <v>32</v>
      </c>
      <c r="F1197" s="47">
        <f>[1]!BexGetData("DP_2","DL719O2RYNC0Y217V0FVT1R77","17","E","22013071E207","2067261021")</f>
        <v>0</v>
      </c>
      <c r="G1197" s="48">
        <f>[1]!BexGetData("DP_2","DL719O2RYNEBZX0HTMQQ0BY0J","17","E","22013071E207","2067261021")</f>
        <v>0</v>
      </c>
      <c r="H1197" s="48">
        <f>[1]!BexGetData("DP_2","DL719O2RYNGN1RZRS91K7M4TV","17","E","22013071E207","2067261021")</f>
        <v>0</v>
      </c>
      <c r="I1197" s="48">
        <f>[1]!BexGetData("DP_2","DL719O2RYNIY3MZ1QVCEEWBN7","17","E","22013071E207","2067261021")</f>
        <v>0</v>
      </c>
    </row>
    <row r="1198" spans="1:9" x14ac:dyDescent="0.2">
      <c r="A1198" s="46" t="s">
        <v>32</v>
      </c>
      <c r="B1198" s="46" t="s">
        <v>32</v>
      </c>
      <c r="C1198" s="46" t="s">
        <v>32</v>
      </c>
      <c r="D1198" s="46" t="s">
        <v>32</v>
      </c>
      <c r="E1198" s="46" t="s">
        <v>32</v>
      </c>
      <c r="F1198" s="47">
        <f>[1]!BexGetData("DP_2","DL719O2RYNC0Y217V0FVT1R77","17","E","22013071E207","2067291011")</f>
        <v>38</v>
      </c>
      <c r="G1198" s="48">
        <f>[1]!BexGetData("DP_2","DL719O2RYNEBZX0HTMQQ0BY0J","17","E","22013071E207","2067291011")</f>
        <v>38</v>
      </c>
      <c r="H1198" s="48">
        <f>[1]!BexGetData("DP_2","DL719O2RYNGN1RZRS91K7M4TV","17","E","22013071E207","2067291011")</f>
        <v>38</v>
      </c>
      <c r="I1198" s="48">
        <f>[1]!BexGetData("DP_2","DL719O2RYNIY3MZ1QVCEEWBN7","17","E","22013071E207","2067291011")</f>
        <v>0</v>
      </c>
    </row>
    <row r="1199" spans="1:9" x14ac:dyDescent="0.2">
      <c r="A1199" s="46" t="s">
        <v>32</v>
      </c>
      <c r="B1199" s="46" t="s">
        <v>32</v>
      </c>
      <c r="C1199" s="46" t="s">
        <v>32</v>
      </c>
      <c r="D1199" s="46" t="s">
        <v>32</v>
      </c>
      <c r="E1199" s="46" t="s">
        <v>32</v>
      </c>
      <c r="F1199" s="47">
        <f>[1]!BexGetData("DP_2","DL719O2RYNC0Y217V0FVT1R77","17","E","22013071E207","2067294011")</f>
        <v>0</v>
      </c>
      <c r="G1199" s="48">
        <f>[1]!BexGetData("DP_2","DL719O2RYNEBZX0HTMQQ0BY0J","17","E","22013071E207","2067294011")</f>
        <v>0</v>
      </c>
      <c r="H1199" s="48">
        <f>[1]!BexGetData("DP_2","DL719O2RYNGN1RZRS91K7M4TV","17","E","22013071E207","2067294011")</f>
        <v>0</v>
      </c>
      <c r="I1199" s="48">
        <f>[1]!BexGetData("DP_2","DL719O2RYNIY3MZ1QVCEEWBN7","17","E","22013071E207","2067294011")</f>
        <v>0</v>
      </c>
    </row>
    <row r="1200" spans="1:9" x14ac:dyDescent="0.2">
      <c r="A1200" s="46" t="s">
        <v>32</v>
      </c>
      <c r="B1200" s="46" t="s">
        <v>32</v>
      </c>
      <c r="C1200" s="46" t="s">
        <v>32</v>
      </c>
      <c r="D1200" s="46" t="s">
        <v>32</v>
      </c>
      <c r="E1200" s="46" t="s">
        <v>32</v>
      </c>
      <c r="F1200" s="47">
        <f>[1]!BexGetData("DP_2","DL719O2RYNC0Y217V0FVT1R77","17","E","22013071E207","2067296011")</f>
        <v>0</v>
      </c>
      <c r="G1200" s="48">
        <f>[1]!BexGetData("DP_2","DL719O2RYNEBZX0HTMQQ0BY0J","17","E","22013071E207","2067296011")</f>
        <v>0</v>
      </c>
      <c r="H1200" s="48">
        <f>[1]!BexGetData("DP_2","DL719O2RYNGN1RZRS91K7M4TV","17","E","22013071E207","2067296011")</f>
        <v>0</v>
      </c>
      <c r="I1200" s="48">
        <f>[1]!BexGetData("DP_2","DL719O2RYNIY3MZ1QVCEEWBN7","17","E","22013071E207","2067296011")</f>
        <v>0</v>
      </c>
    </row>
    <row r="1201" spans="1:9" x14ac:dyDescent="0.2">
      <c r="A1201" s="46" t="s">
        <v>32</v>
      </c>
      <c r="B1201" s="46" t="s">
        <v>32</v>
      </c>
      <c r="C1201" s="46" t="s">
        <v>32</v>
      </c>
      <c r="D1201" s="46" t="s">
        <v>32</v>
      </c>
      <c r="E1201" s="46" t="s">
        <v>32</v>
      </c>
      <c r="F1201" s="47">
        <f>[1]!BexGetData("DP_2","DL719O2RYNC0Y217V0FVT1R77","17","E","22013071E207","2067314011")</f>
        <v>887.6</v>
      </c>
      <c r="G1201" s="48">
        <f>[1]!BexGetData("DP_2","DL719O2RYNEBZX0HTMQQ0BY0J","17","E","22013071E207","2067314011")</f>
        <v>887.6</v>
      </c>
      <c r="H1201" s="48">
        <f>[1]!BexGetData("DP_2","DL719O2RYNGN1RZRS91K7M4TV","17","E","22013071E207","2067314011")</f>
        <v>782.9</v>
      </c>
      <c r="I1201" s="48">
        <f>[1]!BexGetData("DP_2","DL719O2RYNIY3MZ1QVCEEWBN7","17","E","22013071E207","2067314011")</f>
        <v>0</v>
      </c>
    </row>
    <row r="1202" spans="1:9" x14ac:dyDescent="0.2">
      <c r="A1202" s="46" t="s">
        <v>32</v>
      </c>
      <c r="B1202" s="46" t="s">
        <v>32</v>
      </c>
      <c r="C1202" s="46" t="s">
        <v>32</v>
      </c>
      <c r="D1202" s="46" t="s">
        <v>32</v>
      </c>
      <c r="E1202" s="46" t="s">
        <v>32</v>
      </c>
      <c r="F1202" s="47">
        <f>[1]!BexGetData("DP_2","DL719O2RYNC0Y217V0FVT1R77","17","E","22013071E207","2067317011")</f>
        <v>2837.6</v>
      </c>
      <c r="G1202" s="48">
        <f>[1]!BexGetData("DP_2","DL719O2RYNEBZX0HTMQQ0BY0J","17","E","22013071E207","2067317011")</f>
        <v>2837.6</v>
      </c>
      <c r="H1202" s="48">
        <f>[1]!BexGetData("DP_2","DL719O2RYNGN1RZRS91K7M4TV","17","E","22013071E207","2067317011")</f>
        <v>2482.9</v>
      </c>
      <c r="I1202" s="48">
        <f>[1]!BexGetData("DP_2","DL719O2RYNIY3MZ1QVCEEWBN7","17","E","22013071E207","2067317011")</f>
        <v>0</v>
      </c>
    </row>
    <row r="1203" spans="1:9" x14ac:dyDescent="0.2">
      <c r="A1203" s="46" t="s">
        <v>32</v>
      </c>
      <c r="B1203" s="46" t="s">
        <v>32</v>
      </c>
      <c r="C1203" s="46" t="s">
        <v>32</v>
      </c>
      <c r="D1203" s="46" t="s">
        <v>32</v>
      </c>
      <c r="E1203" s="46" t="s">
        <v>32</v>
      </c>
      <c r="F1203" s="47">
        <f>[1]!BexGetData("DP_2","DL719O2RYNC0Y217V0FVT1R77","17","E","22013071E207","2067323011")</f>
        <v>324.8</v>
      </c>
      <c r="G1203" s="48">
        <f>[1]!BexGetData("DP_2","DL719O2RYNEBZX0HTMQQ0BY0J","17","E","22013071E207","2067323011")</f>
        <v>324.8</v>
      </c>
      <c r="H1203" s="48">
        <f>[1]!BexGetData("DP_2","DL719O2RYNGN1RZRS91K7M4TV","17","E","22013071E207","2067323011")</f>
        <v>284.2</v>
      </c>
      <c r="I1203" s="48">
        <f>[1]!BexGetData("DP_2","DL719O2RYNIY3MZ1QVCEEWBN7","17","E","22013071E207","2067323011")</f>
        <v>0</v>
      </c>
    </row>
    <row r="1204" spans="1:9" x14ac:dyDescent="0.2">
      <c r="A1204" s="46" t="s">
        <v>32</v>
      </c>
      <c r="B1204" s="46" t="s">
        <v>32</v>
      </c>
      <c r="C1204" s="46" t="s">
        <v>32</v>
      </c>
      <c r="D1204" s="46" t="s">
        <v>32</v>
      </c>
      <c r="E1204" s="46" t="s">
        <v>32</v>
      </c>
      <c r="F1204" s="47">
        <f>[1]!BexGetData("DP_2","DL719O2RYNC0Y217V0FVT1R77","17","E","22013071E207","2067336011")</f>
        <v>72743.539999999994</v>
      </c>
      <c r="G1204" s="48">
        <f>[1]!BexGetData("DP_2","DL719O2RYNEBZX0HTMQQ0BY0J","17","E","22013071E207","2067336011")</f>
        <v>72743.539999999994</v>
      </c>
      <c r="H1204" s="48">
        <f>[1]!BexGetData("DP_2","DL719O2RYNGN1RZRS91K7M4TV","17","E","22013071E207","2067336011")</f>
        <v>15728.55</v>
      </c>
      <c r="I1204" s="48">
        <f>[1]!BexGetData("DP_2","DL719O2RYNIY3MZ1QVCEEWBN7","17","E","22013071E207","2067336011")</f>
        <v>0</v>
      </c>
    </row>
    <row r="1205" spans="1:9" x14ac:dyDescent="0.2">
      <c r="A1205" s="46" t="s">
        <v>32</v>
      </c>
      <c r="B1205" s="46" t="s">
        <v>32</v>
      </c>
      <c r="C1205" s="46" t="s">
        <v>32</v>
      </c>
      <c r="D1205" s="46" t="s">
        <v>32</v>
      </c>
      <c r="E1205" s="46" t="s">
        <v>32</v>
      </c>
      <c r="F1205" s="47">
        <f>[1]!BexGetData("DP_2","DL719O2RYNC0Y217V0FVT1R77","17","E","22013071E207","2067355011")</f>
        <v>58969.67</v>
      </c>
      <c r="G1205" s="48">
        <f>[1]!BexGetData("DP_2","DL719O2RYNEBZX0HTMQQ0BY0J","17","E","22013071E207","2067355011")</f>
        <v>58969.67</v>
      </c>
      <c r="H1205" s="48">
        <f>[1]!BexGetData("DP_2","DL719O2RYNGN1RZRS91K7M4TV","17","E","22013071E207","2067355011")</f>
        <v>30134.39</v>
      </c>
      <c r="I1205" s="48">
        <f>[1]!BexGetData("DP_2","DL719O2RYNIY3MZ1QVCEEWBN7","17","E","22013071E207","2067355011")</f>
        <v>0</v>
      </c>
    </row>
    <row r="1206" spans="1:9" x14ac:dyDescent="0.2">
      <c r="A1206" s="46" t="s">
        <v>32</v>
      </c>
      <c r="B1206" s="46" t="s">
        <v>32</v>
      </c>
      <c r="C1206" s="46" t="s">
        <v>32</v>
      </c>
      <c r="D1206" s="46" t="s">
        <v>32</v>
      </c>
      <c r="E1206" s="46" t="s">
        <v>32</v>
      </c>
      <c r="F1206" s="47">
        <f>[1]!BexGetData("DP_2","DL719O2RYNC0Y217V0FVT1R77","17","E","22013071E207","2067372011")</f>
        <v>0</v>
      </c>
      <c r="G1206" s="48">
        <f>[1]!BexGetData("DP_2","DL719O2RYNEBZX0HTMQQ0BY0J","17","E","22013071E207","2067372011")</f>
        <v>0</v>
      </c>
      <c r="H1206" s="48">
        <f>[1]!BexGetData("DP_2","DL719O2RYNGN1RZRS91K7M4TV","17","E","22013071E207","2067372011")</f>
        <v>0</v>
      </c>
      <c r="I1206" s="48">
        <f>[1]!BexGetData("DP_2","DL719O2RYNIY3MZ1QVCEEWBN7","17","E","22013071E207","2067372011")</f>
        <v>0</v>
      </c>
    </row>
    <row r="1207" spans="1:9" x14ac:dyDescent="0.2">
      <c r="A1207" s="46" t="s">
        <v>32</v>
      </c>
      <c r="B1207" s="46" t="s">
        <v>32</v>
      </c>
      <c r="C1207" s="46" t="s">
        <v>112</v>
      </c>
      <c r="D1207" s="46" t="s">
        <v>113</v>
      </c>
      <c r="E1207" s="46" t="s">
        <v>32</v>
      </c>
      <c r="F1207" s="47">
        <f>[1]!BexGetData("DP_2","DL719O2RYNC0Y217V0FVT1R77","17","E","22013081E208","2067113011")</f>
        <v>2353543.7799999998</v>
      </c>
      <c r="G1207" s="48">
        <f>[1]!BexGetData("DP_2","DL719O2RYNEBZX0HTMQQ0BY0J","17","E","22013081E208","2067113011")</f>
        <v>2353543.7799999998</v>
      </c>
      <c r="H1207" s="48">
        <f>[1]!BexGetData("DP_2","DL719O2RYNGN1RZRS91K7M4TV","17","E","22013081E208","2067113011")</f>
        <v>2353543.7799999998</v>
      </c>
      <c r="I1207" s="48">
        <f>[1]!BexGetData("DP_2","DL719O2RYNIY3MZ1QVCEEWBN7","17","E","22013081E208","2067113011")</f>
        <v>-1.0000000000000001E-9</v>
      </c>
    </row>
    <row r="1208" spans="1:9" x14ac:dyDescent="0.2">
      <c r="A1208" s="46" t="s">
        <v>32</v>
      </c>
      <c r="B1208" s="46" t="s">
        <v>32</v>
      </c>
      <c r="C1208" s="46" t="s">
        <v>32</v>
      </c>
      <c r="D1208" s="46" t="s">
        <v>32</v>
      </c>
      <c r="E1208" s="46" t="s">
        <v>32</v>
      </c>
      <c r="F1208" s="47">
        <f>[1]!BexGetData("DP_2","DL719O2RYNC0Y217V0FVT1R77","17","E","22013081E208","2067113021")</f>
        <v>1014676.91</v>
      </c>
      <c r="G1208" s="48">
        <f>[1]!BexGetData("DP_2","DL719O2RYNEBZX0HTMQQ0BY0J","17","E","22013081E208","2067113021")</f>
        <v>1014676.91</v>
      </c>
      <c r="H1208" s="48">
        <f>[1]!BexGetData("DP_2","DL719O2RYNGN1RZRS91K7M4TV","17","E","22013081E208","2067113021")</f>
        <v>1014676.91</v>
      </c>
      <c r="I1208" s="48">
        <f>[1]!BexGetData("DP_2","DL719O2RYNIY3MZ1QVCEEWBN7","17","E","22013081E208","2067113021")</f>
        <v>0</v>
      </c>
    </row>
    <row r="1209" spans="1:9" x14ac:dyDescent="0.2">
      <c r="A1209" s="46" t="s">
        <v>32</v>
      </c>
      <c r="B1209" s="46" t="s">
        <v>32</v>
      </c>
      <c r="C1209" s="46" t="s">
        <v>32</v>
      </c>
      <c r="D1209" s="46" t="s">
        <v>32</v>
      </c>
      <c r="E1209" s="46" t="s">
        <v>32</v>
      </c>
      <c r="F1209" s="47">
        <f>[1]!BexGetData("DP_2","DL719O2RYNC0Y217V0FVT1R77","17","E","22013081E208","2067122011")</f>
        <v>240660.05</v>
      </c>
      <c r="G1209" s="48">
        <f>[1]!BexGetData("DP_2","DL719O2RYNEBZX0HTMQQ0BY0J","17","E","22013081E208","2067122011")</f>
        <v>240660.05</v>
      </c>
      <c r="H1209" s="48">
        <f>[1]!BexGetData("DP_2","DL719O2RYNGN1RZRS91K7M4TV","17","E","22013081E208","2067122011")</f>
        <v>240660.05</v>
      </c>
      <c r="I1209" s="48">
        <f>[1]!BexGetData("DP_2","DL719O2RYNIY3MZ1QVCEEWBN7","17","E","22013081E208","2067122011")</f>
        <v>0</v>
      </c>
    </row>
    <row r="1210" spans="1:9" x14ac:dyDescent="0.2">
      <c r="A1210" s="46" t="s">
        <v>32</v>
      </c>
      <c r="B1210" s="46" t="s">
        <v>32</v>
      </c>
      <c r="C1210" s="46" t="s">
        <v>32</v>
      </c>
      <c r="D1210" s="46" t="s">
        <v>32</v>
      </c>
      <c r="E1210" s="46" t="s">
        <v>32</v>
      </c>
      <c r="F1210" s="47">
        <f>[1]!BexGetData("DP_2","DL719O2RYNC0Y217V0FVT1R77","17","E","22013081E208","2067122021")</f>
        <v>0</v>
      </c>
      <c r="G1210" s="48">
        <f>[1]!BexGetData("DP_2","DL719O2RYNEBZX0HTMQQ0BY0J","17","E","22013081E208","2067122021")</f>
        <v>0</v>
      </c>
      <c r="H1210" s="48">
        <f>[1]!BexGetData("DP_2","DL719O2RYNGN1RZRS91K7M4TV","17","E","22013081E208","2067122021")</f>
        <v>0</v>
      </c>
      <c r="I1210" s="48">
        <f>[1]!BexGetData("DP_2","DL719O2RYNIY3MZ1QVCEEWBN7","17","E","22013081E208","2067122021")</f>
        <v>0</v>
      </c>
    </row>
    <row r="1211" spans="1:9" x14ac:dyDescent="0.2">
      <c r="A1211" s="46" t="s">
        <v>32</v>
      </c>
      <c r="B1211" s="46" t="s">
        <v>32</v>
      </c>
      <c r="C1211" s="46" t="s">
        <v>32</v>
      </c>
      <c r="D1211" s="46" t="s">
        <v>32</v>
      </c>
      <c r="E1211" s="46" t="s">
        <v>32</v>
      </c>
      <c r="F1211" s="47">
        <f>[1]!BexGetData("DP_2","DL719O2RYNC0Y217V0FVT1R77","17","E","22013081E208","2067131011")</f>
        <v>484291.43</v>
      </c>
      <c r="G1211" s="48">
        <f>[1]!BexGetData("DP_2","DL719O2RYNEBZX0HTMQQ0BY0J","17","E","22013081E208","2067131011")</f>
        <v>484291.43</v>
      </c>
      <c r="H1211" s="48">
        <f>[1]!BexGetData("DP_2","DL719O2RYNGN1RZRS91K7M4TV","17","E","22013081E208","2067131011")</f>
        <v>484291.43</v>
      </c>
      <c r="I1211" s="48">
        <f>[1]!BexGetData("DP_2","DL719O2RYNIY3MZ1QVCEEWBN7","17","E","22013081E208","2067131011")</f>
        <v>0</v>
      </c>
    </row>
    <row r="1212" spans="1:9" x14ac:dyDescent="0.2">
      <c r="A1212" s="46" t="s">
        <v>32</v>
      </c>
      <c r="B1212" s="46" t="s">
        <v>32</v>
      </c>
      <c r="C1212" s="46" t="s">
        <v>32</v>
      </c>
      <c r="D1212" s="46" t="s">
        <v>32</v>
      </c>
      <c r="E1212" s="46" t="s">
        <v>32</v>
      </c>
      <c r="F1212" s="47">
        <f>[1]!BexGetData("DP_2","DL719O2RYNC0Y217V0FVT1R77","17","E","22013081E208","2067131021")</f>
        <v>84430.5</v>
      </c>
      <c r="G1212" s="48">
        <f>[1]!BexGetData("DP_2","DL719O2RYNEBZX0HTMQQ0BY0J","17","E","22013081E208","2067131021")</f>
        <v>84430.5</v>
      </c>
      <c r="H1212" s="48">
        <f>[1]!BexGetData("DP_2","DL719O2RYNGN1RZRS91K7M4TV","17","E","22013081E208","2067131021")</f>
        <v>84430.5</v>
      </c>
      <c r="I1212" s="48">
        <f>[1]!BexGetData("DP_2","DL719O2RYNIY3MZ1QVCEEWBN7","17","E","22013081E208","2067131021")</f>
        <v>0</v>
      </c>
    </row>
    <row r="1213" spans="1:9" x14ac:dyDescent="0.2">
      <c r="A1213" s="46" t="s">
        <v>32</v>
      </c>
      <c r="B1213" s="46" t="s">
        <v>32</v>
      </c>
      <c r="C1213" s="46" t="s">
        <v>32</v>
      </c>
      <c r="D1213" s="46" t="s">
        <v>32</v>
      </c>
      <c r="E1213" s="46" t="s">
        <v>32</v>
      </c>
      <c r="F1213" s="47">
        <f>[1]!BexGetData("DP_2","DL719O2RYNC0Y217V0FVT1R77","17","E","22013081E208","2067132011")</f>
        <v>197973.16</v>
      </c>
      <c r="G1213" s="48">
        <f>[1]!BexGetData("DP_2","DL719O2RYNEBZX0HTMQQ0BY0J","17","E","22013081E208","2067132011")</f>
        <v>197973.16</v>
      </c>
      <c r="H1213" s="48">
        <f>[1]!BexGetData("DP_2","DL719O2RYNGN1RZRS91K7M4TV","17","E","22013081E208","2067132011")</f>
        <v>197973.16</v>
      </c>
      <c r="I1213" s="48">
        <f>[1]!BexGetData("DP_2","DL719O2RYNIY3MZ1QVCEEWBN7","17","E","22013081E208","2067132011")</f>
        <v>0</v>
      </c>
    </row>
    <row r="1214" spans="1:9" x14ac:dyDescent="0.2">
      <c r="A1214" s="46" t="s">
        <v>32</v>
      </c>
      <c r="B1214" s="46" t="s">
        <v>32</v>
      </c>
      <c r="C1214" s="46" t="s">
        <v>32</v>
      </c>
      <c r="D1214" s="46" t="s">
        <v>32</v>
      </c>
      <c r="E1214" s="46" t="s">
        <v>32</v>
      </c>
      <c r="F1214" s="47">
        <f>[1]!BexGetData("DP_2","DL719O2RYNC0Y217V0FVT1R77","17","E","22013081E208","2067132021")</f>
        <v>754955.02</v>
      </c>
      <c r="G1214" s="48">
        <f>[1]!BexGetData("DP_2","DL719O2RYNEBZX0HTMQQ0BY0J","17","E","22013081E208","2067132021")</f>
        <v>754955.02</v>
      </c>
      <c r="H1214" s="48">
        <f>[1]!BexGetData("DP_2","DL719O2RYNGN1RZRS91K7M4TV","17","E","22013081E208","2067132021")</f>
        <v>754955.02</v>
      </c>
      <c r="I1214" s="48">
        <f>[1]!BexGetData("DP_2","DL719O2RYNIY3MZ1QVCEEWBN7","17","E","22013081E208","2067132021")</f>
        <v>0</v>
      </c>
    </row>
    <row r="1215" spans="1:9" x14ac:dyDescent="0.2">
      <c r="A1215" s="46" t="s">
        <v>32</v>
      </c>
      <c r="B1215" s="46" t="s">
        <v>32</v>
      </c>
      <c r="C1215" s="46" t="s">
        <v>32</v>
      </c>
      <c r="D1215" s="46" t="s">
        <v>32</v>
      </c>
      <c r="E1215" s="46" t="s">
        <v>32</v>
      </c>
      <c r="F1215" s="47">
        <f>[1]!BexGetData("DP_2","DL719O2RYNC0Y217V0FVT1R77","17","E","22013081E208","2067133011")</f>
        <v>5319.47</v>
      </c>
      <c r="G1215" s="48">
        <f>[1]!BexGetData("DP_2","DL719O2RYNEBZX0HTMQQ0BY0J","17","E","22013081E208","2067133011")</f>
        <v>5319.47</v>
      </c>
      <c r="H1215" s="48">
        <f>[1]!BexGetData("DP_2","DL719O2RYNGN1RZRS91K7M4TV","17","E","22013081E208","2067133011")</f>
        <v>5319.47</v>
      </c>
      <c r="I1215" s="48">
        <f>[1]!BexGetData("DP_2","DL719O2RYNIY3MZ1QVCEEWBN7","17","E","22013081E208","2067133011")</f>
        <v>0</v>
      </c>
    </row>
    <row r="1216" spans="1:9" x14ac:dyDescent="0.2">
      <c r="A1216" s="46" t="s">
        <v>32</v>
      </c>
      <c r="B1216" s="46" t="s">
        <v>32</v>
      </c>
      <c r="C1216" s="46" t="s">
        <v>32</v>
      </c>
      <c r="D1216" s="46" t="s">
        <v>32</v>
      </c>
      <c r="E1216" s="46" t="s">
        <v>32</v>
      </c>
      <c r="F1216" s="47">
        <f>[1]!BexGetData("DP_2","DL719O2RYNC0Y217V0FVT1R77","17","E","22013081E208","2067134011")</f>
        <v>341909.54</v>
      </c>
      <c r="G1216" s="48">
        <f>[1]!BexGetData("DP_2","DL719O2RYNEBZX0HTMQQ0BY0J","17","E","22013081E208","2067134011")</f>
        <v>341909.54</v>
      </c>
      <c r="H1216" s="48">
        <f>[1]!BexGetData("DP_2","DL719O2RYNGN1RZRS91K7M4TV","17","E","22013081E208","2067134011")</f>
        <v>347640.8</v>
      </c>
      <c r="I1216" s="48">
        <f>[1]!BexGetData("DP_2","DL719O2RYNIY3MZ1QVCEEWBN7","17","E","22013081E208","2067134011")</f>
        <v>0</v>
      </c>
    </row>
    <row r="1217" spans="1:9" x14ac:dyDescent="0.2">
      <c r="A1217" s="46" t="s">
        <v>32</v>
      </c>
      <c r="B1217" s="46" t="s">
        <v>32</v>
      </c>
      <c r="C1217" s="46" t="s">
        <v>32</v>
      </c>
      <c r="D1217" s="46" t="s">
        <v>32</v>
      </c>
      <c r="E1217" s="46" t="s">
        <v>32</v>
      </c>
      <c r="F1217" s="47">
        <f>[1]!BexGetData("DP_2","DL719O2RYNC0Y217V0FVT1R77","17","E","22013081E208","2067134021")</f>
        <v>979774.48</v>
      </c>
      <c r="G1217" s="48">
        <f>[1]!BexGetData("DP_2","DL719O2RYNEBZX0HTMQQ0BY0J","17","E","22013081E208","2067134021")</f>
        <v>979774.48</v>
      </c>
      <c r="H1217" s="48">
        <f>[1]!BexGetData("DP_2","DL719O2RYNGN1RZRS91K7M4TV","17","E","22013081E208","2067134021")</f>
        <v>979774.48</v>
      </c>
      <c r="I1217" s="48">
        <f>[1]!BexGetData("DP_2","DL719O2RYNIY3MZ1QVCEEWBN7","17","E","22013081E208","2067134021")</f>
        <v>0</v>
      </c>
    </row>
    <row r="1218" spans="1:9" x14ac:dyDescent="0.2">
      <c r="A1218" s="46" t="s">
        <v>32</v>
      </c>
      <c r="B1218" s="46" t="s">
        <v>32</v>
      </c>
      <c r="C1218" s="46" t="s">
        <v>32</v>
      </c>
      <c r="D1218" s="46" t="s">
        <v>32</v>
      </c>
      <c r="E1218" s="46" t="s">
        <v>32</v>
      </c>
      <c r="F1218" s="47">
        <f>[1]!BexGetData("DP_2","DL719O2RYNC0Y217V0FVT1R77","17","E","22013081E208","2067141011")</f>
        <v>658403.25</v>
      </c>
      <c r="G1218" s="48">
        <f>[1]!BexGetData("DP_2","DL719O2RYNEBZX0HTMQQ0BY0J","17","E","22013081E208","2067141011")</f>
        <v>658403.25</v>
      </c>
      <c r="H1218" s="48">
        <f>[1]!BexGetData("DP_2","DL719O2RYNGN1RZRS91K7M4TV","17","E","22013081E208","2067141011")</f>
        <v>658403.25</v>
      </c>
      <c r="I1218" s="48">
        <f>[1]!BexGetData("DP_2","DL719O2RYNIY3MZ1QVCEEWBN7","17","E","22013081E208","2067141011")</f>
        <v>0</v>
      </c>
    </row>
    <row r="1219" spans="1:9" x14ac:dyDescent="0.2">
      <c r="A1219" s="46" t="s">
        <v>32</v>
      </c>
      <c r="B1219" s="46" t="s">
        <v>32</v>
      </c>
      <c r="C1219" s="46" t="s">
        <v>32</v>
      </c>
      <c r="D1219" s="46" t="s">
        <v>32</v>
      </c>
      <c r="E1219" s="46" t="s">
        <v>32</v>
      </c>
      <c r="F1219" s="47">
        <f>[1]!BexGetData("DP_2","DL719O2RYNC0Y217V0FVT1R77","17","E","22013081E208","2067141021")</f>
        <v>210936.29</v>
      </c>
      <c r="G1219" s="48">
        <f>[1]!BexGetData("DP_2","DL719O2RYNEBZX0HTMQQ0BY0J","17","E","22013081E208","2067141021")</f>
        <v>210936.29</v>
      </c>
      <c r="H1219" s="48">
        <f>[1]!BexGetData("DP_2","DL719O2RYNGN1RZRS91K7M4TV","17","E","22013081E208","2067141021")</f>
        <v>210936.29</v>
      </c>
      <c r="I1219" s="48">
        <f>[1]!BexGetData("DP_2","DL719O2RYNIY3MZ1QVCEEWBN7","17","E","22013081E208","2067141021")</f>
        <v>0</v>
      </c>
    </row>
    <row r="1220" spans="1:9" x14ac:dyDescent="0.2">
      <c r="A1220" s="46" t="s">
        <v>32</v>
      </c>
      <c r="B1220" s="46" t="s">
        <v>32</v>
      </c>
      <c r="C1220" s="46" t="s">
        <v>32</v>
      </c>
      <c r="D1220" s="46" t="s">
        <v>32</v>
      </c>
      <c r="E1220" s="46" t="s">
        <v>32</v>
      </c>
      <c r="F1220" s="47">
        <f>[1]!BexGetData("DP_2","DL719O2RYNC0Y217V0FVT1R77","17","E","22013081E208","2067143011")</f>
        <v>99786.63</v>
      </c>
      <c r="G1220" s="48">
        <f>[1]!BexGetData("DP_2","DL719O2RYNEBZX0HTMQQ0BY0J","17","E","22013081E208","2067143011")</f>
        <v>99786.63</v>
      </c>
      <c r="H1220" s="48">
        <f>[1]!BexGetData("DP_2","DL719O2RYNGN1RZRS91K7M4TV","17","E","22013081E208","2067143011")</f>
        <v>99786.63</v>
      </c>
      <c r="I1220" s="48">
        <f>[1]!BexGetData("DP_2","DL719O2RYNIY3MZ1QVCEEWBN7","17","E","22013081E208","2067143011")</f>
        <v>0</v>
      </c>
    </row>
    <row r="1221" spans="1:9" x14ac:dyDescent="0.2">
      <c r="A1221" s="46" t="s">
        <v>32</v>
      </c>
      <c r="B1221" s="46" t="s">
        <v>32</v>
      </c>
      <c r="C1221" s="46" t="s">
        <v>32</v>
      </c>
      <c r="D1221" s="46" t="s">
        <v>32</v>
      </c>
      <c r="E1221" s="46" t="s">
        <v>32</v>
      </c>
      <c r="F1221" s="47">
        <f>[1]!BexGetData("DP_2","DL719O2RYNC0Y217V0FVT1R77","17","E","22013081E208","2067151011")</f>
        <v>405301.92</v>
      </c>
      <c r="G1221" s="48">
        <f>[1]!BexGetData("DP_2","DL719O2RYNEBZX0HTMQQ0BY0J","17","E","22013081E208","2067151011")</f>
        <v>405301.92</v>
      </c>
      <c r="H1221" s="48">
        <f>[1]!BexGetData("DP_2","DL719O2RYNGN1RZRS91K7M4TV","17","E","22013081E208","2067151011")</f>
        <v>405301.92</v>
      </c>
      <c r="I1221" s="48">
        <f>[1]!BexGetData("DP_2","DL719O2RYNIY3MZ1QVCEEWBN7","17","E","22013081E208","2067151011")</f>
        <v>0</v>
      </c>
    </row>
    <row r="1222" spans="1:9" x14ac:dyDescent="0.2">
      <c r="A1222" s="46" t="s">
        <v>32</v>
      </c>
      <c r="B1222" s="46" t="s">
        <v>32</v>
      </c>
      <c r="C1222" s="46" t="s">
        <v>32</v>
      </c>
      <c r="D1222" s="46" t="s">
        <v>32</v>
      </c>
      <c r="E1222" s="46" t="s">
        <v>32</v>
      </c>
      <c r="F1222" s="47">
        <f>[1]!BexGetData("DP_2","DL719O2RYNC0Y217V0FVT1R77","17","E","22013081E208","2067154011")</f>
        <v>1819539.57</v>
      </c>
      <c r="G1222" s="48">
        <f>[1]!BexGetData("DP_2","DL719O2RYNEBZX0HTMQQ0BY0J","17","E","22013081E208","2067154011")</f>
        <v>1819539.57</v>
      </c>
      <c r="H1222" s="48">
        <f>[1]!BexGetData("DP_2","DL719O2RYNGN1RZRS91K7M4TV","17","E","22013081E208","2067154011")</f>
        <v>1819539.57</v>
      </c>
      <c r="I1222" s="48">
        <f>[1]!BexGetData("DP_2","DL719O2RYNIY3MZ1QVCEEWBN7","17","E","22013081E208","2067154011")</f>
        <v>0</v>
      </c>
    </row>
    <row r="1223" spans="1:9" x14ac:dyDescent="0.2">
      <c r="A1223" s="46" t="s">
        <v>32</v>
      </c>
      <c r="B1223" s="46" t="s">
        <v>32</v>
      </c>
      <c r="C1223" s="46" t="s">
        <v>32</v>
      </c>
      <c r="D1223" s="46" t="s">
        <v>32</v>
      </c>
      <c r="E1223" s="46" t="s">
        <v>32</v>
      </c>
      <c r="F1223" s="47">
        <f>[1]!BexGetData("DP_2","DL719O2RYNC0Y217V0FVT1R77","17","E","22013081E208","2067211011")</f>
        <v>788.8</v>
      </c>
      <c r="G1223" s="48">
        <f>[1]!BexGetData("DP_2","DL719O2RYNEBZX0HTMQQ0BY0J","17","E","22013081E208","2067211011")</f>
        <v>788.8</v>
      </c>
      <c r="H1223" s="48">
        <f>[1]!BexGetData("DP_2","DL719O2RYNGN1RZRS91K7M4TV","17","E","22013081E208","2067211011")</f>
        <v>788.8</v>
      </c>
      <c r="I1223" s="48">
        <f>[1]!BexGetData("DP_2","DL719O2RYNIY3MZ1QVCEEWBN7","17","E","22013081E208","2067211011")</f>
        <v>0</v>
      </c>
    </row>
    <row r="1224" spans="1:9" x14ac:dyDescent="0.2">
      <c r="A1224" s="46" t="s">
        <v>32</v>
      </c>
      <c r="B1224" s="46" t="s">
        <v>32</v>
      </c>
      <c r="C1224" s="46" t="s">
        <v>32</v>
      </c>
      <c r="D1224" s="46" t="s">
        <v>32</v>
      </c>
      <c r="E1224" s="46" t="s">
        <v>32</v>
      </c>
      <c r="F1224" s="47">
        <f>[1]!BexGetData("DP_2","DL719O2RYNC0Y217V0FVT1R77","17","E","22013081E208","2067274011")</f>
        <v>0</v>
      </c>
      <c r="G1224" s="48">
        <f>[1]!BexGetData("DP_2","DL719O2RYNEBZX0HTMQQ0BY0J","17","E","22013081E208","2067274011")</f>
        <v>0</v>
      </c>
      <c r="H1224" s="48">
        <f>[1]!BexGetData("DP_2","DL719O2RYNGN1RZRS91K7M4TV","17","E","22013081E208","2067274011")</f>
        <v>0</v>
      </c>
      <c r="I1224" s="48">
        <f>[1]!BexGetData("DP_2","DL719O2RYNIY3MZ1QVCEEWBN7","17","E","22013081E208","2067274011")</f>
        <v>0</v>
      </c>
    </row>
    <row r="1225" spans="1:9" x14ac:dyDescent="0.2">
      <c r="A1225" s="46" t="s">
        <v>32</v>
      </c>
      <c r="B1225" s="46" t="s">
        <v>32</v>
      </c>
      <c r="C1225" s="46" t="s">
        <v>32</v>
      </c>
      <c r="D1225" s="46" t="s">
        <v>32</v>
      </c>
      <c r="E1225" s="46" t="s">
        <v>32</v>
      </c>
      <c r="F1225" s="47">
        <f>[1]!BexGetData("DP_2","DL719O2RYNC0Y217V0FVT1R77","17","E","22013081E208","2067311011")</f>
        <v>7110</v>
      </c>
      <c r="G1225" s="48">
        <f>[1]!BexGetData("DP_2","DL719O2RYNEBZX0HTMQQ0BY0J","17","E","22013081E208","2067311011")</f>
        <v>7110</v>
      </c>
      <c r="H1225" s="48">
        <f>[1]!BexGetData("DP_2","DL719O2RYNGN1RZRS91K7M4TV","17","E","22013081E208","2067311011")</f>
        <v>5119</v>
      </c>
      <c r="I1225" s="48">
        <f>[1]!BexGetData("DP_2","DL719O2RYNIY3MZ1QVCEEWBN7","17","E","22013081E208","2067311011")</f>
        <v>0</v>
      </c>
    </row>
    <row r="1226" spans="1:9" x14ac:dyDescent="0.2">
      <c r="A1226" s="46" t="s">
        <v>32</v>
      </c>
      <c r="B1226" s="46" t="s">
        <v>32</v>
      </c>
      <c r="C1226" s="46" t="s">
        <v>32</v>
      </c>
      <c r="D1226" s="46" t="s">
        <v>32</v>
      </c>
      <c r="E1226" s="46" t="s">
        <v>32</v>
      </c>
      <c r="F1226" s="47">
        <f>[1]!BexGetData("DP_2","DL719O2RYNC0Y217V0FVT1R77","17","E","22013081E208","2067318011")</f>
        <v>604.53</v>
      </c>
      <c r="G1226" s="48">
        <f>[1]!BexGetData("DP_2","DL719O2RYNEBZX0HTMQQ0BY0J","17","E","22013081E208","2067318011")</f>
        <v>604.53</v>
      </c>
      <c r="H1226" s="48">
        <f>[1]!BexGetData("DP_2","DL719O2RYNGN1RZRS91K7M4TV","17","E","22013081E208","2067318011")</f>
        <v>604.53</v>
      </c>
      <c r="I1226" s="48">
        <f>[1]!BexGetData("DP_2","DL719O2RYNIY3MZ1QVCEEWBN7","17","E","22013081E208","2067318011")</f>
        <v>0</v>
      </c>
    </row>
    <row r="1227" spans="1:9" x14ac:dyDescent="0.2">
      <c r="A1227" s="46" t="s">
        <v>32</v>
      </c>
      <c r="B1227" s="46" t="s">
        <v>32</v>
      </c>
      <c r="C1227" s="46" t="s">
        <v>32</v>
      </c>
      <c r="D1227" s="46" t="s">
        <v>32</v>
      </c>
      <c r="E1227" s="46" t="s">
        <v>32</v>
      </c>
      <c r="F1227" s="47">
        <f>[1]!BexGetData("DP_2","DL719O2RYNC0Y217V0FVT1R77","17","E","22013081E208","2067336011")</f>
        <v>30865.42</v>
      </c>
      <c r="G1227" s="48">
        <f>[1]!BexGetData("DP_2","DL719O2RYNEBZX0HTMQQ0BY0J","17","E","22013081E208","2067336011")</f>
        <v>30865.42</v>
      </c>
      <c r="H1227" s="48">
        <f>[1]!BexGetData("DP_2","DL719O2RYNGN1RZRS91K7M4TV","17","E","22013081E208","2067336011")</f>
        <v>1429.12</v>
      </c>
      <c r="I1227" s="48">
        <f>[1]!BexGetData("DP_2","DL719O2RYNIY3MZ1QVCEEWBN7","17","E","22013081E208","2067336011")</f>
        <v>0</v>
      </c>
    </row>
    <row r="1228" spans="1:9" x14ac:dyDescent="0.2">
      <c r="A1228" s="46" t="s">
        <v>32</v>
      </c>
      <c r="B1228" s="46" t="s">
        <v>32</v>
      </c>
      <c r="C1228" s="46" t="s">
        <v>32</v>
      </c>
      <c r="D1228" s="46" t="s">
        <v>32</v>
      </c>
      <c r="E1228" s="46" t="s">
        <v>32</v>
      </c>
      <c r="F1228" s="47">
        <f>[1]!BexGetData("DP_2","DL719O2RYNC0Y217V0FVT1R77","17","E","22013081E208","2067351011")</f>
        <v>1123.7</v>
      </c>
      <c r="G1228" s="48">
        <f>[1]!BexGetData("DP_2","DL719O2RYNEBZX0HTMQQ0BY0J","17","E","22013081E208","2067351011")</f>
        <v>1123.7</v>
      </c>
      <c r="H1228" s="48">
        <f>[1]!BexGetData("DP_2","DL719O2RYNGN1RZRS91K7M4TV","17","E","22013081E208","2067351011")</f>
        <v>1123.7</v>
      </c>
      <c r="I1228" s="48">
        <f>[1]!BexGetData("DP_2","DL719O2RYNIY3MZ1QVCEEWBN7","17","E","22013081E208","2067351011")</f>
        <v>0</v>
      </c>
    </row>
    <row r="1229" spans="1:9" x14ac:dyDescent="0.2">
      <c r="A1229" s="46" t="s">
        <v>32</v>
      </c>
      <c r="B1229" s="46" t="s">
        <v>32</v>
      </c>
      <c r="C1229" s="46" t="s">
        <v>32</v>
      </c>
      <c r="D1229" s="46" t="s">
        <v>32</v>
      </c>
      <c r="E1229" s="46" t="s">
        <v>32</v>
      </c>
      <c r="F1229" s="47">
        <f>[1]!BexGetData("DP_2","DL719O2RYNC0Y217V0FVT1R77","17","E","22013081E208","2067355011")</f>
        <v>51083.38</v>
      </c>
      <c r="G1229" s="48">
        <f>[1]!BexGetData("DP_2","DL719O2RYNEBZX0HTMQQ0BY0J","17","E","22013081E208","2067355011")</f>
        <v>51083.38</v>
      </c>
      <c r="H1229" s="48">
        <f>[1]!BexGetData("DP_2","DL719O2RYNGN1RZRS91K7M4TV","17","E","22013081E208","2067355011")</f>
        <v>51083.38</v>
      </c>
      <c r="I1229" s="48">
        <f>[1]!BexGetData("DP_2","DL719O2RYNIY3MZ1QVCEEWBN7","17","E","22013081E208","2067355011")</f>
        <v>0</v>
      </c>
    </row>
    <row r="1230" spans="1:9" x14ac:dyDescent="0.2">
      <c r="A1230" s="46" t="s">
        <v>32</v>
      </c>
      <c r="B1230" s="46" t="s">
        <v>32</v>
      </c>
      <c r="C1230" s="46" t="s">
        <v>32</v>
      </c>
      <c r="D1230" s="46" t="s">
        <v>32</v>
      </c>
      <c r="E1230" s="46" t="s">
        <v>32</v>
      </c>
      <c r="F1230" s="47">
        <f>[1]!BexGetData("DP_2","DL719O2RYNC0Y217V0FVT1R77","17","E","22013081E208","2067396021")</f>
        <v>759</v>
      </c>
      <c r="G1230" s="48">
        <f>[1]!BexGetData("DP_2","DL719O2RYNEBZX0HTMQQ0BY0J","17","E","22013081E208","2067396021")</f>
        <v>759</v>
      </c>
      <c r="H1230" s="48">
        <f>[1]!BexGetData("DP_2","DL719O2RYNGN1RZRS91K7M4TV","17","E","22013081E208","2067396021")</f>
        <v>0</v>
      </c>
      <c r="I1230" s="48">
        <f>[1]!BexGetData("DP_2","DL719O2RYNIY3MZ1QVCEEWBN7","17","E","22013081E208","2067396021")</f>
        <v>0</v>
      </c>
    </row>
    <row r="1231" spans="1:9" x14ac:dyDescent="0.2">
      <c r="A1231" s="46" t="s">
        <v>32</v>
      </c>
      <c r="B1231" s="46" t="s">
        <v>32</v>
      </c>
      <c r="C1231" s="46" t="s">
        <v>113</v>
      </c>
      <c r="D1231" s="46" t="s">
        <v>113</v>
      </c>
      <c r="E1231" s="46" t="s">
        <v>32</v>
      </c>
      <c r="F1231" s="47">
        <f>[1]!BexGetData("DP_2","DL719O2RYNC0Y217V0FVT1R77","17","E","22013082E207","2067113021")</f>
        <v>139247.78</v>
      </c>
      <c r="G1231" s="48">
        <f>[1]!BexGetData("DP_2","DL719O2RYNEBZX0HTMQQ0BY0J","17","E","22013082E207","2067113021")</f>
        <v>139247.78</v>
      </c>
      <c r="H1231" s="48">
        <f>[1]!BexGetData("DP_2","DL719O2RYNGN1RZRS91K7M4TV","17","E","22013082E207","2067113021")</f>
        <v>139247.78</v>
      </c>
      <c r="I1231" s="48">
        <f>[1]!BexGetData("DP_2","DL719O2RYNIY3MZ1QVCEEWBN7","17","E","22013082E207","2067113021")</f>
        <v>0</v>
      </c>
    </row>
    <row r="1232" spans="1:9" x14ac:dyDescent="0.2">
      <c r="A1232" s="46" t="s">
        <v>32</v>
      </c>
      <c r="B1232" s="46" t="s">
        <v>32</v>
      </c>
      <c r="C1232" s="46" t="s">
        <v>32</v>
      </c>
      <c r="D1232" s="46" t="s">
        <v>32</v>
      </c>
      <c r="E1232" s="46" t="s">
        <v>32</v>
      </c>
      <c r="F1232" s="47">
        <f>[1]!BexGetData("DP_2","DL719O2RYNC0Y217V0FVT1R77","17","E","22013082E207","2067132011")</f>
        <v>4404.7</v>
      </c>
      <c r="G1232" s="48">
        <f>[1]!BexGetData("DP_2","DL719O2RYNEBZX0HTMQQ0BY0J","17","E","22013082E207","2067132011")</f>
        <v>4404.7</v>
      </c>
      <c r="H1232" s="48">
        <f>[1]!BexGetData("DP_2","DL719O2RYNGN1RZRS91K7M4TV","17","E","22013082E207","2067132011")</f>
        <v>4404.7</v>
      </c>
      <c r="I1232" s="48">
        <f>[1]!BexGetData("DP_2","DL719O2RYNIY3MZ1QVCEEWBN7","17","E","22013082E207","2067132011")</f>
        <v>0</v>
      </c>
    </row>
    <row r="1233" spans="1:9" x14ac:dyDescent="0.2">
      <c r="A1233" s="46" t="s">
        <v>32</v>
      </c>
      <c r="B1233" s="46" t="s">
        <v>32</v>
      </c>
      <c r="C1233" s="46" t="s">
        <v>32</v>
      </c>
      <c r="D1233" s="46" t="s">
        <v>32</v>
      </c>
      <c r="E1233" s="46" t="s">
        <v>32</v>
      </c>
      <c r="F1233" s="47">
        <f>[1]!BexGetData("DP_2","DL719O2RYNC0Y217V0FVT1R77","17","E","22013082E207","2067132021")</f>
        <v>27894.1</v>
      </c>
      <c r="G1233" s="48">
        <f>[1]!BexGetData("DP_2","DL719O2RYNEBZX0HTMQQ0BY0J","17","E","22013082E207","2067132021")</f>
        <v>27894.1</v>
      </c>
      <c r="H1233" s="48">
        <f>[1]!BexGetData("DP_2","DL719O2RYNGN1RZRS91K7M4TV","17","E","22013082E207","2067132021")</f>
        <v>27894.1</v>
      </c>
      <c r="I1233" s="48">
        <f>[1]!BexGetData("DP_2","DL719O2RYNIY3MZ1QVCEEWBN7","17","E","22013082E207","2067132021")</f>
        <v>0</v>
      </c>
    </row>
    <row r="1234" spans="1:9" x14ac:dyDescent="0.2">
      <c r="A1234" s="46" t="s">
        <v>32</v>
      </c>
      <c r="B1234" s="46" t="s">
        <v>32</v>
      </c>
      <c r="C1234" s="46" t="s">
        <v>32</v>
      </c>
      <c r="D1234" s="46" t="s">
        <v>32</v>
      </c>
      <c r="E1234" s="46" t="s">
        <v>32</v>
      </c>
      <c r="F1234" s="47">
        <f>[1]!BexGetData("DP_2","DL719O2RYNC0Y217V0FVT1R77","17","E","22013082E207","2067134011")</f>
        <v>36248.58</v>
      </c>
      <c r="G1234" s="48">
        <f>[1]!BexGetData("DP_2","DL719O2RYNEBZX0HTMQQ0BY0J","17","E","22013082E207","2067134011")</f>
        <v>36248.58</v>
      </c>
      <c r="H1234" s="48">
        <f>[1]!BexGetData("DP_2","DL719O2RYNGN1RZRS91K7M4TV","17","E","22013082E207","2067134011")</f>
        <v>36715.22</v>
      </c>
      <c r="I1234" s="48">
        <f>[1]!BexGetData("DP_2","DL719O2RYNIY3MZ1QVCEEWBN7","17","E","22013082E207","2067134011")</f>
        <v>0</v>
      </c>
    </row>
    <row r="1235" spans="1:9" x14ac:dyDescent="0.2">
      <c r="A1235" s="46" t="s">
        <v>32</v>
      </c>
      <c r="B1235" s="46" t="s">
        <v>32</v>
      </c>
      <c r="C1235" s="46" t="s">
        <v>32</v>
      </c>
      <c r="D1235" s="46" t="s">
        <v>32</v>
      </c>
      <c r="E1235" s="46" t="s">
        <v>32</v>
      </c>
      <c r="F1235" s="47">
        <f>[1]!BexGetData("DP_2","DL719O2RYNC0Y217V0FVT1R77","17","E","22013082E207","2067134021")</f>
        <v>109228.72</v>
      </c>
      <c r="G1235" s="48">
        <f>[1]!BexGetData("DP_2","DL719O2RYNEBZX0HTMQQ0BY0J","17","E","22013082E207","2067134021")</f>
        <v>109228.72</v>
      </c>
      <c r="H1235" s="48">
        <f>[1]!BexGetData("DP_2","DL719O2RYNGN1RZRS91K7M4TV","17","E","22013082E207","2067134021")</f>
        <v>109228.72</v>
      </c>
      <c r="I1235" s="48">
        <f>[1]!BexGetData("DP_2","DL719O2RYNIY3MZ1QVCEEWBN7","17","E","22013082E207","2067134021")</f>
        <v>0</v>
      </c>
    </row>
    <row r="1236" spans="1:9" x14ac:dyDescent="0.2">
      <c r="A1236" s="46" t="s">
        <v>32</v>
      </c>
      <c r="B1236" s="46" t="s">
        <v>32</v>
      </c>
      <c r="C1236" s="46" t="s">
        <v>32</v>
      </c>
      <c r="D1236" s="46" t="s">
        <v>32</v>
      </c>
      <c r="E1236" s="46" t="s">
        <v>32</v>
      </c>
      <c r="F1236" s="47">
        <f>[1]!BexGetData("DP_2","DL719O2RYNC0Y217V0FVT1R77","17","E","22013082E207","2067141011")</f>
        <v>28855.599999999999</v>
      </c>
      <c r="G1236" s="48">
        <f>[1]!BexGetData("DP_2","DL719O2RYNEBZX0HTMQQ0BY0J","17","E","22013082E207","2067141011")</f>
        <v>28855.599999999999</v>
      </c>
      <c r="H1236" s="48">
        <f>[1]!BexGetData("DP_2","DL719O2RYNGN1RZRS91K7M4TV","17","E","22013082E207","2067141011")</f>
        <v>28855.599999999999</v>
      </c>
      <c r="I1236" s="48">
        <f>[1]!BexGetData("DP_2","DL719O2RYNIY3MZ1QVCEEWBN7","17","E","22013082E207","2067141011")</f>
        <v>0</v>
      </c>
    </row>
    <row r="1237" spans="1:9" x14ac:dyDescent="0.2">
      <c r="A1237" s="46" t="s">
        <v>32</v>
      </c>
      <c r="B1237" s="46" t="s">
        <v>32</v>
      </c>
      <c r="C1237" s="46" t="s">
        <v>32</v>
      </c>
      <c r="D1237" s="46" t="s">
        <v>32</v>
      </c>
      <c r="E1237" s="46" t="s">
        <v>32</v>
      </c>
      <c r="F1237" s="47">
        <f>[1]!BexGetData("DP_2","DL719O2RYNC0Y217V0FVT1R77","17","E","22013082E207","2067141021")</f>
        <v>9709.23</v>
      </c>
      <c r="G1237" s="48">
        <f>[1]!BexGetData("DP_2","DL719O2RYNEBZX0HTMQQ0BY0J","17","E","22013082E207","2067141021")</f>
        <v>9709.23</v>
      </c>
      <c r="H1237" s="48">
        <f>[1]!BexGetData("DP_2","DL719O2RYNGN1RZRS91K7M4TV","17","E","22013082E207","2067141021")</f>
        <v>9709.23</v>
      </c>
      <c r="I1237" s="48">
        <f>[1]!BexGetData("DP_2","DL719O2RYNIY3MZ1QVCEEWBN7","17","E","22013082E207","2067141021")</f>
        <v>0</v>
      </c>
    </row>
    <row r="1238" spans="1:9" x14ac:dyDescent="0.2">
      <c r="A1238" s="46" t="s">
        <v>32</v>
      </c>
      <c r="B1238" s="46" t="s">
        <v>32</v>
      </c>
      <c r="C1238" s="46" t="s">
        <v>32</v>
      </c>
      <c r="D1238" s="46" t="s">
        <v>32</v>
      </c>
      <c r="E1238" s="46" t="s">
        <v>32</v>
      </c>
      <c r="F1238" s="47">
        <f>[1]!BexGetData("DP_2","DL719O2RYNC0Y217V0FVT1R77","17","E","22013082E207","2067143011")</f>
        <v>4542.3100000000004</v>
      </c>
      <c r="G1238" s="48">
        <f>[1]!BexGetData("DP_2","DL719O2RYNEBZX0HTMQQ0BY0J","17","E","22013082E207","2067143011")</f>
        <v>4542.3100000000004</v>
      </c>
      <c r="H1238" s="48">
        <f>[1]!BexGetData("DP_2","DL719O2RYNGN1RZRS91K7M4TV","17","E","22013082E207","2067143011")</f>
        <v>4542.3100000000004</v>
      </c>
      <c r="I1238" s="48">
        <f>[1]!BexGetData("DP_2","DL719O2RYNIY3MZ1QVCEEWBN7","17","E","22013082E207","2067143011")</f>
        <v>0</v>
      </c>
    </row>
    <row r="1239" spans="1:9" x14ac:dyDescent="0.2">
      <c r="A1239" s="46" t="s">
        <v>32</v>
      </c>
      <c r="B1239" s="46" t="s">
        <v>32</v>
      </c>
      <c r="C1239" s="46" t="s">
        <v>32</v>
      </c>
      <c r="D1239" s="46" t="s">
        <v>32</v>
      </c>
      <c r="E1239" s="46" t="s">
        <v>32</v>
      </c>
      <c r="F1239" s="47">
        <f>[1]!BexGetData("DP_2","DL719O2RYNC0Y217V0FVT1R77","17","E","22013082E207","2067151011")</f>
        <v>16710</v>
      </c>
      <c r="G1239" s="48">
        <f>[1]!BexGetData("DP_2","DL719O2RYNEBZX0HTMQQ0BY0J","17","E","22013082E207","2067151011")</f>
        <v>16710</v>
      </c>
      <c r="H1239" s="48">
        <f>[1]!BexGetData("DP_2","DL719O2RYNGN1RZRS91K7M4TV","17","E","22013082E207","2067151011")</f>
        <v>16710</v>
      </c>
      <c r="I1239" s="48">
        <f>[1]!BexGetData("DP_2","DL719O2RYNIY3MZ1QVCEEWBN7","17","E","22013082E207","2067151011")</f>
        <v>0</v>
      </c>
    </row>
    <row r="1240" spans="1:9" x14ac:dyDescent="0.2">
      <c r="A1240" s="46" t="s">
        <v>32</v>
      </c>
      <c r="B1240" s="46" t="s">
        <v>32</v>
      </c>
      <c r="C1240" s="46" t="s">
        <v>32</v>
      </c>
      <c r="D1240" s="46" t="s">
        <v>32</v>
      </c>
      <c r="E1240" s="46" t="s">
        <v>32</v>
      </c>
      <c r="F1240" s="47">
        <f>[1]!BexGetData("DP_2","DL719O2RYNC0Y217V0FVT1R77","17","E","22013082E207","2067154011")</f>
        <v>40766.18</v>
      </c>
      <c r="G1240" s="48">
        <f>[1]!BexGetData("DP_2","DL719O2RYNEBZX0HTMQQ0BY0J","17","E","22013082E207","2067154011")</f>
        <v>40766.18</v>
      </c>
      <c r="H1240" s="48">
        <f>[1]!BexGetData("DP_2","DL719O2RYNGN1RZRS91K7M4TV","17","E","22013082E207","2067154011")</f>
        <v>40766.18</v>
      </c>
      <c r="I1240" s="48">
        <f>[1]!BexGetData("DP_2","DL719O2RYNIY3MZ1QVCEEWBN7","17","E","22013082E207","2067154011")</f>
        <v>0</v>
      </c>
    </row>
    <row r="1241" spans="1:9" x14ac:dyDescent="0.2">
      <c r="A1241" s="46" t="s">
        <v>32</v>
      </c>
      <c r="B1241" s="46" t="s">
        <v>32</v>
      </c>
      <c r="C1241" s="46" t="s">
        <v>32</v>
      </c>
      <c r="D1241" s="46" t="s">
        <v>32</v>
      </c>
      <c r="E1241" s="46" t="s">
        <v>32</v>
      </c>
      <c r="F1241" s="47">
        <f>[1]!BexGetData("DP_2","DL719O2RYNC0Y217V0FVT1R77","17","E","22013082E207","2067211011")</f>
        <v>3536.84</v>
      </c>
      <c r="G1241" s="48">
        <f>[1]!BexGetData("DP_2","DL719O2RYNEBZX0HTMQQ0BY0J","17","E","22013082E207","2067211011")</f>
        <v>3536.84</v>
      </c>
      <c r="H1241" s="48">
        <f>[1]!BexGetData("DP_2","DL719O2RYNGN1RZRS91K7M4TV","17","E","22013082E207","2067211011")</f>
        <v>2456.88</v>
      </c>
      <c r="I1241" s="48">
        <f>[1]!BexGetData("DP_2","DL719O2RYNIY3MZ1QVCEEWBN7","17","E","22013082E207","2067211011")</f>
        <v>0</v>
      </c>
    </row>
    <row r="1242" spans="1:9" x14ac:dyDescent="0.2">
      <c r="A1242" s="46" t="s">
        <v>32</v>
      </c>
      <c r="B1242" s="46" t="s">
        <v>32</v>
      </c>
      <c r="C1242" s="46" t="s">
        <v>32</v>
      </c>
      <c r="D1242" s="46" t="s">
        <v>32</v>
      </c>
      <c r="E1242" s="46" t="s">
        <v>32</v>
      </c>
      <c r="F1242" s="47">
        <f>[1]!BexGetData("DP_2","DL719O2RYNC0Y217V0FVT1R77","17","E","22013082E207","2067211031")</f>
        <v>3974</v>
      </c>
      <c r="G1242" s="48">
        <f>[1]!BexGetData("DP_2","DL719O2RYNEBZX0HTMQQ0BY0J","17","E","22013082E207","2067211031")</f>
        <v>3974</v>
      </c>
      <c r="H1242" s="48">
        <f>[1]!BexGetData("DP_2","DL719O2RYNGN1RZRS91K7M4TV","17","E","22013082E207","2067211031")</f>
        <v>1480</v>
      </c>
      <c r="I1242" s="48">
        <f>[1]!BexGetData("DP_2","DL719O2RYNIY3MZ1QVCEEWBN7","17","E","22013082E207","2067211031")</f>
        <v>0</v>
      </c>
    </row>
    <row r="1243" spans="1:9" x14ac:dyDescent="0.2">
      <c r="A1243" s="46" t="s">
        <v>32</v>
      </c>
      <c r="B1243" s="46" t="s">
        <v>32</v>
      </c>
      <c r="C1243" s="46" t="s">
        <v>32</v>
      </c>
      <c r="D1243" s="46" t="s">
        <v>32</v>
      </c>
      <c r="E1243" s="46" t="s">
        <v>32</v>
      </c>
      <c r="F1243" s="47">
        <f>[1]!BexGetData("DP_2","DL719O2RYNC0Y217V0FVT1R77","17","E","22013082E207","2067214011")</f>
        <v>30758.639999999999</v>
      </c>
      <c r="G1243" s="48">
        <f>[1]!BexGetData("DP_2","DL719O2RYNEBZX0HTMQQ0BY0J","17","E","22013082E207","2067214011")</f>
        <v>30758.639999999999</v>
      </c>
      <c r="H1243" s="48">
        <f>[1]!BexGetData("DP_2","DL719O2RYNGN1RZRS91K7M4TV","17","E","22013082E207","2067214011")</f>
        <v>12326.24</v>
      </c>
      <c r="I1243" s="48">
        <f>[1]!BexGetData("DP_2","DL719O2RYNIY3MZ1QVCEEWBN7","17","E","22013082E207","2067214011")</f>
        <v>0</v>
      </c>
    </row>
    <row r="1244" spans="1:9" x14ac:dyDescent="0.2">
      <c r="A1244" s="46" t="s">
        <v>32</v>
      </c>
      <c r="B1244" s="46" t="s">
        <v>32</v>
      </c>
      <c r="C1244" s="46" t="s">
        <v>32</v>
      </c>
      <c r="D1244" s="46" t="s">
        <v>32</v>
      </c>
      <c r="E1244" s="46" t="s">
        <v>32</v>
      </c>
      <c r="F1244" s="47">
        <f>[1]!BexGetData("DP_2","DL719O2RYNC0Y217V0FVT1R77","17","E","22013082E207","2067214021")</f>
        <v>235</v>
      </c>
      <c r="G1244" s="48">
        <f>[1]!BexGetData("DP_2","DL719O2RYNEBZX0HTMQQ0BY0J","17","E","22013082E207","2067214021")</f>
        <v>235</v>
      </c>
      <c r="H1244" s="48">
        <f>[1]!BexGetData("DP_2","DL719O2RYNGN1RZRS91K7M4TV","17","E","22013082E207","2067214021")</f>
        <v>235</v>
      </c>
      <c r="I1244" s="48">
        <f>[1]!BexGetData("DP_2","DL719O2RYNIY3MZ1QVCEEWBN7","17","E","22013082E207","2067214021")</f>
        <v>0</v>
      </c>
    </row>
    <row r="1245" spans="1:9" x14ac:dyDescent="0.2">
      <c r="A1245" s="46" t="s">
        <v>32</v>
      </c>
      <c r="B1245" s="46" t="s">
        <v>32</v>
      </c>
      <c r="C1245" s="46" t="s">
        <v>32</v>
      </c>
      <c r="D1245" s="46" t="s">
        <v>32</v>
      </c>
      <c r="E1245" s="46" t="s">
        <v>32</v>
      </c>
      <c r="F1245" s="47">
        <f>[1]!BexGetData("DP_2","DL719O2RYNC0Y217V0FVT1R77","17","E","22013082E207","2067217011")</f>
        <v>487.2</v>
      </c>
      <c r="G1245" s="48">
        <f>[1]!BexGetData("DP_2","DL719O2RYNEBZX0HTMQQ0BY0J","17","E","22013082E207","2067217011")</f>
        <v>487.2</v>
      </c>
      <c r="H1245" s="48">
        <f>[1]!BexGetData("DP_2","DL719O2RYNGN1RZRS91K7M4TV","17","E","22013082E207","2067217011")</f>
        <v>0</v>
      </c>
      <c r="I1245" s="48">
        <f>[1]!BexGetData("DP_2","DL719O2RYNIY3MZ1QVCEEWBN7","17","E","22013082E207","2067217011")</f>
        <v>0</v>
      </c>
    </row>
    <row r="1246" spans="1:9" x14ac:dyDescent="0.2">
      <c r="A1246" s="46" t="s">
        <v>32</v>
      </c>
      <c r="B1246" s="46" t="s">
        <v>32</v>
      </c>
      <c r="C1246" s="46" t="s">
        <v>32</v>
      </c>
      <c r="D1246" s="46" t="s">
        <v>32</v>
      </c>
      <c r="E1246" s="46" t="s">
        <v>32</v>
      </c>
      <c r="F1246" s="47">
        <f>[1]!BexGetData("DP_2","DL719O2RYNC0Y217V0FVT1R77","17","E","22013082E207","2067245011")</f>
        <v>0</v>
      </c>
      <c r="G1246" s="48">
        <f>[1]!BexGetData("DP_2","DL719O2RYNEBZX0HTMQQ0BY0J","17","E","22013082E207","2067245011")</f>
        <v>0</v>
      </c>
      <c r="H1246" s="48">
        <f>[1]!BexGetData("DP_2","DL719O2RYNGN1RZRS91K7M4TV","17","E","22013082E207","2067245011")</f>
        <v>0</v>
      </c>
      <c r="I1246" s="48">
        <f>[1]!BexGetData("DP_2","DL719O2RYNIY3MZ1QVCEEWBN7","17","E","22013082E207","2067245011")</f>
        <v>0</v>
      </c>
    </row>
    <row r="1247" spans="1:9" x14ac:dyDescent="0.2">
      <c r="A1247" s="46" t="s">
        <v>32</v>
      </c>
      <c r="B1247" s="46" t="s">
        <v>32</v>
      </c>
      <c r="C1247" s="46" t="s">
        <v>32</v>
      </c>
      <c r="D1247" s="46" t="s">
        <v>32</v>
      </c>
      <c r="E1247" s="46" t="s">
        <v>32</v>
      </c>
      <c r="F1247" s="47">
        <f>[1]!BexGetData("DP_2","DL719O2RYNC0Y217V0FVT1R77","17","E","22013082E207","2067336011")</f>
        <v>19937.54</v>
      </c>
      <c r="G1247" s="48">
        <f>[1]!BexGetData("DP_2","DL719O2RYNEBZX0HTMQQ0BY0J","17","E","22013082E207","2067336011")</f>
        <v>19937.54</v>
      </c>
      <c r="H1247" s="48">
        <f>[1]!BexGetData("DP_2","DL719O2RYNGN1RZRS91K7M4TV","17","E","22013082E207","2067336011")</f>
        <v>10616.36</v>
      </c>
      <c r="I1247" s="48">
        <f>[1]!BexGetData("DP_2","DL719O2RYNIY3MZ1QVCEEWBN7","17","E","22013082E207","2067336011")</f>
        <v>0</v>
      </c>
    </row>
    <row r="1248" spans="1:9" x14ac:dyDescent="0.2">
      <c r="A1248" s="46" t="s">
        <v>32</v>
      </c>
      <c r="B1248" s="46" t="s">
        <v>32</v>
      </c>
      <c r="C1248" s="46" t="s">
        <v>80</v>
      </c>
      <c r="D1248" s="46" t="s">
        <v>80</v>
      </c>
      <c r="E1248" s="46" t="s">
        <v>32</v>
      </c>
      <c r="F1248" s="47">
        <f>[1]!BexGetData("DP_2","DL719O2RYNC0Y217V0FVT1R77","17","E","22013082E208","2067113011")</f>
        <v>4762456.32</v>
      </c>
      <c r="G1248" s="48">
        <f>[1]!BexGetData("DP_2","DL719O2RYNEBZX0HTMQQ0BY0J","17","E","22013082E208","2067113011")</f>
        <v>4762456.32</v>
      </c>
      <c r="H1248" s="48">
        <f>[1]!BexGetData("DP_2","DL719O2RYNGN1RZRS91K7M4TV","17","E","22013082E208","2067113011")</f>
        <v>4762456.32</v>
      </c>
      <c r="I1248" s="48">
        <f>[1]!BexGetData("DP_2","DL719O2RYNIY3MZ1QVCEEWBN7","17","E","22013082E208","2067113011")</f>
        <v>1.0000000000000001E-9</v>
      </c>
    </row>
    <row r="1249" spans="1:9" x14ac:dyDescent="0.2">
      <c r="A1249" s="46" t="s">
        <v>32</v>
      </c>
      <c r="B1249" s="46" t="s">
        <v>32</v>
      </c>
      <c r="C1249" s="46" t="s">
        <v>32</v>
      </c>
      <c r="D1249" s="46" t="s">
        <v>32</v>
      </c>
      <c r="E1249" s="46" t="s">
        <v>32</v>
      </c>
      <c r="F1249" s="47">
        <f>[1]!BexGetData("DP_2","DL719O2RYNC0Y217V0FVT1R77","17","E","22013082E208","2067113021")</f>
        <v>2404492.46</v>
      </c>
      <c r="G1249" s="48">
        <f>[1]!BexGetData("DP_2","DL719O2RYNEBZX0HTMQQ0BY0J","17","E","22013082E208","2067113021")</f>
        <v>2404492.46</v>
      </c>
      <c r="H1249" s="48">
        <f>[1]!BexGetData("DP_2","DL719O2RYNGN1RZRS91K7M4TV","17","E","22013082E208","2067113021")</f>
        <v>2404492.46</v>
      </c>
      <c r="I1249" s="48">
        <f>[1]!BexGetData("DP_2","DL719O2RYNIY3MZ1QVCEEWBN7","17","E","22013082E208","2067113021")</f>
        <v>0</v>
      </c>
    </row>
    <row r="1250" spans="1:9" x14ac:dyDescent="0.2">
      <c r="A1250" s="46" t="s">
        <v>32</v>
      </c>
      <c r="B1250" s="46" t="s">
        <v>32</v>
      </c>
      <c r="C1250" s="46" t="s">
        <v>32</v>
      </c>
      <c r="D1250" s="46" t="s">
        <v>32</v>
      </c>
      <c r="E1250" s="46" t="s">
        <v>32</v>
      </c>
      <c r="F1250" s="47">
        <f>[1]!BexGetData("DP_2","DL719O2RYNC0Y217V0FVT1R77","17","E","22013082E208","2067121011")</f>
        <v>35235.18</v>
      </c>
      <c r="G1250" s="48">
        <f>[1]!BexGetData("DP_2","DL719O2RYNEBZX0HTMQQ0BY0J","17","E","22013082E208","2067121011")</f>
        <v>35235.18</v>
      </c>
      <c r="H1250" s="48">
        <f>[1]!BexGetData("DP_2","DL719O2RYNGN1RZRS91K7M4TV","17","E","22013082E208","2067121011")</f>
        <v>0</v>
      </c>
      <c r="I1250" s="48">
        <f>[1]!BexGetData("DP_2","DL719O2RYNIY3MZ1QVCEEWBN7","17","E","22013082E208","2067121011")</f>
        <v>0</v>
      </c>
    </row>
    <row r="1251" spans="1:9" x14ac:dyDescent="0.2">
      <c r="A1251" s="46" t="s">
        <v>32</v>
      </c>
      <c r="B1251" s="46" t="s">
        <v>32</v>
      </c>
      <c r="C1251" s="46" t="s">
        <v>32</v>
      </c>
      <c r="D1251" s="46" t="s">
        <v>32</v>
      </c>
      <c r="E1251" s="46" t="s">
        <v>32</v>
      </c>
      <c r="F1251" s="47">
        <f>[1]!BexGetData("DP_2","DL719O2RYNC0Y217V0FVT1R77","17","E","22013082E208","2067122011")</f>
        <v>229200.05</v>
      </c>
      <c r="G1251" s="48">
        <f>[1]!BexGetData("DP_2","DL719O2RYNEBZX0HTMQQ0BY0J","17","E","22013082E208","2067122011")</f>
        <v>229200.05</v>
      </c>
      <c r="H1251" s="48">
        <f>[1]!BexGetData("DP_2","DL719O2RYNGN1RZRS91K7M4TV","17","E","22013082E208","2067122011")</f>
        <v>229200.05</v>
      </c>
      <c r="I1251" s="48">
        <f>[1]!BexGetData("DP_2","DL719O2RYNIY3MZ1QVCEEWBN7","17","E","22013082E208","2067122011")</f>
        <v>0</v>
      </c>
    </row>
    <row r="1252" spans="1:9" x14ac:dyDescent="0.2">
      <c r="A1252" s="46" t="s">
        <v>32</v>
      </c>
      <c r="B1252" s="46" t="s">
        <v>32</v>
      </c>
      <c r="C1252" s="46" t="s">
        <v>32</v>
      </c>
      <c r="D1252" s="46" t="s">
        <v>32</v>
      </c>
      <c r="E1252" s="46" t="s">
        <v>32</v>
      </c>
      <c r="F1252" s="47">
        <f>[1]!BexGetData("DP_2","DL719O2RYNC0Y217V0FVT1R77","17","E","22013082E208","2067122021")</f>
        <v>915308.36</v>
      </c>
      <c r="G1252" s="48">
        <f>[1]!BexGetData("DP_2","DL719O2RYNEBZX0HTMQQ0BY0J","17","E","22013082E208","2067122021")</f>
        <v>915308.36</v>
      </c>
      <c r="H1252" s="48">
        <f>[1]!BexGetData("DP_2","DL719O2RYNGN1RZRS91K7M4TV","17","E","22013082E208","2067122021")</f>
        <v>868609.38</v>
      </c>
      <c r="I1252" s="48">
        <f>[1]!BexGetData("DP_2","DL719O2RYNIY3MZ1QVCEEWBN7","17","E","22013082E208","2067122021")</f>
        <v>0</v>
      </c>
    </row>
    <row r="1253" spans="1:9" x14ac:dyDescent="0.2">
      <c r="A1253" s="46" t="s">
        <v>32</v>
      </c>
      <c r="B1253" s="46" t="s">
        <v>32</v>
      </c>
      <c r="C1253" s="46" t="s">
        <v>32</v>
      </c>
      <c r="D1253" s="46" t="s">
        <v>32</v>
      </c>
      <c r="E1253" s="46" t="s">
        <v>32</v>
      </c>
      <c r="F1253" s="47">
        <f>[1]!BexGetData("DP_2","DL719O2RYNC0Y217V0FVT1R77","17","E","22013082E208","2067131011")</f>
        <v>519191.6</v>
      </c>
      <c r="G1253" s="48">
        <f>[1]!BexGetData("DP_2","DL719O2RYNEBZX0HTMQQ0BY0J","17","E","22013082E208","2067131011")</f>
        <v>519191.6</v>
      </c>
      <c r="H1253" s="48">
        <f>[1]!BexGetData("DP_2","DL719O2RYNGN1RZRS91K7M4TV","17","E","22013082E208","2067131011")</f>
        <v>519191.6</v>
      </c>
      <c r="I1253" s="48">
        <f>[1]!BexGetData("DP_2","DL719O2RYNIY3MZ1QVCEEWBN7","17","E","22013082E208","2067131011")</f>
        <v>0</v>
      </c>
    </row>
    <row r="1254" spans="1:9" x14ac:dyDescent="0.2">
      <c r="A1254" s="46" t="s">
        <v>32</v>
      </c>
      <c r="B1254" s="46" t="s">
        <v>32</v>
      </c>
      <c r="C1254" s="46" t="s">
        <v>32</v>
      </c>
      <c r="D1254" s="46" t="s">
        <v>32</v>
      </c>
      <c r="E1254" s="46" t="s">
        <v>32</v>
      </c>
      <c r="F1254" s="47">
        <f>[1]!BexGetData("DP_2","DL719O2RYNC0Y217V0FVT1R77","17","E","22013082E208","2067131021")</f>
        <v>154880.26</v>
      </c>
      <c r="G1254" s="48">
        <f>[1]!BexGetData("DP_2","DL719O2RYNEBZX0HTMQQ0BY0J","17","E","22013082E208","2067131021")</f>
        <v>154880.26</v>
      </c>
      <c r="H1254" s="48">
        <f>[1]!BexGetData("DP_2","DL719O2RYNGN1RZRS91K7M4TV","17","E","22013082E208","2067131021")</f>
        <v>154880.26</v>
      </c>
      <c r="I1254" s="48">
        <f>[1]!BexGetData("DP_2","DL719O2RYNIY3MZ1QVCEEWBN7","17","E","22013082E208","2067131021")</f>
        <v>0</v>
      </c>
    </row>
    <row r="1255" spans="1:9" x14ac:dyDescent="0.2">
      <c r="A1255" s="46" t="s">
        <v>32</v>
      </c>
      <c r="B1255" s="46" t="s">
        <v>32</v>
      </c>
      <c r="C1255" s="46" t="s">
        <v>32</v>
      </c>
      <c r="D1255" s="46" t="s">
        <v>32</v>
      </c>
      <c r="E1255" s="46" t="s">
        <v>32</v>
      </c>
      <c r="F1255" s="47">
        <f>[1]!BexGetData("DP_2","DL719O2RYNC0Y217V0FVT1R77","17","E","22013082E208","2067132011")</f>
        <v>353733.95</v>
      </c>
      <c r="G1255" s="48">
        <f>[1]!BexGetData("DP_2","DL719O2RYNEBZX0HTMQQ0BY0J","17","E","22013082E208","2067132011")</f>
        <v>353733.95</v>
      </c>
      <c r="H1255" s="48">
        <f>[1]!BexGetData("DP_2","DL719O2RYNGN1RZRS91K7M4TV","17","E","22013082E208","2067132011")</f>
        <v>353733.95</v>
      </c>
      <c r="I1255" s="48">
        <f>[1]!BexGetData("DP_2","DL719O2RYNIY3MZ1QVCEEWBN7","17","E","22013082E208","2067132011")</f>
        <v>0</v>
      </c>
    </row>
    <row r="1256" spans="1:9" x14ac:dyDescent="0.2">
      <c r="A1256" s="46" t="s">
        <v>32</v>
      </c>
      <c r="B1256" s="46" t="s">
        <v>32</v>
      </c>
      <c r="C1256" s="46" t="s">
        <v>32</v>
      </c>
      <c r="D1256" s="46" t="s">
        <v>32</v>
      </c>
      <c r="E1256" s="46" t="s">
        <v>32</v>
      </c>
      <c r="F1256" s="47">
        <f>[1]!BexGetData("DP_2","DL719O2RYNC0Y217V0FVT1R77","17","E","22013082E208","2067132021")</f>
        <v>1618272.69</v>
      </c>
      <c r="G1256" s="48">
        <f>[1]!BexGetData("DP_2","DL719O2RYNEBZX0HTMQQ0BY0J","17","E","22013082E208","2067132021")</f>
        <v>1618272.69</v>
      </c>
      <c r="H1256" s="48">
        <f>[1]!BexGetData("DP_2","DL719O2RYNGN1RZRS91K7M4TV","17","E","22013082E208","2067132021")</f>
        <v>1618272.69</v>
      </c>
      <c r="I1256" s="48">
        <f>[1]!BexGetData("DP_2","DL719O2RYNIY3MZ1QVCEEWBN7","17","E","22013082E208","2067132021")</f>
        <v>0</v>
      </c>
    </row>
    <row r="1257" spans="1:9" x14ac:dyDescent="0.2">
      <c r="A1257" s="46" t="s">
        <v>32</v>
      </c>
      <c r="B1257" s="46" t="s">
        <v>32</v>
      </c>
      <c r="C1257" s="46" t="s">
        <v>32</v>
      </c>
      <c r="D1257" s="46" t="s">
        <v>32</v>
      </c>
      <c r="E1257" s="46" t="s">
        <v>32</v>
      </c>
      <c r="F1257" s="47">
        <f>[1]!BexGetData("DP_2","DL719O2RYNC0Y217V0FVT1R77","17","E","22013082E208","2067133011")</f>
        <v>2124051.91</v>
      </c>
      <c r="G1257" s="48">
        <f>[1]!BexGetData("DP_2","DL719O2RYNEBZX0HTMQQ0BY0J","17","E","22013082E208","2067133011")</f>
        <v>2124051.91</v>
      </c>
      <c r="H1257" s="48">
        <f>[1]!BexGetData("DP_2","DL719O2RYNGN1RZRS91K7M4TV","17","E","22013082E208","2067133011")</f>
        <v>2124051.91</v>
      </c>
      <c r="I1257" s="48">
        <f>[1]!BexGetData("DP_2","DL719O2RYNIY3MZ1QVCEEWBN7","17","E","22013082E208","2067133011")</f>
        <v>0</v>
      </c>
    </row>
    <row r="1258" spans="1:9" x14ac:dyDescent="0.2">
      <c r="A1258" s="46" t="s">
        <v>32</v>
      </c>
      <c r="B1258" s="46" t="s">
        <v>32</v>
      </c>
      <c r="C1258" s="46" t="s">
        <v>32</v>
      </c>
      <c r="D1258" s="46" t="s">
        <v>32</v>
      </c>
      <c r="E1258" s="46" t="s">
        <v>32</v>
      </c>
      <c r="F1258" s="47">
        <f>[1]!BexGetData("DP_2","DL719O2RYNC0Y217V0FVT1R77","17","E","22013082E208","2067134011")</f>
        <v>751716.7</v>
      </c>
      <c r="G1258" s="48">
        <f>[1]!BexGetData("DP_2","DL719O2RYNEBZX0HTMQQ0BY0J","17","E","22013082E208","2067134011")</f>
        <v>751716.7</v>
      </c>
      <c r="H1258" s="48">
        <f>[1]!BexGetData("DP_2","DL719O2RYNGN1RZRS91K7M4TV","17","E","22013082E208","2067134011")</f>
        <v>763503.64</v>
      </c>
      <c r="I1258" s="48">
        <f>[1]!BexGetData("DP_2","DL719O2RYNIY3MZ1QVCEEWBN7","17","E","22013082E208","2067134011")</f>
        <v>0</v>
      </c>
    </row>
    <row r="1259" spans="1:9" x14ac:dyDescent="0.2">
      <c r="A1259" s="46" t="s">
        <v>32</v>
      </c>
      <c r="B1259" s="46" t="s">
        <v>32</v>
      </c>
      <c r="C1259" s="46" t="s">
        <v>32</v>
      </c>
      <c r="D1259" s="46" t="s">
        <v>32</v>
      </c>
      <c r="E1259" s="46" t="s">
        <v>32</v>
      </c>
      <c r="F1259" s="47">
        <f>[1]!BexGetData("DP_2","DL719O2RYNC0Y217V0FVT1R77","17","E","22013082E208","2067134021")</f>
        <v>1984145.93</v>
      </c>
      <c r="G1259" s="48">
        <f>[1]!BexGetData("DP_2","DL719O2RYNEBZX0HTMQQ0BY0J","17","E","22013082E208","2067134021")</f>
        <v>1984145.93</v>
      </c>
      <c r="H1259" s="48">
        <f>[1]!BexGetData("DP_2","DL719O2RYNGN1RZRS91K7M4TV","17","E","22013082E208","2067134021")</f>
        <v>1984145.93</v>
      </c>
      <c r="I1259" s="48">
        <f>[1]!BexGetData("DP_2","DL719O2RYNIY3MZ1QVCEEWBN7","17","E","22013082E208","2067134021")</f>
        <v>0</v>
      </c>
    </row>
    <row r="1260" spans="1:9" x14ac:dyDescent="0.2">
      <c r="A1260" s="46" t="s">
        <v>32</v>
      </c>
      <c r="B1260" s="46" t="s">
        <v>32</v>
      </c>
      <c r="C1260" s="46" t="s">
        <v>32</v>
      </c>
      <c r="D1260" s="46" t="s">
        <v>32</v>
      </c>
      <c r="E1260" s="46" t="s">
        <v>32</v>
      </c>
      <c r="F1260" s="47">
        <f>[1]!BexGetData("DP_2","DL719O2RYNC0Y217V0FVT1R77","17","E","22013082E208","2067141011")</f>
        <v>1569357.07</v>
      </c>
      <c r="G1260" s="48">
        <f>[1]!BexGetData("DP_2","DL719O2RYNEBZX0HTMQQ0BY0J","17","E","22013082E208","2067141011")</f>
        <v>1569357.07</v>
      </c>
      <c r="H1260" s="48">
        <f>[1]!BexGetData("DP_2","DL719O2RYNGN1RZRS91K7M4TV","17","E","22013082E208","2067141011")</f>
        <v>1569357.07</v>
      </c>
      <c r="I1260" s="48">
        <f>[1]!BexGetData("DP_2","DL719O2RYNIY3MZ1QVCEEWBN7","17","E","22013082E208","2067141011")</f>
        <v>0</v>
      </c>
    </row>
    <row r="1261" spans="1:9" x14ac:dyDescent="0.2">
      <c r="A1261" s="46" t="s">
        <v>32</v>
      </c>
      <c r="B1261" s="46" t="s">
        <v>32</v>
      </c>
      <c r="C1261" s="46" t="s">
        <v>32</v>
      </c>
      <c r="D1261" s="46" t="s">
        <v>32</v>
      </c>
      <c r="E1261" s="46" t="s">
        <v>32</v>
      </c>
      <c r="F1261" s="47">
        <f>[1]!BexGetData("DP_2","DL719O2RYNC0Y217V0FVT1R77","17","E","22013082E208","2067141021")</f>
        <v>431916.95</v>
      </c>
      <c r="G1261" s="48">
        <f>[1]!BexGetData("DP_2","DL719O2RYNEBZX0HTMQQ0BY0J","17","E","22013082E208","2067141021")</f>
        <v>431916.95</v>
      </c>
      <c r="H1261" s="48">
        <f>[1]!BexGetData("DP_2","DL719O2RYNGN1RZRS91K7M4TV","17","E","22013082E208","2067141021")</f>
        <v>431916.95</v>
      </c>
      <c r="I1261" s="48">
        <f>[1]!BexGetData("DP_2","DL719O2RYNIY3MZ1QVCEEWBN7","17","E","22013082E208","2067141021")</f>
        <v>0</v>
      </c>
    </row>
    <row r="1262" spans="1:9" x14ac:dyDescent="0.2">
      <c r="A1262" s="46" t="s">
        <v>32</v>
      </c>
      <c r="B1262" s="46" t="s">
        <v>32</v>
      </c>
      <c r="C1262" s="46" t="s">
        <v>32</v>
      </c>
      <c r="D1262" s="46" t="s">
        <v>32</v>
      </c>
      <c r="E1262" s="46" t="s">
        <v>32</v>
      </c>
      <c r="F1262" s="47">
        <f>[1]!BexGetData("DP_2","DL719O2RYNC0Y217V0FVT1R77","17","E","22013082E208","2067143011")</f>
        <v>205300.93</v>
      </c>
      <c r="G1262" s="48">
        <f>[1]!BexGetData("DP_2","DL719O2RYNEBZX0HTMQQ0BY0J","17","E","22013082E208","2067143011")</f>
        <v>205300.93</v>
      </c>
      <c r="H1262" s="48">
        <f>[1]!BexGetData("DP_2","DL719O2RYNGN1RZRS91K7M4TV","17","E","22013082E208","2067143011")</f>
        <v>205300.93</v>
      </c>
      <c r="I1262" s="48">
        <f>[1]!BexGetData("DP_2","DL719O2RYNIY3MZ1QVCEEWBN7","17","E","22013082E208","2067143011")</f>
        <v>0</v>
      </c>
    </row>
    <row r="1263" spans="1:9" x14ac:dyDescent="0.2">
      <c r="A1263" s="46" t="s">
        <v>32</v>
      </c>
      <c r="B1263" s="46" t="s">
        <v>32</v>
      </c>
      <c r="C1263" s="46" t="s">
        <v>32</v>
      </c>
      <c r="D1263" s="46" t="s">
        <v>32</v>
      </c>
      <c r="E1263" s="46" t="s">
        <v>32</v>
      </c>
      <c r="F1263" s="47">
        <f>[1]!BexGetData("DP_2","DL719O2RYNC0Y217V0FVT1R77","17","E","22013082E208","2067151011")</f>
        <v>860776.68</v>
      </c>
      <c r="G1263" s="48">
        <f>[1]!BexGetData("DP_2","DL719O2RYNEBZX0HTMQQ0BY0J","17","E","22013082E208","2067151011")</f>
        <v>860776.68</v>
      </c>
      <c r="H1263" s="48">
        <f>[1]!BexGetData("DP_2","DL719O2RYNGN1RZRS91K7M4TV","17","E","22013082E208","2067151011")</f>
        <v>860776.68</v>
      </c>
      <c r="I1263" s="48">
        <f>[1]!BexGetData("DP_2","DL719O2RYNIY3MZ1QVCEEWBN7","17","E","22013082E208","2067151011")</f>
        <v>0</v>
      </c>
    </row>
    <row r="1264" spans="1:9" x14ac:dyDescent="0.2">
      <c r="A1264" s="46" t="s">
        <v>32</v>
      </c>
      <c r="B1264" s="46" t="s">
        <v>32</v>
      </c>
      <c r="C1264" s="46" t="s">
        <v>32</v>
      </c>
      <c r="D1264" s="46" t="s">
        <v>32</v>
      </c>
      <c r="E1264" s="46" t="s">
        <v>32</v>
      </c>
      <c r="F1264" s="47">
        <f>[1]!BexGetData("DP_2","DL719O2RYNC0Y217V0FVT1R77","17","E","22013082E208","2067154011")</f>
        <v>3502516.24</v>
      </c>
      <c r="G1264" s="48">
        <f>[1]!BexGetData("DP_2","DL719O2RYNEBZX0HTMQQ0BY0J","17","E","22013082E208","2067154011")</f>
        <v>3502516.24</v>
      </c>
      <c r="H1264" s="48">
        <f>[1]!BexGetData("DP_2","DL719O2RYNGN1RZRS91K7M4TV","17","E","22013082E208","2067154011")</f>
        <v>3500566.24</v>
      </c>
      <c r="I1264" s="48">
        <f>[1]!BexGetData("DP_2","DL719O2RYNIY3MZ1QVCEEWBN7","17","E","22013082E208","2067154011")</f>
        <v>0</v>
      </c>
    </row>
    <row r="1265" spans="1:9" x14ac:dyDescent="0.2">
      <c r="A1265" s="46" t="s">
        <v>32</v>
      </c>
      <c r="B1265" s="46" t="s">
        <v>32</v>
      </c>
      <c r="C1265" s="46" t="s">
        <v>32</v>
      </c>
      <c r="D1265" s="46" t="s">
        <v>32</v>
      </c>
      <c r="E1265" s="46" t="s">
        <v>32</v>
      </c>
      <c r="F1265" s="47">
        <f>[1]!BexGetData("DP_2","DL719O2RYNC0Y217V0FVT1R77","17","E","22013082E208","2067211011")</f>
        <v>788.8</v>
      </c>
      <c r="G1265" s="48">
        <f>[1]!BexGetData("DP_2","DL719O2RYNEBZX0HTMQQ0BY0J","17","E","22013082E208","2067211011")</f>
        <v>788.8</v>
      </c>
      <c r="H1265" s="48">
        <f>[1]!BexGetData("DP_2","DL719O2RYNGN1RZRS91K7M4TV","17","E","22013082E208","2067211011")</f>
        <v>788.8</v>
      </c>
      <c r="I1265" s="48">
        <f>[1]!BexGetData("DP_2","DL719O2RYNIY3MZ1QVCEEWBN7","17","E","22013082E208","2067211011")</f>
        <v>0</v>
      </c>
    </row>
    <row r="1266" spans="1:9" x14ac:dyDescent="0.2">
      <c r="A1266" s="46" t="s">
        <v>32</v>
      </c>
      <c r="B1266" s="46" t="s">
        <v>32</v>
      </c>
      <c r="C1266" s="46" t="s">
        <v>32</v>
      </c>
      <c r="D1266" s="46" t="s">
        <v>32</v>
      </c>
      <c r="E1266" s="46" t="s">
        <v>32</v>
      </c>
      <c r="F1266" s="47">
        <f>[1]!BexGetData("DP_2","DL719O2RYNC0Y217V0FVT1R77","17","E","22013082E208","2067214011")</f>
        <v>0</v>
      </c>
      <c r="G1266" s="48">
        <f>[1]!BexGetData("DP_2","DL719O2RYNEBZX0HTMQQ0BY0J","17","E","22013082E208","2067214011")</f>
        <v>0</v>
      </c>
      <c r="H1266" s="48">
        <f>[1]!BexGetData("DP_2","DL719O2RYNGN1RZRS91K7M4TV","17","E","22013082E208","2067214011")</f>
        <v>0</v>
      </c>
      <c r="I1266" s="48">
        <f>[1]!BexGetData("DP_2","DL719O2RYNIY3MZ1QVCEEWBN7","17","E","22013082E208","2067214011")</f>
        <v>0</v>
      </c>
    </row>
    <row r="1267" spans="1:9" x14ac:dyDescent="0.2">
      <c r="A1267" s="46" t="s">
        <v>32</v>
      </c>
      <c r="B1267" s="46" t="s">
        <v>32</v>
      </c>
      <c r="C1267" s="46" t="s">
        <v>32</v>
      </c>
      <c r="D1267" s="46" t="s">
        <v>32</v>
      </c>
      <c r="E1267" s="46" t="s">
        <v>32</v>
      </c>
      <c r="F1267" s="47">
        <f>[1]!BexGetData("DP_2","DL719O2RYNC0Y217V0FVT1R77","17","E","22013082E208","2067216011")</f>
        <v>5180.26</v>
      </c>
      <c r="G1267" s="48">
        <f>[1]!BexGetData("DP_2","DL719O2RYNEBZX0HTMQQ0BY0J","17","E","22013082E208","2067216011")</f>
        <v>5180.26</v>
      </c>
      <c r="H1267" s="48">
        <f>[1]!BexGetData("DP_2","DL719O2RYNGN1RZRS91K7M4TV","17","E","22013082E208","2067216011")</f>
        <v>3340.96</v>
      </c>
      <c r="I1267" s="48">
        <f>[1]!BexGetData("DP_2","DL719O2RYNIY3MZ1QVCEEWBN7","17","E","22013082E208","2067216011")</f>
        <v>0</v>
      </c>
    </row>
    <row r="1268" spans="1:9" x14ac:dyDescent="0.2">
      <c r="A1268" s="46" t="s">
        <v>32</v>
      </c>
      <c r="B1268" s="46" t="s">
        <v>32</v>
      </c>
      <c r="C1268" s="46" t="s">
        <v>32</v>
      </c>
      <c r="D1268" s="46" t="s">
        <v>32</v>
      </c>
      <c r="E1268" s="46" t="s">
        <v>32</v>
      </c>
      <c r="F1268" s="47">
        <f>[1]!BexGetData("DP_2","DL719O2RYNC0Y217V0FVT1R77","17","E","22013082E208","2067234011")</f>
        <v>1115004.49</v>
      </c>
      <c r="G1268" s="48">
        <f>[1]!BexGetData("DP_2","DL719O2RYNEBZX0HTMQQ0BY0J","17","E","22013082E208","2067234011")</f>
        <v>1115004.49</v>
      </c>
      <c r="H1268" s="48">
        <f>[1]!BexGetData("DP_2","DL719O2RYNGN1RZRS91K7M4TV","17","E","22013082E208","2067234011")</f>
        <v>752268</v>
      </c>
      <c r="I1268" s="48">
        <f>[1]!BexGetData("DP_2","DL719O2RYNIY3MZ1QVCEEWBN7","17","E","22013082E208","2067234011")</f>
        <v>0</v>
      </c>
    </row>
    <row r="1269" spans="1:9" x14ac:dyDescent="0.2">
      <c r="A1269" s="46" t="s">
        <v>32</v>
      </c>
      <c r="B1269" s="46" t="s">
        <v>32</v>
      </c>
      <c r="C1269" s="46" t="s">
        <v>32</v>
      </c>
      <c r="D1269" s="46" t="s">
        <v>32</v>
      </c>
      <c r="E1269" s="46" t="s">
        <v>32</v>
      </c>
      <c r="F1269" s="47">
        <f>[1]!BexGetData("DP_2","DL719O2RYNC0Y217V0FVT1R77","17","E","22013082E208","2067241011")</f>
        <v>1572306.34</v>
      </c>
      <c r="G1269" s="48">
        <f>[1]!BexGetData("DP_2","DL719O2RYNEBZX0HTMQQ0BY0J","17","E","22013082E208","2067241011")</f>
        <v>1572306.34</v>
      </c>
      <c r="H1269" s="48">
        <f>[1]!BexGetData("DP_2","DL719O2RYNGN1RZRS91K7M4TV","17","E","22013082E208","2067241011")</f>
        <v>1067306.1399999999</v>
      </c>
      <c r="I1269" s="48">
        <f>[1]!BexGetData("DP_2","DL719O2RYNIY3MZ1QVCEEWBN7","17","E","22013082E208","2067241011")</f>
        <v>0</v>
      </c>
    </row>
    <row r="1270" spans="1:9" x14ac:dyDescent="0.2">
      <c r="A1270" s="46" t="s">
        <v>32</v>
      </c>
      <c r="B1270" s="46" t="s">
        <v>32</v>
      </c>
      <c r="C1270" s="46" t="s">
        <v>32</v>
      </c>
      <c r="D1270" s="46" t="s">
        <v>32</v>
      </c>
      <c r="E1270" s="46" t="s">
        <v>32</v>
      </c>
      <c r="F1270" s="47">
        <f>[1]!BexGetData("DP_2","DL719O2RYNC0Y217V0FVT1R77","17","E","22013082E208","2067242011")</f>
        <v>5206089.8600000003</v>
      </c>
      <c r="G1270" s="48">
        <f>[1]!BexGetData("DP_2","DL719O2RYNEBZX0HTMQQ0BY0J","17","E","22013082E208","2067242011")</f>
        <v>5206089.8600000003</v>
      </c>
      <c r="H1270" s="48">
        <f>[1]!BexGetData("DP_2","DL719O2RYNGN1RZRS91K7M4TV","17","E","22013082E208","2067242011")</f>
        <v>3458502.53</v>
      </c>
      <c r="I1270" s="48">
        <f>[1]!BexGetData("DP_2","DL719O2RYNIY3MZ1QVCEEWBN7","17","E","22013082E208","2067242011")</f>
        <v>-1.0000000000000001E-9</v>
      </c>
    </row>
    <row r="1271" spans="1:9" x14ac:dyDescent="0.2">
      <c r="A1271" s="46" t="s">
        <v>32</v>
      </c>
      <c r="B1271" s="46" t="s">
        <v>32</v>
      </c>
      <c r="C1271" s="46" t="s">
        <v>32</v>
      </c>
      <c r="D1271" s="46" t="s">
        <v>32</v>
      </c>
      <c r="E1271" s="46" t="s">
        <v>32</v>
      </c>
      <c r="F1271" s="47">
        <f>[1]!BexGetData("DP_2","DL719O2RYNC0Y217V0FVT1R77","17","E","22013082E208","2067244011")</f>
        <v>0</v>
      </c>
      <c r="G1271" s="48">
        <f>[1]!BexGetData("DP_2","DL719O2RYNEBZX0HTMQQ0BY0J","17","E","22013082E208","2067244011")</f>
        <v>0</v>
      </c>
      <c r="H1271" s="48">
        <f>[1]!BexGetData("DP_2","DL719O2RYNGN1RZRS91K7M4TV","17","E","22013082E208","2067244011")</f>
        <v>0</v>
      </c>
      <c r="I1271" s="48">
        <f>[1]!BexGetData("DP_2","DL719O2RYNIY3MZ1QVCEEWBN7","17","E","22013082E208","2067244011")</f>
        <v>0</v>
      </c>
    </row>
    <row r="1272" spans="1:9" x14ac:dyDescent="0.2">
      <c r="A1272" s="46" t="s">
        <v>32</v>
      </c>
      <c r="B1272" s="46" t="s">
        <v>32</v>
      </c>
      <c r="C1272" s="46" t="s">
        <v>32</v>
      </c>
      <c r="D1272" s="46" t="s">
        <v>32</v>
      </c>
      <c r="E1272" s="46" t="s">
        <v>32</v>
      </c>
      <c r="F1272" s="47">
        <f>[1]!BexGetData("DP_2","DL719O2RYNC0Y217V0FVT1R77","17","E","22013082E208","2067246011")</f>
        <v>3124.86</v>
      </c>
      <c r="G1272" s="48">
        <f>[1]!BexGetData("DP_2","DL719O2RYNEBZX0HTMQQ0BY0J","17","E","22013082E208","2067246011")</f>
        <v>3124.86</v>
      </c>
      <c r="H1272" s="48">
        <f>[1]!BexGetData("DP_2","DL719O2RYNGN1RZRS91K7M4TV","17","E","22013082E208","2067246011")</f>
        <v>3124.86</v>
      </c>
      <c r="I1272" s="48">
        <f>[1]!BexGetData("DP_2","DL719O2RYNIY3MZ1QVCEEWBN7","17","E","22013082E208","2067246011")</f>
        <v>0</v>
      </c>
    </row>
    <row r="1273" spans="1:9" x14ac:dyDescent="0.2">
      <c r="A1273" s="46" t="s">
        <v>32</v>
      </c>
      <c r="B1273" s="46" t="s">
        <v>32</v>
      </c>
      <c r="C1273" s="46" t="s">
        <v>32</v>
      </c>
      <c r="D1273" s="46" t="s">
        <v>32</v>
      </c>
      <c r="E1273" s="46" t="s">
        <v>32</v>
      </c>
      <c r="F1273" s="47">
        <f>[1]!BexGetData("DP_2","DL719O2RYNC0Y217V0FVT1R77","17","E","22013082E208","2067247011")</f>
        <v>10008.18</v>
      </c>
      <c r="G1273" s="48">
        <f>[1]!BexGetData("DP_2","DL719O2RYNEBZX0HTMQQ0BY0J","17","E","22013082E208","2067247011")</f>
        <v>10008.18</v>
      </c>
      <c r="H1273" s="48">
        <f>[1]!BexGetData("DP_2","DL719O2RYNGN1RZRS91K7M4TV","17","E","22013082E208","2067247011")</f>
        <v>10008.18</v>
      </c>
      <c r="I1273" s="48">
        <f>[1]!BexGetData("DP_2","DL719O2RYNIY3MZ1QVCEEWBN7","17","E","22013082E208","2067247011")</f>
        <v>0</v>
      </c>
    </row>
    <row r="1274" spans="1:9" x14ac:dyDescent="0.2">
      <c r="A1274" s="46" t="s">
        <v>32</v>
      </c>
      <c r="B1274" s="46" t="s">
        <v>32</v>
      </c>
      <c r="C1274" s="46" t="s">
        <v>32</v>
      </c>
      <c r="D1274" s="46" t="s">
        <v>32</v>
      </c>
      <c r="E1274" s="46" t="s">
        <v>32</v>
      </c>
      <c r="F1274" s="47">
        <f>[1]!BexGetData("DP_2","DL719O2RYNC0Y217V0FVT1R77","17","E","22013082E208","2067249011")</f>
        <v>453.37</v>
      </c>
      <c r="G1274" s="48">
        <f>[1]!BexGetData("DP_2","DL719O2RYNEBZX0HTMQQ0BY0J","17","E","22013082E208","2067249011")</f>
        <v>453.37</v>
      </c>
      <c r="H1274" s="48">
        <f>[1]!BexGetData("DP_2","DL719O2RYNGN1RZRS91K7M4TV","17","E","22013082E208","2067249011")</f>
        <v>453.37</v>
      </c>
      <c r="I1274" s="48">
        <f>[1]!BexGetData("DP_2","DL719O2RYNIY3MZ1QVCEEWBN7","17","E","22013082E208","2067249011")</f>
        <v>0</v>
      </c>
    </row>
    <row r="1275" spans="1:9" x14ac:dyDescent="0.2">
      <c r="A1275" s="46" t="s">
        <v>32</v>
      </c>
      <c r="B1275" s="46" t="s">
        <v>32</v>
      </c>
      <c r="C1275" s="46" t="s">
        <v>32</v>
      </c>
      <c r="D1275" s="46" t="s">
        <v>32</v>
      </c>
      <c r="E1275" s="46" t="s">
        <v>32</v>
      </c>
      <c r="F1275" s="47">
        <f>[1]!BexGetData("DP_2","DL719O2RYNC0Y217V0FVT1R77","17","E","22013082E208","2067253021")</f>
        <v>330.71</v>
      </c>
      <c r="G1275" s="48">
        <f>[1]!BexGetData("DP_2","DL719O2RYNEBZX0HTMQQ0BY0J","17","E","22013082E208","2067253021")</f>
        <v>330.71</v>
      </c>
      <c r="H1275" s="48">
        <f>[1]!BexGetData("DP_2","DL719O2RYNGN1RZRS91K7M4TV","17","E","22013082E208","2067253021")</f>
        <v>330.71</v>
      </c>
      <c r="I1275" s="48">
        <f>[1]!BexGetData("DP_2","DL719O2RYNIY3MZ1QVCEEWBN7","17","E","22013082E208","2067253021")</f>
        <v>0</v>
      </c>
    </row>
    <row r="1276" spans="1:9" x14ac:dyDescent="0.2">
      <c r="A1276" s="46" t="s">
        <v>32</v>
      </c>
      <c r="B1276" s="46" t="s">
        <v>32</v>
      </c>
      <c r="C1276" s="46" t="s">
        <v>32</v>
      </c>
      <c r="D1276" s="46" t="s">
        <v>32</v>
      </c>
      <c r="E1276" s="46" t="s">
        <v>32</v>
      </c>
      <c r="F1276" s="47">
        <f>[1]!BexGetData("DP_2","DL719O2RYNC0Y217V0FVT1R77","17","E","22013082E208","2067254021")</f>
        <v>31.42</v>
      </c>
      <c r="G1276" s="48">
        <f>[1]!BexGetData("DP_2","DL719O2RYNEBZX0HTMQQ0BY0J","17","E","22013082E208","2067254021")</f>
        <v>31.42</v>
      </c>
      <c r="H1276" s="48">
        <f>[1]!BexGetData("DP_2","DL719O2RYNGN1RZRS91K7M4TV","17","E","22013082E208","2067254021")</f>
        <v>31.42</v>
      </c>
      <c r="I1276" s="48">
        <f>[1]!BexGetData("DP_2","DL719O2RYNIY3MZ1QVCEEWBN7","17","E","22013082E208","2067254021")</f>
        <v>0</v>
      </c>
    </row>
    <row r="1277" spans="1:9" x14ac:dyDescent="0.2">
      <c r="A1277" s="46" t="s">
        <v>32</v>
      </c>
      <c r="B1277" s="46" t="s">
        <v>32</v>
      </c>
      <c r="C1277" s="46" t="s">
        <v>32</v>
      </c>
      <c r="D1277" s="46" t="s">
        <v>32</v>
      </c>
      <c r="E1277" s="46" t="s">
        <v>32</v>
      </c>
      <c r="F1277" s="47">
        <f>[1]!BexGetData("DP_2","DL719O2RYNC0Y217V0FVT1R77","17","E","22013082E208","2067256011")</f>
        <v>37200</v>
      </c>
      <c r="G1277" s="48">
        <f>[1]!BexGetData("DP_2","DL719O2RYNEBZX0HTMQQ0BY0J","17","E","22013082E208","2067256011")</f>
        <v>37200</v>
      </c>
      <c r="H1277" s="48">
        <f>[1]!BexGetData("DP_2","DL719O2RYNGN1RZRS91K7M4TV","17","E","22013082E208","2067256011")</f>
        <v>37200</v>
      </c>
      <c r="I1277" s="48">
        <f>[1]!BexGetData("DP_2","DL719O2RYNIY3MZ1QVCEEWBN7","17","E","22013082E208","2067256011")</f>
        <v>0</v>
      </c>
    </row>
    <row r="1278" spans="1:9" x14ac:dyDescent="0.2">
      <c r="A1278" s="46" t="s">
        <v>32</v>
      </c>
      <c r="B1278" s="46" t="s">
        <v>32</v>
      </c>
      <c r="C1278" s="46" t="s">
        <v>32</v>
      </c>
      <c r="D1278" s="46" t="s">
        <v>32</v>
      </c>
      <c r="E1278" s="46" t="s">
        <v>32</v>
      </c>
      <c r="F1278" s="47">
        <f>[1]!BexGetData("DP_2","DL719O2RYNC0Y217V0FVT1R77","17","E","22013082E208","2067261011")</f>
        <v>2007222.44</v>
      </c>
      <c r="G1278" s="48">
        <f>[1]!BexGetData("DP_2","DL719O2RYNEBZX0HTMQQ0BY0J","17","E","22013082E208","2067261011")</f>
        <v>2007222.44</v>
      </c>
      <c r="H1278" s="48">
        <f>[1]!BexGetData("DP_2","DL719O2RYNGN1RZRS91K7M4TV","17","E","22013082E208","2067261011")</f>
        <v>1858672.36</v>
      </c>
      <c r="I1278" s="48">
        <f>[1]!BexGetData("DP_2","DL719O2RYNIY3MZ1QVCEEWBN7","17","E","22013082E208","2067261011")</f>
        <v>-1.0000000000000001E-9</v>
      </c>
    </row>
    <row r="1279" spans="1:9" x14ac:dyDescent="0.2">
      <c r="A1279" s="46" t="s">
        <v>32</v>
      </c>
      <c r="B1279" s="46" t="s">
        <v>32</v>
      </c>
      <c r="C1279" s="46" t="s">
        <v>32</v>
      </c>
      <c r="D1279" s="46" t="s">
        <v>32</v>
      </c>
      <c r="E1279" s="46" t="s">
        <v>32</v>
      </c>
      <c r="F1279" s="47">
        <f>[1]!BexGetData("DP_2","DL719O2RYNC0Y217V0FVT1R77","17","E","22013082E208","2067261021")</f>
        <v>10234</v>
      </c>
      <c r="G1279" s="48">
        <f>[1]!BexGetData("DP_2","DL719O2RYNEBZX0HTMQQ0BY0J","17","E","22013082E208","2067261021")</f>
        <v>10234</v>
      </c>
      <c r="H1279" s="48">
        <f>[1]!BexGetData("DP_2","DL719O2RYNGN1RZRS91K7M4TV","17","E","22013082E208","2067261021")</f>
        <v>10234</v>
      </c>
      <c r="I1279" s="48">
        <f>[1]!BexGetData("DP_2","DL719O2RYNIY3MZ1QVCEEWBN7","17","E","22013082E208","2067261021")</f>
        <v>0</v>
      </c>
    </row>
    <row r="1280" spans="1:9" x14ac:dyDescent="0.2">
      <c r="A1280" s="46" t="s">
        <v>32</v>
      </c>
      <c r="B1280" s="46" t="s">
        <v>32</v>
      </c>
      <c r="C1280" s="46" t="s">
        <v>32</v>
      </c>
      <c r="D1280" s="46" t="s">
        <v>32</v>
      </c>
      <c r="E1280" s="46" t="s">
        <v>32</v>
      </c>
      <c r="F1280" s="47">
        <f>[1]!BexGetData("DP_2","DL719O2RYNC0Y217V0FVT1R77","17","E","22013082E208","2067272011")</f>
        <v>11996.99</v>
      </c>
      <c r="G1280" s="48">
        <f>[1]!BexGetData("DP_2","DL719O2RYNEBZX0HTMQQ0BY0J","17","E","22013082E208","2067272011")</f>
        <v>11996.99</v>
      </c>
      <c r="H1280" s="48">
        <f>[1]!BexGetData("DP_2","DL719O2RYNGN1RZRS91K7M4TV","17","E","22013082E208","2067272011")</f>
        <v>11996.99</v>
      </c>
      <c r="I1280" s="48">
        <f>[1]!BexGetData("DP_2","DL719O2RYNIY3MZ1QVCEEWBN7","17","E","22013082E208","2067272011")</f>
        <v>0</v>
      </c>
    </row>
    <row r="1281" spans="1:9" x14ac:dyDescent="0.2">
      <c r="A1281" s="46" t="s">
        <v>32</v>
      </c>
      <c r="B1281" s="46" t="s">
        <v>32</v>
      </c>
      <c r="C1281" s="46" t="s">
        <v>32</v>
      </c>
      <c r="D1281" s="46" t="s">
        <v>32</v>
      </c>
      <c r="E1281" s="46" t="s">
        <v>32</v>
      </c>
      <c r="F1281" s="47">
        <f>[1]!BexGetData("DP_2","DL719O2RYNC0Y217V0FVT1R77","17","E","22013082E208","2067291011")</f>
        <v>88961.58</v>
      </c>
      <c r="G1281" s="48">
        <f>[1]!BexGetData("DP_2","DL719O2RYNEBZX0HTMQQ0BY0J","17","E","22013082E208","2067291011")</f>
        <v>88961.58</v>
      </c>
      <c r="H1281" s="48">
        <f>[1]!BexGetData("DP_2","DL719O2RYNGN1RZRS91K7M4TV","17","E","22013082E208","2067291011")</f>
        <v>88961.58</v>
      </c>
      <c r="I1281" s="48">
        <f>[1]!BexGetData("DP_2","DL719O2RYNIY3MZ1QVCEEWBN7","17","E","22013082E208","2067291011")</f>
        <v>0</v>
      </c>
    </row>
    <row r="1282" spans="1:9" x14ac:dyDescent="0.2">
      <c r="A1282" s="46" t="s">
        <v>32</v>
      </c>
      <c r="B1282" s="46" t="s">
        <v>32</v>
      </c>
      <c r="C1282" s="46" t="s">
        <v>32</v>
      </c>
      <c r="D1282" s="46" t="s">
        <v>32</v>
      </c>
      <c r="E1282" s="46" t="s">
        <v>32</v>
      </c>
      <c r="F1282" s="47">
        <f>[1]!BexGetData("DP_2","DL719O2RYNC0Y217V0FVT1R77","17","E","22013082E208","2067293011")</f>
        <v>50</v>
      </c>
      <c r="G1282" s="48">
        <f>[1]!BexGetData("DP_2","DL719O2RYNEBZX0HTMQQ0BY0J","17","E","22013082E208","2067293011")</f>
        <v>50</v>
      </c>
      <c r="H1282" s="48">
        <f>[1]!BexGetData("DP_2","DL719O2RYNGN1RZRS91K7M4TV","17","E","22013082E208","2067293011")</f>
        <v>50</v>
      </c>
      <c r="I1282" s="48">
        <f>[1]!BexGetData("DP_2","DL719O2RYNIY3MZ1QVCEEWBN7","17","E","22013082E208","2067293011")</f>
        <v>0</v>
      </c>
    </row>
    <row r="1283" spans="1:9" x14ac:dyDescent="0.2">
      <c r="A1283" s="46" t="s">
        <v>32</v>
      </c>
      <c r="B1283" s="46" t="s">
        <v>32</v>
      </c>
      <c r="C1283" s="46" t="s">
        <v>32</v>
      </c>
      <c r="D1283" s="46" t="s">
        <v>32</v>
      </c>
      <c r="E1283" s="46" t="s">
        <v>32</v>
      </c>
      <c r="F1283" s="47">
        <f>[1]!BexGetData("DP_2","DL719O2RYNC0Y217V0FVT1R77","17","E","22013082E208","2067296011")</f>
        <v>540</v>
      </c>
      <c r="G1283" s="48">
        <f>[1]!BexGetData("DP_2","DL719O2RYNEBZX0HTMQQ0BY0J","17","E","22013082E208","2067296011")</f>
        <v>540</v>
      </c>
      <c r="H1283" s="48">
        <f>[1]!BexGetData("DP_2","DL719O2RYNGN1RZRS91K7M4TV","17","E","22013082E208","2067296011")</f>
        <v>540</v>
      </c>
      <c r="I1283" s="48">
        <f>[1]!BexGetData("DP_2","DL719O2RYNIY3MZ1QVCEEWBN7","17","E","22013082E208","2067296011")</f>
        <v>0</v>
      </c>
    </row>
    <row r="1284" spans="1:9" x14ac:dyDescent="0.2">
      <c r="A1284" s="46" t="s">
        <v>32</v>
      </c>
      <c r="B1284" s="46" t="s">
        <v>32</v>
      </c>
      <c r="C1284" s="46" t="s">
        <v>32</v>
      </c>
      <c r="D1284" s="46" t="s">
        <v>32</v>
      </c>
      <c r="E1284" s="46" t="s">
        <v>32</v>
      </c>
      <c r="F1284" s="47">
        <f>[1]!BexGetData("DP_2","DL719O2RYNC0Y217V0FVT1R77","17","E","22013082E208","2067298011")</f>
        <v>57943.32</v>
      </c>
      <c r="G1284" s="48">
        <f>[1]!BexGetData("DP_2","DL719O2RYNEBZX0HTMQQ0BY0J","17","E","22013082E208","2067298011")</f>
        <v>57943.32</v>
      </c>
      <c r="H1284" s="48">
        <f>[1]!BexGetData("DP_2","DL719O2RYNGN1RZRS91K7M4TV","17","E","22013082E208","2067298011")</f>
        <v>57943.32</v>
      </c>
      <c r="I1284" s="48">
        <f>[1]!BexGetData("DP_2","DL719O2RYNIY3MZ1QVCEEWBN7","17","E","22013082E208","2067298011")</f>
        <v>0</v>
      </c>
    </row>
    <row r="1285" spans="1:9" x14ac:dyDescent="0.2">
      <c r="A1285" s="46" t="s">
        <v>32</v>
      </c>
      <c r="B1285" s="46" t="s">
        <v>32</v>
      </c>
      <c r="C1285" s="46" t="s">
        <v>32</v>
      </c>
      <c r="D1285" s="46" t="s">
        <v>32</v>
      </c>
      <c r="E1285" s="46" t="s">
        <v>32</v>
      </c>
      <c r="F1285" s="47">
        <f>[1]!BexGetData("DP_2","DL719O2RYNC0Y217V0FVT1R77","17","E","22013082E208","2067311011")</f>
        <v>167857.11</v>
      </c>
      <c r="G1285" s="48">
        <f>[1]!BexGetData("DP_2","DL719O2RYNEBZX0HTMQQ0BY0J","17","E","22013082E208","2067311011")</f>
        <v>167857.11</v>
      </c>
      <c r="H1285" s="48">
        <f>[1]!BexGetData("DP_2","DL719O2RYNGN1RZRS91K7M4TV","17","E","22013082E208","2067311011")</f>
        <v>159343.10999999999</v>
      </c>
      <c r="I1285" s="48">
        <f>[1]!BexGetData("DP_2","DL719O2RYNIY3MZ1QVCEEWBN7","17","E","22013082E208","2067311011")</f>
        <v>0</v>
      </c>
    </row>
    <row r="1286" spans="1:9" x14ac:dyDescent="0.2">
      <c r="A1286" s="46" t="s">
        <v>32</v>
      </c>
      <c r="B1286" s="46" t="s">
        <v>32</v>
      </c>
      <c r="C1286" s="46" t="s">
        <v>32</v>
      </c>
      <c r="D1286" s="46" t="s">
        <v>32</v>
      </c>
      <c r="E1286" s="46" t="s">
        <v>32</v>
      </c>
      <c r="F1286" s="47">
        <f>[1]!BexGetData("DP_2","DL719O2RYNC0Y217V0FVT1R77","17","E","22013082E208","2067313011")</f>
        <v>0</v>
      </c>
      <c r="G1286" s="48">
        <f>[1]!BexGetData("DP_2","DL719O2RYNEBZX0HTMQQ0BY0J","17","E","22013082E208","2067313011")</f>
        <v>0</v>
      </c>
      <c r="H1286" s="48">
        <f>[1]!BexGetData("DP_2","DL719O2RYNGN1RZRS91K7M4TV","17","E","22013082E208","2067313011")</f>
        <v>0</v>
      </c>
      <c r="I1286" s="48">
        <f>[1]!BexGetData("DP_2","DL719O2RYNIY3MZ1QVCEEWBN7","17","E","22013082E208","2067313011")</f>
        <v>0</v>
      </c>
    </row>
    <row r="1287" spans="1:9" x14ac:dyDescent="0.2">
      <c r="A1287" s="46" t="s">
        <v>32</v>
      </c>
      <c r="B1287" s="46" t="s">
        <v>32</v>
      </c>
      <c r="C1287" s="46" t="s">
        <v>32</v>
      </c>
      <c r="D1287" s="46" t="s">
        <v>32</v>
      </c>
      <c r="E1287" s="46" t="s">
        <v>32</v>
      </c>
      <c r="F1287" s="47">
        <f>[1]!BexGetData("DP_2","DL719O2RYNC0Y217V0FVT1R77","17","E","22013082E208","2067318011")</f>
        <v>246.11</v>
      </c>
      <c r="G1287" s="48">
        <f>[1]!BexGetData("DP_2","DL719O2RYNEBZX0HTMQQ0BY0J","17","E","22013082E208","2067318011")</f>
        <v>246.11</v>
      </c>
      <c r="H1287" s="48">
        <f>[1]!BexGetData("DP_2","DL719O2RYNGN1RZRS91K7M4TV","17","E","22013082E208","2067318011")</f>
        <v>246.11</v>
      </c>
      <c r="I1287" s="48">
        <f>[1]!BexGetData("DP_2","DL719O2RYNIY3MZ1QVCEEWBN7","17","E","22013082E208","2067318011")</f>
        <v>0</v>
      </c>
    </row>
    <row r="1288" spans="1:9" x14ac:dyDescent="0.2">
      <c r="A1288" s="46" t="s">
        <v>32</v>
      </c>
      <c r="B1288" s="46" t="s">
        <v>32</v>
      </c>
      <c r="C1288" s="46" t="s">
        <v>32</v>
      </c>
      <c r="D1288" s="46" t="s">
        <v>32</v>
      </c>
      <c r="E1288" s="46" t="s">
        <v>32</v>
      </c>
      <c r="F1288" s="47">
        <f>[1]!BexGetData("DP_2","DL719O2RYNC0Y217V0FVT1R77","17","E","22013082E208","2067321011")</f>
        <v>1105962.6399999999</v>
      </c>
      <c r="G1288" s="48">
        <f>[1]!BexGetData("DP_2","DL719O2RYNEBZX0HTMQQ0BY0J","17","E","22013082E208","2067321011")</f>
        <v>1105962.6399999999</v>
      </c>
      <c r="H1288" s="48">
        <f>[1]!BexGetData("DP_2","DL719O2RYNGN1RZRS91K7M4TV","17","E","22013082E208","2067321011")</f>
        <v>998332.42</v>
      </c>
      <c r="I1288" s="48">
        <f>[1]!BexGetData("DP_2","DL719O2RYNIY3MZ1QVCEEWBN7","17","E","22013082E208","2067321011")</f>
        <v>0</v>
      </c>
    </row>
    <row r="1289" spans="1:9" x14ac:dyDescent="0.2">
      <c r="A1289" s="46" t="s">
        <v>32</v>
      </c>
      <c r="B1289" s="46" t="s">
        <v>32</v>
      </c>
      <c r="C1289" s="46" t="s">
        <v>32</v>
      </c>
      <c r="D1289" s="46" t="s">
        <v>32</v>
      </c>
      <c r="E1289" s="46" t="s">
        <v>32</v>
      </c>
      <c r="F1289" s="47">
        <f>[1]!BexGetData("DP_2","DL719O2RYNC0Y217V0FVT1R77","17","E","22013082E208","2067325011")</f>
        <v>0</v>
      </c>
      <c r="G1289" s="48">
        <f>[1]!BexGetData("DP_2","DL719O2RYNEBZX0HTMQQ0BY0J","17","E","22013082E208","2067325011")</f>
        <v>0</v>
      </c>
      <c r="H1289" s="48">
        <f>[1]!BexGetData("DP_2","DL719O2RYNGN1RZRS91K7M4TV","17","E","22013082E208","2067325011")</f>
        <v>0</v>
      </c>
      <c r="I1289" s="48">
        <f>[1]!BexGetData("DP_2","DL719O2RYNIY3MZ1QVCEEWBN7","17","E","22013082E208","2067325011")</f>
        <v>0</v>
      </c>
    </row>
    <row r="1290" spans="1:9" x14ac:dyDescent="0.2">
      <c r="A1290" s="46" t="s">
        <v>32</v>
      </c>
      <c r="B1290" s="46" t="s">
        <v>32</v>
      </c>
      <c r="C1290" s="46" t="s">
        <v>32</v>
      </c>
      <c r="D1290" s="46" t="s">
        <v>32</v>
      </c>
      <c r="E1290" s="46" t="s">
        <v>32</v>
      </c>
      <c r="F1290" s="47">
        <f>[1]!BexGetData("DP_2","DL719O2RYNC0Y217V0FVT1R77","17","E","22013082E208","2067326011")</f>
        <v>0</v>
      </c>
      <c r="G1290" s="48">
        <f>[1]!BexGetData("DP_2","DL719O2RYNEBZX0HTMQQ0BY0J","17","E","22013082E208","2067326011")</f>
        <v>0</v>
      </c>
      <c r="H1290" s="48">
        <f>[1]!BexGetData("DP_2","DL719O2RYNGN1RZRS91K7M4TV","17","E","22013082E208","2067326011")</f>
        <v>0</v>
      </c>
      <c r="I1290" s="48">
        <f>[1]!BexGetData("DP_2","DL719O2RYNIY3MZ1QVCEEWBN7","17","E","22013082E208","2067326011")</f>
        <v>0</v>
      </c>
    </row>
    <row r="1291" spans="1:9" x14ac:dyDescent="0.2">
      <c r="A1291" s="46" t="s">
        <v>32</v>
      </c>
      <c r="B1291" s="46" t="s">
        <v>32</v>
      </c>
      <c r="C1291" s="46" t="s">
        <v>32</v>
      </c>
      <c r="D1291" s="46" t="s">
        <v>32</v>
      </c>
      <c r="E1291" s="46" t="s">
        <v>32</v>
      </c>
      <c r="F1291" s="47">
        <f>[1]!BexGetData("DP_2","DL719O2RYNC0Y217V0FVT1R77","17","E","22013082E208","2067336011")</f>
        <v>38693.440000000002</v>
      </c>
      <c r="G1291" s="48">
        <f>[1]!BexGetData("DP_2","DL719O2RYNEBZX0HTMQQ0BY0J","17","E","22013082E208","2067336011")</f>
        <v>38693.440000000002</v>
      </c>
      <c r="H1291" s="48">
        <f>[1]!BexGetData("DP_2","DL719O2RYNGN1RZRS91K7M4TV","17","E","22013082E208","2067336011")</f>
        <v>28627.99</v>
      </c>
      <c r="I1291" s="48">
        <f>[1]!BexGetData("DP_2","DL719O2RYNIY3MZ1QVCEEWBN7","17","E","22013082E208","2067336011")</f>
        <v>0</v>
      </c>
    </row>
    <row r="1292" spans="1:9" x14ac:dyDescent="0.2">
      <c r="A1292" s="46" t="s">
        <v>32</v>
      </c>
      <c r="B1292" s="46" t="s">
        <v>32</v>
      </c>
      <c r="C1292" s="46" t="s">
        <v>32</v>
      </c>
      <c r="D1292" s="46" t="s">
        <v>32</v>
      </c>
      <c r="E1292" s="46" t="s">
        <v>32</v>
      </c>
      <c r="F1292" s="47">
        <f>[1]!BexGetData("DP_2","DL719O2RYNC0Y217V0FVT1R77","17","E","22013082E208","2067347011")</f>
        <v>15625.2</v>
      </c>
      <c r="G1292" s="48">
        <f>[1]!BexGetData("DP_2","DL719O2RYNEBZX0HTMQQ0BY0J","17","E","22013082E208","2067347011")</f>
        <v>15625.2</v>
      </c>
      <c r="H1292" s="48">
        <f>[1]!BexGetData("DP_2","DL719O2RYNGN1RZRS91K7M4TV","17","E","22013082E208","2067347011")</f>
        <v>12771.6</v>
      </c>
      <c r="I1292" s="48">
        <f>[1]!BexGetData("DP_2","DL719O2RYNIY3MZ1QVCEEWBN7","17","E","22013082E208","2067347011")</f>
        <v>0</v>
      </c>
    </row>
    <row r="1293" spans="1:9" x14ac:dyDescent="0.2">
      <c r="A1293" s="46" t="s">
        <v>32</v>
      </c>
      <c r="B1293" s="46" t="s">
        <v>32</v>
      </c>
      <c r="C1293" s="46" t="s">
        <v>32</v>
      </c>
      <c r="D1293" s="46" t="s">
        <v>32</v>
      </c>
      <c r="E1293" s="46" t="s">
        <v>32</v>
      </c>
      <c r="F1293" s="47">
        <f>[1]!BexGetData("DP_2","DL719O2RYNC0Y217V0FVT1R77","17","E","22013082E208","2067355011")</f>
        <v>329209.51</v>
      </c>
      <c r="G1293" s="48">
        <f>[1]!BexGetData("DP_2","DL719O2RYNEBZX0HTMQQ0BY0J","17","E","22013082E208","2067355011")</f>
        <v>329209.51</v>
      </c>
      <c r="H1293" s="48">
        <f>[1]!BexGetData("DP_2","DL719O2RYNGN1RZRS91K7M4TV","17","E","22013082E208","2067355011")</f>
        <v>173365.6</v>
      </c>
      <c r="I1293" s="48">
        <f>[1]!BexGetData("DP_2","DL719O2RYNIY3MZ1QVCEEWBN7","17","E","22013082E208","2067355011")</f>
        <v>0</v>
      </c>
    </row>
    <row r="1294" spans="1:9" x14ac:dyDescent="0.2">
      <c r="A1294" s="46" t="s">
        <v>32</v>
      </c>
      <c r="B1294" s="46" t="s">
        <v>32</v>
      </c>
      <c r="C1294" s="46" t="s">
        <v>32</v>
      </c>
      <c r="D1294" s="46" t="s">
        <v>32</v>
      </c>
      <c r="E1294" s="46" t="s">
        <v>32</v>
      </c>
      <c r="F1294" s="47">
        <f>[1]!BexGetData("DP_2","DL719O2RYNC0Y217V0FVT1R77","17","E","22013082E208","2067357011")</f>
        <v>737141.2</v>
      </c>
      <c r="G1294" s="48">
        <f>[1]!BexGetData("DP_2","DL719O2RYNEBZX0HTMQQ0BY0J","17","E","22013082E208","2067357011")</f>
        <v>737141.2</v>
      </c>
      <c r="H1294" s="48">
        <f>[1]!BexGetData("DP_2","DL719O2RYNGN1RZRS91K7M4TV","17","E","22013082E208","2067357011")</f>
        <v>522767.4</v>
      </c>
      <c r="I1294" s="48">
        <f>[1]!BexGetData("DP_2","DL719O2RYNIY3MZ1QVCEEWBN7","17","E","22013082E208","2067357011")</f>
        <v>0</v>
      </c>
    </row>
    <row r="1295" spans="1:9" x14ac:dyDescent="0.2">
      <c r="A1295" s="46" t="s">
        <v>32</v>
      </c>
      <c r="B1295" s="46" t="s">
        <v>32</v>
      </c>
      <c r="C1295" s="46" t="s">
        <v>32</v>
      </c>
      <c r="D1295" s="46" t="s">
        <v>32</v>
      </c>
      <c r="E1295" s="46" t="s">
        <v>32</v>
      </c>
      <c r="F1295" s="47">
        <f>[1]!BexGetData("DP_2","DL719O2RYNC0Y217V0FVT1R77","17","E","22013082E208","2067374011")</f>
        <v>464</v>
      </c>
      <c r="G1295" s="48">
        <f>[1]!BexGetData("DP_2","DL719O2RYNEBZX0HTMQQ0BY0J","17","E","22013082E208","2067374011")</f>
        <v>464</v>
      </c>
      <c r="H1295" s="48">
        <f>[1]!BexGetData("DP_2","DL719O2RYNGN1RZRS91K7M4TV","17","E","22013082E208","2067374011")</f>
        <v>464</v>
      </c>
      <c r="I1295" s="48">
        <f>[1]!BexGetData("DP_2","DL719O2RYNIY3MZ1QVCEEWBN7","17","E","22013082E208","2067374011")</f>
        <v>0</v>
      </c>
    </row>
    <row r="1296" spans="1:9" x14ac:dyDescent="0.2">
      <c r="A1296" s="46" t="s">
        <v>32</v>
      </c>
      <c r="B1296" s="46" t="s">
        <v>32</v>
      </c>
      <c r="C1296" s="46" t="s">
        <v>32</v>
      </c>
      <c r="D1296" s="46" t="s">
        <v>32</v>
      </c>
      <c r="E1296" s="46" t="s">
        <v>32</v>
      </c>
      <c r="F1296" s="47">
        <f>[1]!BexGetData("DP_2","DL719O2RYNC0Y217V0FVT1R77","17","E","22013082E208","2067399031")</f>
        <v>1330</v>
      </c>
      <c r="G1296" s="48">
        <f>[1]!BexGetData("DP_2","DL719O2RYNEBZX0HTMQQ0BY0J","17","E","22013082E208","2067399031")</f>
        <v>1330</v>
      </c>
      <c r="H1296" s="48">
        <f>[1]!BexGetData("DP_2","DL719O2RYNGN1RZRS91K7M4TV","17","E","22013082E208","2067399031")</f>
        <v>1330</v>
      </c>
      <c r="I1296" s="48">
        <f>[1]!BexGetData("DP_2","DL719O2RYNIY3MZ1QVCEEWBN7","17","E","22013082E208","2067399031")</f>
        <v>0</v>
      </c>
    </row>
    <row r="1297" spans="1:9" x14ac:dyDescent="0.2">
      <c r="A1297" s="46" t="s">
        <v>32</v>
      </c>
      <c r="B1297" s="46" t="s">
        <v>32</v>
      </c>
      <c r="C1297" s="46" t="s">
        <v>32</v>
      </c>
      <c r="D1297" s="46" t="s">
        <v>32</v>
      </c>
      <c r="E1297" s="46" t="s">
        <v>32</v>
      </c>
      <c r="F1297" s="47">
        <f>[1]!BexGetData("DP_2","DL719O2RYNC0Y217V0FVT1R77","17","E","22013082E208","2067612022")</f>
        <v>5794617.7000000002</v>
      </c>
      <c r="G1297" s="48">
        <f>[1]!BexGetData("DP_2","DL719O2RYNEBZX0HTMQQ0BY0J","17","E","22013082E208","2067612022")</f>
        <v>480007.44</v>
      </c>
      <c r="H1297" s="48">
        <f>[1]!BexGetData("DP_2","DL719O2RYNGN1RZRS91K7M4TV","17","E","22013082E208","2067612022")</f>
        <v>0</v>
      </c>
      <c r="I1297" s="48">
        <f>[1]!BexGetData("DP_2","DL719O2RYNIY3MZ1QVCEEWBN7","17","E","22013082E208","2067612022")</f>
        <v>5314610.26</v>
      </c>
    </row>
    <row r="1298" spans="1:9" x14ac:dyDescent="0.2">
      <c r="A1298" s="46" t="s">
        <v>32</v>
      </c>
      <c r="B1298" s="46" t="s">
        <v>32</v>
      </c>
      <c r="C1298" s="46" t="s">
        <v>32</v>
      </c>
      <c r="D1298" s="46" t="s">
        <v>32</v>
      </c>
      <c r="E1298" s="46" t="s">
        <v>32</v>
      </c>
      <c r="F1298" s="47">
        <f>[1]!BexGetData("DP_2","DL719O2RYNC0Y217V0FVT1R77","17","E","22013082E208","2067612042")</f>
        <v>3197773.95</v>
      </c>
      <c r="G1298" s="48">
        <f>[1]!BexGetData("DP_2","DL719O2RYNEBZX0HTMQQ0BY0J","17","E","22013082E208","2067612042")</f>
        <v>0</v>
      </c>
      <c r="H1298" s="48">
        <f>[1]!BexGetData("DP_2","DL719O2RYNGN1RZRS91K7M4TV","17","E","22013082E208","2067612042")</f>
        <v>0</v>
      </c>
      <c r="I1298" s="48">
        <f>[1]!BexGetData("DP_2","DL719O2RYNIY3MZ1QVCEEWBN7","17","E","22013082E208","2067612042")</f>
        <v>3197773.95</v>
      </c>
    </row>
    <row r="1299" spans="1:9" x14ac:dyDescent="0.2">
      <c r="A1299" s="46" t="s">
        <v>32</v>
      </c>
      <c r="B1299" s="46" t="s">
        <v>32</v>
      </c>
      <c r="C1299" s="46" t="s">
        <v>32</v>
      </c>
      <c r="D1299" s="46" t="s">
        <v>32</v>
      </c>
      <c r="E1299" s="46" t="s">
        <v>32</v>
      </c>
      <c r="F1299" s="47">
        <f>[1]!BexGetData("DP_2","DL719O2RYNC0Y217V0FVT1R77","17","E","22013082E208","2067614022")</f>
        <v>3162296.59</v>
      </c>
      <c r="G1299" s="48">
        <f>[1]!BexGetData("DP_2","DL719O2RYNEBZX0HTMQQ0BY0J","17","E","22013082E208","2067614022")</f>
        <v>0</v>
      </c>
      <c r="H1299" s="48">
        <f>[1]!BexGetData("DP_2","DL719O2RYNGN1RZRS91K7M4TV","17","E","22013082E208","2067614022")</f>
        <v>0</v>
      </c>
      <c r="I1299" s="48">
        <f>[1]!BexGetData("DP_2","DL719O2RYNIY3MZ1QVCEEWBN7","17","E","22013082E208","2067614022")</f>
        <v>3162296.59</v>
      </c>
    </row>
    <row r="1300" spans="1:9" x14ac:dyDescent="0.2">
      <c r="A1300" s="46" t="s">
        <v>32</v>
      </c>
      <c r="B1300" s="46" t="s">
        <v>32</v>
      </c>
      <c r="C1300" s="46" t="s">
        <v>32</v>
      </c>
      <c r="D1300" s="46" t="s">
        <v>32</v>
      </c>
      <c r="E1300" s="46" t="s">
        <v>32</v>
      </c>
      <c r="F1300" s="47">
        <f>[1]!BexGetData("DP_2","DL719O2RYNC0Y217V0FVT1R77","17","E","22013082E208","2067614032")</f>
        <v>34949483.479999997</v>
      </c>
      <c r="G1300" s="48">
        <f>[1]!BexGetData("DP_2","DL719O2RYNEBZX0HTMQQ0BY0J","17","E","22013082E208","2067614032")</f>
        <v>21500786.800000001</v>
      </c>
      <c r="H1300" s="48">
        <f>[1]!BexGetData("DP_2","DL719O2RYNGN1RZRS91K7M4TV","17","E","22013082E208","2067614032")</f>
        <v>20827792.719999999</v>
      </c>
      <c r="I1300" s="48">
        <f>[1]!BexGetData("DP_2","DL719O2RYNIY3MZ1QVCEEWBN7","17","E","22013082E208","2067614032")</f>
        <v>13448696.68</v>
      </c>
    </row>
    <row r="1301" spans="1:9" x14ac:dyDescent="0.2">
      <c r="A1301" s="46" t="s">
        <v>32</v>
      </c>
      <c r="B1301" s="46" t="s">
        <v>32</v>
      </c>
      <c r="C1301" s="46" t="s">
        <v>32</v>
      </c>
      <c r="D1301" s="46" t="s">
        <v>32</v>
      </c>
      <c r="E1301" s="46" t="s">
        <v>32</v>
      </c>
      <c r="F1301" s="47">
        <f>[1]!BexGetData("DP_2","DL719O2RYNC0Y217V0FVT1R77","17","E","22013082E208","2067629012")</f>
        <v>116000</v>
      </c>
      <c r="G1301" s="48">
        <f>[1]!BexGetData("DP_2","DL719O2RYNEBZX0HTMQQ0BY0J","17","E","22013082E208","2067629012")</f>
        <v>116000</v>
      </c>
      <c r="H1301" s="48">
        <f>[1]!BexGetData("DP_2","DL719O2RYNGN1RZRS91K7M4TV","17","E","22013082E208","2067629012")</f>
        <v>0</v>
      </c>
      <c r="I1301" s="48">
        <f>[1]!BexGetData("DP_2","DL719O2RYNIY3MZ1QVCEEWBN7","17","E","22013082E208","2067629012")</f>
        <v>0</v>
      </c>
    </row>
    <row r="1302" spans="1:9" x14ac:dyDescent="0.2">
      <c r="A1302" s="46" t="s">
        <v>32</v>
      </c>
      <c r="B1302" s="46" t="s">
        <v>32</v>
      </c>
      <c r="C1302" s="46" t="s">
        <v>114</v>
      </c>
      <c r="D1302" s="46" t="s">
        <v>114</v>
      </c>
      <c r="E1302" s="46" t="s">
        <v>32</v>
      </c>
      <c r="F1302" s="47">
        <f>[1]!BexGetData("DP_2","DL719O2RYNC0Y217V0FVT1R77","17","E","22042102E201","2067113011")</f>
        <v>18368990.25</v>
      </c>
      <c r="G1302" s="48">
        <f>[1]!BexGetData("DP_2","DL719O2RYNEBZX0HTMQQ0BY0J","17","E","22042102E201","2067113011")</f>
        <v>18368990.25</v>
      </c>
      <c r="H1302" s="48">
        <f>[1]!BexGetData("DP_2","DL719O2RYNGN1RZRS91K7M4TV","17","E","22042102E201","2067113011")</f>
        <v>18368990.25</v>
      </c>
      <c r="I1302" s="48">
        <f>[1]!BexGetData("DP_2","DL719O2RYNIY3MZ1QVCEEWBN7","17","E","22042102E201","2067113011")</f>
        <v>0</v>
      </c>
    </row>
    <row r="1303" spans="1:9" x14ac:dyDescent="0.2">
      <c r="A1303" s="46" t="s">
        <v>32</v>
      </c>
      <c r="B1303" s="46" t="s">
        <v>32</v>
      </c>
      <c r="C1303" s="46" t="s">
        <v>32</v>
      </c>
      <c r="D1303" s="46" t="s">
        <v>32</v>
      </c>
      <c r="E1303" s="46" t="s">
        <v>32</v>
      </c>
      <c r="F1303" s="47">
        <f>[1]!BexGetData("DP_2","DL719O2RYNC0Y217V0FVT1R77","17","E","22042102E201","2067113021")</f>
        <v>1287825.1599999999</v>
      </c>
      <c r="G1303" s="48">
        <f>[1]!BexGetData("DP_2","DL719O2RYNEBZX0HTMQQ0BY0J","17","E","22042102E201","2067113021")</f>
        <v>1287825.1599999999</v>
      </c>
      <c r="H1303" s="48">
        <f>[1]!BexGetData("DP_2","DL719O2RYNGN1RZRS91K7M4TV","17","E","22042102E201","2067113021")</f>
        <v>1287825.1599999999</v>
      </c>
      <c r="I1303" s="48">
        <f>[1]!BexGetData("DP_2","DL719O2RYNIY3MZ1QVCEEWBN7","17","E","22042102E201","2067113021")</f>
        <v>0</v>
      </c>
    </row>
    <row r="1304" spans="1:9" x14ac:dyDescent="0.2">
      <c r="A1304" s="46" t="s">
        <v>32</v>
      </c>
      <c r="B1304" s="46" t="s">
        <v>32</v>
      </c>
      <c r="C1304" s="46" t="s">
        <v>32</v>
      </c>
      <c r="D1304" s="46" t="s">
        <v>32</v>
      </c>
      <c r="E1304" s="46" t="s">
        <v>32</v>
      </c>
      <c r="F1304" s="47">
        <f>[1]!BexGetData("DP_2","DL719O2RYNC0Y217V0FVT1R77","17","E","22042102E201","2067122011")</f>
        <v>168080.1</v>
      </c>
      <c r="G1304" s="48">
        <f>[1]!BexGetData("DP_2","DL719O2RYNEBZX0HTMQQ0BY0J","17","E","22042102E201","2067122011")</f>
        <v>168080.1</v>
      </c>
      <c r="H1304" s="48">
        <f>[1]!BexGetData("DP_2","DL719O2RYNGN1RZRS91K7M4TV","17","E","22042102E201","2067122011")</f>
        <v>168080.1</v>
      </c>
      <c r="I1304" s="48">
        <f>[1]!BexGetData("DP_2","DL719O2RYNIY3MZ1QVCEEWBN7","17","E","22042102E201","2067122011")</f>
        <v>0</v>
      </c>
    </row>
    <row r="1305" spans="1:9" x14ac:dyDescent="0.2">
      <c r="A1305" s="46" t="s">
        <v>32</v>
      </c>
      <c r="B1305" s="46" t="s">
        <v>32</v>
      </c>
      <c r="C1305" s="46" t="s">
        <v>32</v>
      </c>
      <c r="D1305" s="46" t="s">
        <v>32</v>
      </c>
      <c r="E1305" s="46" t="s">
        <v>32</v>
      </c>
      <c r="F1305" s="47">
        <f>[1]!BexGetData("DP_2","DL719O2RYNC0Y217V0FVT1R77","17","E","22042102E201","2067131011")</f>
        <v>2081395.14</v>
      </c>
      <c r="G1305" s="48">
        <f>[1]!BexGetData("DP_2","DL719O2RYNEBZX0HTMQQ0BY0J","17","E","22042102E201","2067131011")</f>
        <v>2081395.14</v>
      </c>
      <c r="H1305" s="48">
        <f>[1]!BexGetData("DP_2","DL719O2RYNGN1RZRS91K7M4TV","17","E","22042102E201","2067131011")</f>
        <v>2081395.14</v>
      </c>
      <c r="I1305" s="48">
        <f>[1]!BexGetData("DP_2","DL719O2RYNIY3MZ1QVCEEWBN7","17","E","22042102E201","2067131011")</f>
        <v>0</v>
      </c>
    </row>
    <row r="1306" spans="1:9" x14ac:dyDescent="0.2">
      <c r="A1306" s="46" t="s">
        <v>32</v>
      </c>
      <c r="B1306" s="46" t="s">
        <v>32</v>
      </c>
      <c r="C1306" s="46" t="s">
        <v>32</v>
      </c>
      <c r="D1306" s="46" t="s">
        <v>32</v>
      </c>
      <c r="E1306" s="46" t="s">
        <v>32</v>
      </c>
      <c r="F1306" s="47">
        <f>[1]!BexGetData("DP_2","DL719O2RYNC0Y217V0FVT1R77","17","E","22042102E201","2067131021")</f>
        <v>41410.32</v>
      </c>
      <c r="G1306" s="48">
        <f>[1]!BexGetData("DP_2","DL719O2RYNEBZX0HTMQQ0BY0J","17","E","22042102E201","2067131021")</f>
        <v>41410.32</v>
      </c>
      <c r="H1306" s="48">
        <f>[1]!BexGetData("DP_2","DL719O2RYNGN1RZRS91K7M4TV","17","E","22042102E201","2067131021")</f>
        <v>41410.32</v>
      </c>
      <c r="I1306" s="48">
        <f>[1]!BexGetData("DP_2","DL719O2RYNIY3MZ1QVCEEWBN7","17","E","22042102E201","2067131021")</f>
        <v>0</v>
      </c>
    </row>
    <row r="1307" spans="1:9" x14ac:dyDescent="0.2">
      <c r="A1307" s="46" t="s">
        <v>32</v>
      </c>
      <c r="B1307" s="46" t="s">
        <v>32</v>
      </c>
      <c r="C1307" s="46" t="s">
        <v>32</v>
      </c>
      <c r="D1307" s="46" t="s">
        <v>32</v>
      </c>
      <c r="E1307" s="46" t="s">
        <v>32</v>
      </c>
      <c r="F1307" s="47">
        <f>[1]!BexGetData("DP_2","DL719O2RYNC0Y217V0FVT1R77","17","E","22042102E201","2067132011")</f>
        <v>1026191.16</v>
      </c>
      <c r="G1307" s="48">
        <f>[1]!BexGetData("DP_2","DL719O2RYNEBZX0HTMQQ0BY0J","17","E","22042102E201","2067132011")</f>
        <v>1026191.16</v>
      </c>
      <c r="H1307" s="48">
        <f>[1]!BexGetData("DP_2","DL719O2RYNGN1RZRS91K7M4TV","17","E","22042102E201","2067132011")</f>
        <v>1026191.16</v>
      </c>
      <c r="I1307" s="48">
        <f>[1]!BexGetData("DP_2","DL719O2RYNIY3MZ1QVCEEWBN7","17","E","22042102E201","2067132011")</f>
        <v>0</v>
      </c>
    </row>
    <row r="1308" spans="1:9" x14ac:dyDescent="0.2">
      <c r="A1308" s="46" t="s">
        <v>32</v>
      </c>
      <c r="B1308" s="46" t="s">
        <v>32</v>
      </c>
      <c r="C1308" s="46" t="s">
        <v>32</v>
      </c>
      <c r="D1308" s="46" t="s">
        <v>32</v>
      </c>
      <c r="E1308" s="46" t="s">
        <v>32</v>
      </c>
      <c r="F1308" s="47">
        <f>[1]!BexGetData("DP_2","DL719O2RYNC0Y217V0FVT1R77","17","E","22042102E201","2067132021")</f>
        <v>4382767.5999999996</v>
      </c>
      <c r="G1308" s="48">
        <f>[1]!BexGetData("DP_2","DL719O2RYNEBZX0HTMQQ0BY0J","17","E","22042102E201","2067132021")</f>
        <v>4382767.5999999996</v>
      </c>
      <c r="H1308" s="48">
        <f>[1]!BexGetData("DP_2","DL719O2RYNGN1RZRS91K7M4TV","17","E","22042102E201","2067132021")</f>
        <v>4382767.5999999996</v>
      </c>
      <c r="I1308" s="48">
        <f>[1]!BexGetData("DP_2","DL719O2RYNIY3MZ1QVCEEWBN7","17","E","22042102E201","2067132021")</f>
        <v>-1.0000000000000001E-9</v>
      </c>
    </row>
    <row r="1309" spans="1:9" x14ac:dyDescent="0.2">
      <c r="A1309" s="46" t="s">
        <v>32</v>
      </c>
      <c r="B1309" s="46" t="s">
        <v>32</v>
      </c>
      <c r="C1309" s="46" t="s">
        <v>32</v>
      </c>
      <c r="D1309" s="46" t="s">
        <v>32</v>
      </c>
      <c r="E1309" s="46" t="s">
        <v>32</v>
      </c>
      <c r="F1309" s="47">
        <f>[1]!BexGetData("DP_2","DL719O2RYNC0Y217V0FVT1R77","17","E","22042102E201","2067133011")</f>
        <v>14552669.09</v>
      </c>
      <c r="G1309" s="48">
        <f>[1]!BexGetData("DP_2","DL719O2RYNEBZX0HTMQQ0BY0J","17","E","22042102E201","2067133011")</f>
        <v>14552669.09</v>
      </c>
      <c r="H1309" s="48">
        <f>[1]!BexGetData("DP_2","DL719O2RYNGN1RZRS91K7M4TV","17","E","22042102E201","2067133011")</f>
        <v>14552669.09</v>
      </c>
      <c r="I1309" s="48">
        <f>[1]!BexGetData("DP_2","DL719O2RYNIY3MZ1QVCEEWBN7","17","E","22042102E201","2067133011")</f>
        <v>0</v>
      </c>
    </row>
    <row r="1310" spans="1:9" x14ac:dyDescent="0.2">
      <c r="A1310" s="46" t="s">
        <v>32</v>
      </c>
      <c r="B1310" s="46" t="s">
        <v>32</v>
      </c>
      <c r="C1310" s="46" t="s">
        <v>32</v>
      </c>
      <c r="D1310" s="46" t="s">
        <v>32</v>
      </c>
      <c r="E1310" s="46" t="s">
        <v>32</v>
      </c>
      <c r="F1310" s="47">
        <f>[1]!BexGetData("DP_2","DL719O2RYNC0Y217V0FVT1R77","17","E","22042102E201","2067134011")</f>
        <v>672871.4</v>
      </c>
      <c r="G1310" s="48">
        <f>[1]!BexGetData("DP_2","DL719O2RYNEBZX0HTMQQ0BY0J","17","E","22042102E201","2067134011")</f>
        <v>672871.4</v>
      </c>
      <c r="H1310" s="48">
        <f>[1]!BexGetData("DP_2","DL719O2RYNGN1RZRS91K7M4TV","17","E","22042102E201","2067134011")</f>
        <v>683723.9</v>
      </c>
      <c r="I1310" s="48">
        <f>[1]!BexGetData("DP_2","DL719O2RYNIY3MZ1QVCEEWBN7","17","E","22042102E201","2067134011")</f>
        <v>0</v>
      </c>
    </row>
    <row r="1311" spans="1:9" x14ac:dyDescent="0.2">
      <c r="A1311" s="46" t="s">
        <v>32</v>
      </c>
      <c r="B1311" s="46" t="s">
        <v>32</v>
      </c>
      <c r="C1311" s="46" t="s">
        <v>32</v>
      </c>
      <c r="D1311" s="46" t="s">
        <v>32</v>
      </c>
      <c r="E1311" s="46" t="s">
        <v>32</v>
      </c>
      <c r="F1311" s="47">
        <f>[1]!BexGetData("DP_2","DL719O2RYNC0Y217V0FVT1R77","17","E","22042102E201","2067134021")</f>
        <v>2604762.73</v>
      </c>
      <c r="G1311" s="48">
        <f>[1]!BexGetData("DP_2","DL719O2RYNEBZX0HTMQQ0BY0J","17","E","22042102E201","2067134021")</f>
        <v>2604762.73</v>
      </c>
      <c r="H1311" s="48">
        <f>[1]!BexGetData("DP_2","DL719O2RYNGN1RZRS91K7M4TV","17","E","22042102E201","2067134021")</f>
        <v>2604762.73</v>
      </c>
      <c r="I1311" s="48">
        <f>[1]!BexGetData("DP_2","DL719O2RYNIY3MZ1QVCEEWBN7","17","E","22042102E201","2067134021")</f>
        <v>1.0000000000000001E-9</v>
      </c>
    </row>
    <row r="1312" spans="1:9" x14ac:dyDescent="0.2">
      <c r="A1312" s="46" t="s">
        <v>32</v>
      </c>
      <c r="B1312" s="46" t="s">
        <v>32</v>
      </c>
      <c r="C1312" s="46" t="s">
        <v>32</v>
      </c>
      <c r="D1312" s="46" t="s">
        <v>32</v>
      </c>
      <c r="E1312" s="46" t="s">
        <v>32</v>
      </c>
      <c r="F1312" s="47">
        <f>[1]!BexGetData("DP_2","DL719O2RYNC0Y217V0FVT1R77","17","E","22042102E201","2067141011")</f>
        <v>3966623.94</v>
      </c>
      <c r="G1312" s="48">
        <f>[1]!BexGetData("DP_2","DL719O2RYNEBZX0HTMQQ0BY0J","17","E","22042102E201","2067141011")</f>
        <v>3966623.94</v>
      </c>
      <c r="H1312" s="48">
        <f>[1]!BexGetData("DP_2","DL719O2RYNGN1RZRS91K7M4TV","17","E","22042102E201","2067141011")</f>
        <v>3966623.94</v>
      </c>
      <c r="I1312" s="48">
        <f>[1]!BexGetData("DP_2","DL719O2RYNIY3MZ1QVCEEWBN7","17","E","22042102E201","2067141011")</f>
        <v>0</v>
      </c>
    </row>
    <row r="1313" spans="1:9" x14ac:dyDescent="0.2">
      <c r="A1313" s="46" t="s">
        <v>32</v>
      </c>
      <c r="B1313" s="46" t="s">
        <v>32</v>
      </c>
      <c r="C1313" s="46" t="s">
        <v>32</v>
      </c>
      <c r="D1313" s="46" t="s">
        <v>32</v>
      </c>
      <c r="E1313" s="46" t="s">
        <v>32</v>
      </c>
      <c r="F1313" s="47">
        <f>[1]!BexGetData("DP_2","DL719O2RYNC0Y217V0FVT1R77","17","E","22042102E201","2067141021")</f>
        <v>1279782.26</v>
      </c>
      <c r="G1313" s="48">
        <f>[1]!BexGetData("DP_2","DL719O2RYNEBZX0HTMQQ0BY0J","17","E","22042102E201","2067141021")</f>
        <v>1279782.26</v>
      </c>
      <c r="H1313" s="48">
        <f>[1]!BexGetData("DP_2","DL719O2RYNGN1RZRS91K7M4TV","17","E","22042102E201","2067141021")</f>
        <v>1279782.26</v>
      </c>
      <c r="I1313" s="48">
        <f>[1]!BexGetData("DP_2","DL719O2RYNIY3MZ1QVCEEWBN7","17","E","22042102E201","2067141021")</f>
        <v>0</v>
      </c>
    </row>
    <row r="1314" spans="1:9" x14ac:dyDescent="0.2">
      <c r="A1314" s="46" t="s">
        <v>32</v>
      </c>
      <c r="B1314" s="46" t="s">
        <v>32</v>
      </c>
      <c r="C1314" s="46" t="s">
        <v>32</v>
      </c>
      <c r="D1314" s="46" t="s">
        <v>32</v>
      </c>
      <c r="E1314" s="46" t="s">
        <v>32</v>
      </c>
      <c r="F1314" s="47">
        <f>[1]!BexGetData("DP_2","DL719O2RYNC0Y217V0FVT1R77","17","E","22042102E201","2067143011")</f>
        <v>603602.18000000005</v>
      </c>
      <c r="G1314" s="48">
        <f>[1]!BexGetData("DP_2","DL719O2RYNEBZX0HTMQQ0BY0J","17","E","22042102E201","2067143011")</f>
        <v>603602.18000000005</v>
      </c>
      <c r="H1314" s="48">
        <f>[1]!BexGetData("DP_2","DL719O2RYNGN1RZRS91K7M4TV","17","E","22042102E201","2067143011")</f>
        <v>603602.18000000005</v>
      </c>
      <c r="I1314" s="48">
        <f>[1]!BexGetData("DP_2","DL719O2RYNIY3MZ1QVCEEWBN7","17","E","22042102E201","2067143011")</f>
        <v>0</v>
      </c>
    </row>
    <row r="1315" spans="1:9" x14ac:dyDescent="0.2">
      <c r="A1315" s="46" t="s">
        <v>32</v>
      </c>
      <c r="B1315" s="46" t="s">
        <v>32</v>
      </c>
      <c r="C1315" s="46" t="s">
        <v>32</v>
      </c>
      <c r="D1315" s="46" t="s">
        <v>32</v>
      </c>
      <c r="E1315" s="46" t="s">
        <v>32</v>
      </c>
      <c r="F1315" s="47">
        <f>[1]!BexGetData("DP_2","DL719O2RYNC0Y217V0FVT1R77","17","E","22042102E201","2067151011")</f>
        <v>2359641.84</v>
      </c>
      <c r="G1315" s="48">
        <f>[1]!BexGetData("DP_2","DL719O2RYNEBZX0HTMQQ0BY0J","17","E","22042102E201","2067151011")</f>
        <v>2359641.84</v>
      </c>
      <c r="H1315" s="48">
        <f>[1]!BexGetData("DP_2","DL719O2RYNGN1RZRS91K7M4TV","17","E","22042102E201","2067151011")</f>
        <v>2359641.84</v>
      </c>
      <c r="I1315" s="48">
        <f>[1]!BexGetData("DP_2","DL719O2RYNIY3MZ1QVCEEWBN7","17","E","22042102E201","2067151011")</f>
        <v>0</v>
      </c>
    </row>
    <row r="1316" spans="1:9" x14ac:dyDescent="0.2">
      <c r="A1316" s="46" t="s">
        <v>32</v>
      </c>
      <c r="B1316" s="46" t="s">
        <v>32</v>
      </c>
      <c r="C1316" s="46" t="s">
        <v>32</v>
      </c>
      <c r="D1316" s="46" t="s">
        <v>32</v>
      </c>
      <c r="E1316" s="46" t="s">
        <v>32</v>
      </c>
      <c r="F1316" s="47">
        <f>[1]!BexGetData("DP_2","DL719O2RYNC0Y217V0FVT1R77","17","E","22042102E201","2067154011")</f>
        <v>12404724.9</v>
      </c>
      <c r="G1316" s="48">
        <f>[1]!BexGetData("DP_2","DL719O2RYNEBZX0HTMQQ0BY0J","17","E","22042102E201","2067154011")</f>
        <v>12404724.9</v>
      </c>
      <c r="H1316" s="48">
        <f>[1]!BexGetData("DP_2","DL719O2RYNGN1RZRS91K7M4TV","17","E","22042102E201","2067154011")</f>
        <v>12380724.9</v>
      </c>
      <c r="I1316" s="48">
        <f>[1]!BexGetData("DP_2","DL719O2RYNIY3MZ1QVCEEWBN7","17","E","22042102E201","2067154011")</f>
        <v>2.0000000000000001E-9</v>
      </c>
    </row>
    <row r="1317" spans="1:9" x14ac:dyDescent="0.2">
      <c r="A1317" s="46" t="s">
        <v>32</v>
      </c>
      <c r="B1317" s="46" t="s">
        <v>32</v>
      </c>
      <c r="C1317" s="46" t="s">
        <v>32</v>
      </c>
      <c r="D1317" s="46" t="s">
        <v>32</v>
      </c>
      <c r="E1317" s="46" t="s">
        <v>32</v>
      </c>
      <c r="F1317" s="47">
        <f>[1]!BexGetData("DP_2","DL719O2RYNC0Y217V0FVT1R77","17","E","22042102E201","2067211011")</f>
        <v>20782.72</v>
      </c>
      <c r="G1317" s="48">
        <f>[1]!BexGetData("DP_2","DL719O2RYNEBZX0HTMQQ0BY0J","17","E","22042102E201","2067211011")</f>
        <v>20782.72</v>
      </c>
      <c r="H1317" s="48">
        <f>[1]!BexGetData("DP_2","DL719O2RYNGN1RZRS91K7M4TV","17","E","22042102E201","2067211011")</f>
        <v>20782.72</v>
      </c>
      <c r="I1317" s="48">
        <f>[1]!BexGetData("DP_2","DL719O2RYNIY3MZ1QVCEEWBN7","17","E","22042102E201","2067211011")</f>
        <v>0</v>
      </c>
    </row>
    <row r="1318" spans="1:9" x14ac:dyDescent="0.2">
      <c r="A1318" s="46" t="s">
        <v>32</v>
      </c>
      <c r="B1318" s="46" t="s">
        <v>32</v>
      </c>
      <c r="C1318" s="46" t="s">
        <v>32</v>
      </c>
      <c r="D1318" s="46" t="s">
        <v>32</v>
      </c>
      <c r="E1318" s="46" t="s">
        <v>32</v>
      </c>
      <c r="F1318" s="47">
        <f>[1]!BexGetData("DP_2","DL719O2RYNC0Y217V0FVT1R77","17","E","22042102E201","2067211021")</f>
        <v>5392.57</v>
      </c>
      <c r="G1318" s="48">
        <f>[1]!BexGetData("DP_2","DL719O2RYNEBZX0HTMQQ0BY0J","17","E","22042102E201","2067211021")</f>
        <v>5392.57</v>
      </c>
      <c r="H1318" s="48">
        <f>[1]!BexGetData("DP_2","DL719O2RYNGN1RZRS91K7M4TV","17","E","22042102E201","2067211021")</f>
        <v>5392.57</v>
      </c>
      <c r="I1318" s="48">
        <f>[1]!BexGetData("DP_2","DL719O2RYNIY3MZ1QVCEEWBN7","17","E","22042102E201","2067211021")</f>
        <v>0</v>
      </c>
    </row>
    <row r="1319" spans="1:9" x14ac:dyDescent="0.2">
      <c r="A1319" s="46" t="s">
        <v>32</v>
      </c>
      <c r="B1319" s="46" t="s">
        <v>32</v>
      </c>
      <c r="C1319" s="46" t="s">
        <v>32</v>
      </c>
      <c r="D1319" s="46" t="s">
        <v>32</v>
      </c>
      <c r="E1319" s="46" t="s">
        <v>32</v>
      </c>
      <c r="F1319" s="47">
        <f>[1]!BexGetData("DP_2","DL719O2RYNC0Y217V0FVT1R77","17","E","22042102E201","2067214011")</f>
        <v>13902.06</v>
      </c>
      <c r="G1319" s="48">
        <f>[1]!BexGetData("DP_2","DL719O2RYNEBZX0HTMQQ0BY0J","17","E","22042102E201","2067214011")</f>
        <v>13902.06</v>
      </c>
      <c r="H1319" s="48">
        <f>[1]!BexGetData("DP_2","DL719O2RYNGN1RZRS91K7M4TV","17","E","22042102E201","2067214011")</f>
        <v>13902.06</v>
      </c>
      <c r="I1319" s="48">
        <f>[1]!BexGetData("DP_2","DL719O2RYNIY3MZ1QVCEEWBN7","17","E","22042102E201","2067214011")</f>
        <v>0</v>
      </c>
    </row>
    <row r="1320" spans="1:9" x14ac:dyDescent="0.2">
      <c r="A1320" s="46" t="s">
        <v>32</v>
      </c>
      <c r="B1320" s="46" t="s">
        <v>32</v>
      </c>
      <c r="C1320" s="46" t="s">
        <v>32</v>
      </c>
      <c r="D1320" s="46" t="s">
        <v>32</v>
      </c>
      <c r="E1320" s="46" t="s">
        <v>32</v>
      </c>
      <c r="F1320" s="47">
        <f>[1]!BexGetData("DP_2","DL719O2RYNC0Y217V0FVT1R77","17","E","22042102E201","2067216011")</f>
        <v>43638.86</v>
      </c>
      <c r="G1320" s="48">
        <f>[1]!BexGetData("DP_2","DL719O2RYNEBZX0HTMQQ0BY0J","17","E","22042102E201","2067216011")</f>
        <v>43638.86</v>
      </c>
      <c r="H1320" s="48">
        <f>[1]!BexGetData("DP_2","DL719O2RYNGN1RZRS91K7M4TV","17","E","22042102E201","2067216011")</f>
        <v>43083.68</v>
      </c>
      <c r="I1320" s="48">
        <f>[1]!BexGetData("DP_2","DL719O2RYNIY3MZ1QVCEEWBN7","17","E","22042102E201","2067216011")</f>
        <v>0</v>
      </c>
    </row>
    <row r="1321" spans="1:9" x14ac:dyDescent="0.2">
      <c r="A1321" s="46" t="s">
        <v>32</v>
      </c>
      <c r="B1321" s="46" t="s">
        <v>32</v>
      </c>
      <c r="C1321" s="46" t="s">
        <v>32</v>
      </c>
      <c r="D1321" s="46" t="s">
        <v>32</v>
      </c>
      <c r="E1321" s="46" t="s">
        <v>32</v>
      </c>
      <c r="F1321" s="47">
        <f>[1]!BexGetData("DP_2","DL719O2RYNC0Y217V0FVT1R77","17","E","22042102E201","2067216021")</f>
        <v>3906</v>
      </c>
      <c r="G1321" s="48">
        <f>[1]!BexGetData("DP_2","DL719O2RYNEBZX0HTMQQ0BY0J","17","E","22042102E201","2067216021")</f>
        <v>3906</v>
      </c>
      <c r="H1321" s="48">
        <f>[1]!BexGetData("DP_2","DL719O2RYNGN1RZRS91K7M4TV","17","E","22042102E201","2067216021")</f>
        <v>3906</v>
      </c>
      <c r="I1321" s="48">
        <f>[1]!BexGetData("DP_2","DL719O2RYNIY3MZ1QVCEEWBN7","17","E","22042102E201","2067216021")</f>
        <v>0</v>
      </c>
    </row>
    <row r="1322" spans="1:9" x14ac:dyDescent="0.2">
      <c r="A1322" s="46" t="s">
        <v>32</v>
      </c>
      <c r="B1322" s="46" t="s">
        <v>32</v>
      </c>
      <c r="C1322" s="46" t="s">
        <v>32</v>
      </c>
      <c r="D1322" s="46" t="s">
        <v>32</v>
      </c>
      <c r="E1322" s="46" t="s">
        <v>32</v>
      </c>
      <c r="F1322" s="47">
        <f>[1]!BexGetData("DP_2","DL719O2RYNC0Y217V0FVT1R77","17","E","22042102E201","2067221011")</f>
        <v>15479.8</v>
      </c>
      <c r="G1322" s="48">
        <f>[1]!BexGetData("DP_2","DL719O2RYNEBZX0HTMQQ0BY0J","17","E","22042102E201","2067221011")</f>
        <v>15479.8</v>
      </c>
      <c r="H1322" s="48">
        <f>[1]!BexGetData("DP_2","DL719O2RYNGN1RZRS91K7M4TV","17","E","22042102E201","2067221011")</f>
        <v>15479.8</v>
      </c>
      <c r="I1322" s="48">
        <f>[1]!BexGetData("DP_2","DL719O2RYNIY3MZ1QVCEEWBN7","17","E","22042102E201","2067221011")</f>
        <v>0</v>
      </c>
    </row>
    <row r="1323" spans="1:9" x14ac:dyDescent="0.2">
      <c r="A1323" s="46" t="s">
        <v>32</v>
      </c>
      <c r="B1323" s="46" t="s">
        <v>32</v>
      </c>
      <c r="C1323" s="46" t="s">
        <v>32</v>
      </c>
      <c r="D1323" s="46" t="s">
        <v>32</v>
      </c>
      <c r="E1323" s="46" t="s">
        <v>32</v>
      </c>
      <c r="F1323" s="47">
        <f>[1]!BexGetData("DP_2","DL719O2RYNC0Y217V0FVT1R77","17","E","22042102E201","2067221021")</f>
        <v>10000</v>
      </c>
      <c r="G1323" s="48">
        <f>[1]!BexGetData("DP_2","DL719O2RYNEBZX0HTMQQ0BY0J","17","E","22042102E201","2067221021")</f>
        <v>10000</v>
      </c>
      <c r="H1323" s="48">
        <f>[1]!BexGetData("DP_2","DL719O2RYNGN1RZRS91K7M4TV","17","E","22042102E201","2067221021")</f>
        <v>10000</v>
      </c>
      <c r="I1323" s="48">
        <f>[1]!BexGetData("DP_2","DL719O2RYNIY3MZ1QVCEEWBN7","17","E","22042102E201","2067221021")</f>
        <v>0</v>
      </c>
    </row>
    <row r="1324" spans="1:9" x14ac:dyDescent="0.2">
      <c r="A1324" s="46" t="s">
        <v>32</v>
      </c>
      <c r="B1324" s="46" t="s">
        <v>32</v>
      </c>
      <c r="C1324" s="46" t="s">
        <v>32</v>
      </c>
      <c r="D1324" s="46" t="s">
        <v>32</v>
      </c>
      <c r="E1324" s="46" t="s">
        <v>32</v>
      </c>
      <c r="F1324" s="47">
        <f>[1]!BexGetData("DP_2","DL719O2RYNC0Y217V0FVT1R77","17","E","22042102E201","2067241011")</f>
        <v>40215.199999999997</v>
      </c>
      <c r="G1324" s="48">
        <f>[1]!BexGetData("DP_2","DL719O2RYNEBZX0HTMQQ0BY0J","17","E","22042102E201","2067241011")</f>
        <v>40215.199999999997</v>
      </c>
      <c r="H1324" s="48">
        <f>[1]!BexGetData("DP_2","DL719O2RYNGN1RZRS91K7M4TV","17","E","22042102E201","2067241011")</f>
        <v>38414.660000000003</v>
      </c>
      <c r="I1324" s="48">
        <f>[1]!BexGetData("DP_2","DL719O2RYNIY3MZ1QVCEEWBN7","17","E","22042102E201","2067241011")</f>
        <v>0</v>
      </c>
    </row>
    <row r="1325" spans="1:9" x14ac:dyDescent="0.2">
      <c r="A1325" s="46" t="s">
        <v>32</v>
      </c>
      <c r="B1325" s="46" t="s">
        <v>32</v>
      </c>
      <c r="C1325" s="46" t="s">
        <v>32</v>
      </c>
      <c r="D1325" s="46" t="s">
        <v>32</v>
      </c>
      <c r="E1325" s="46" t="s">
        <v>32</v>
      </c>
      <c r="F1325" s="47">
        <f>[1]!BexGetData("DP_2","DL719O2RYNC0Y217V0FVT1R77","17","E","22042102E201","2067242011")</f>
        <v>5138.2700000000004</v>
      </c>
      <c r="G1325" s="48">
        <f>[1]!BexGetData("DP_2","DL719O2RYNEBZX0HTMQQ0BY0J","17","E","22042102E201","2067242011")</f>
        <v>5138.2700000000004</v>
      </c>
      <c r="H1325" s="48">
        <f>[1]!BexGetData("DP_2","DL719O2RYNGN1RZRS91K7M4TV","17","E","22042102E201","2067242011")</f>
        <v>4338.2700000000004</v>
      </c>
      <c r="I1325" s="48">
        <f>[1]!BexGetData("DP_2","DL719O2RYNIY3MZ1QVCEEWBN7","17","E","22042102E201","2067242011")</f>
        <v>0</v>
      </c>
    </row>
    <row r="1326" spans="1:9" x14ac:dyDescent="0.2">
      <c r="A1326" s="46" t="s">
        <v>32</v>
      </c>
      <c r="B1326" s="46" t="s">
        <v>32</v>
      </c>
      <c r="C1326" s="46" t="s">
        <v>32</v>
      </c>
      <c r="D1326" s="46" t="s">
        <v>32</v>
      </c>
      <c r="E1326" s="46" t="s">
        <v>32</v>
      </c>
      <c r="F1326" s="47">
        <f>[1]!BexGetData("DP_2","DL719O2RYNC0Y217V0FVT1R77","17","E","22042102E201","2067243011")</f>
        <v>11962.9</v>
      </c>
      <c r="G1326" s="48">
        <f>[1]!BexGetData("DP_2","DL719O2RYNEBZX0HTMQQ0BY0J","17","E","22042102E201","2067243011")</f>
        <v>11962.9</v>
      </c>
      <c r="H1326" s="48">
        <f>[1]!BexGetData("DP_2","DL719O2RYNGN1RZRS91K7M4TV","17","E","22042102E201","2067243011")</f>
        <v>11962.9</v>
      </c>
      <c r="I1326" s="48">
        <f>[1]!BexGetData("DP_2","DL719O2RYNIY3MZ1QVCEEWBN7","17","E","22042102E201","2067243011")</f>
        <v>0</v>
      </c>
    </row>
    <row r="1327" spans="1:9" x14ac:dyDescent="0.2">
      <c r="A1327" s="46" t="s">
        <v>32</v>
      </c>
      <c r="B1327" s="46" t="s">
        <v>32</v>
      </c>
      <c r="C1327" s="46" t="s">
        <v>32</v>
      </c>
      <c r="D1327" s="46" t="s">
        <v>32</v>
      </c>
      <c r="E1327" s="46" t="s">
        <v>32</v>
      </c>
      <c r="F1327" s="47">
        <f>[1]!BexGetData("DP_2","DL719O2RYNC0Y217V0FVT1R77","17","E","22042102E201","2067244011")</f>
        <v>84408.3</v>
      </c>
      <c r="G1327" s="48">
        <f>[1]!BexGetData("DP_2","DL719O2RYNEBZX0HTMQQ0BY0J","17","E","22042102E201","2067244011")</f>
        <v>84408.3</v>
      </c>
      <c r="H1327" s="48">
        <f>[1]!BexGetData("DP_2","DL719O2RYNGN1RZRS91K7M4TV","17","E","22042102E201","2067244011")</f>
        <v>71068.3</v>
      </c>
      <c r="I1327" s="48">
        <f>[1]!BexGetData("DP_2","DL719O2RYNIY3MZ1QVCEEWBN7","17","E","22042102E201","2067244011")</f>
        <v>0</v>
      </c>
    </row>
    <row r="1328" spans="1:9" x14ac:dyDescent="0.2">
      <c r="A1328" s="46" t="s">
        <v>32</v>
      </c>
      <c r="B1328" s="46" t="s">
        <v>32</v>
      </c>
      <c r="C1328" s="46" t="s">
        <v>32</v>
      </c>
      <c r="D1328" s="46" t="s">
        <v>32</v>
      </c>
      <c r="E1328" s="46" t="s">
        <v>32</v>
      </c>
      <c r="F1328" s="47">
        <f>[1]!BexGetData("DP_2","DL719O2RYNC0Y217V0FVT1R77","17","E","22042102E201","2067245011")</f>
        <v>92.54</v>
      </c>
      <c r="G1328" s="48">
        <f>[1]!BexGetData("DP_2","DL719O2RYNEBZX0HTMQQ0BY0J","17","E","22042102E201","2067245011")</f>
        <v>92.54</v>
      </c>
      <c r="H1328" s="48">
        <f>[1]!BexGetData("DP_2","DL719O2RYNGN1RZRS91K7M4TV","17","E","22042102E201","2067245011")</f>
        <v>0</v>
      </c>
      <c r="I1328" s="48">
        <f>[1]!BexGetData("DP_2","DL719O2RYNIY3MZ1QVCEEWBN7","17","E","22042102E201","2067245011")</f>
        <v>0</v>
      </c>
    </row>
    <row r="1329" spans="1:9" x14ac:dyDescent="0.2">
      <c r="A1329" s="46" t="s">
        <v>32</v>
      </c>
      <c r="B1329" s="46" t="s">
        <v>32</v>
      </c>
      <c r="C1329" s="46" t="s">
        <v>32</v>
      </c>
      <c r="D1329" s="46" t="s">
        <v>32</v>
      </c>
      <c r="E1329" s="46" t="s">
        <v>32</v>
      </c>
      <c r="F1329" s="47">
        <f>[1]!BexGetData("DP_2","DL719O2RYNC0Y217V0FVT1R77","17","E","22042102E201","2067246011")</f>
        <v>86104.87</v>
      </c>
      <c r="G1329" s="48">
        <f>[1]!BexGetData("DP_2","DL719O2RYNEBZX0HTMQQ0BY0J","17","E","22042102E201","2067246011")</f>
        <v>86104.87</v>
      </c>
      <c r="H1329" s="48">
        <f>[1]!BexGetData("DP_2","DL719O2RYNGN1RZRS91K7M4TV","17","E","22042102E201","2067246011")</f>
        <v>51356.49</v>
      </c>
      <c r="I1329" s="48">
        <f>[1]!BexGetData("DP_2","DL719O2RYNIY3MZ1QVCEEWBN7","17","E","22042102E201","2067246011")</f>
        <v>0</v>
      </c>
    </row>
    <row r="1330" spans="1:9" x14ac:dyDescent="0.2">
      <c r="A1330" s="46" t="s">
        <v>32</v>
      </c>
      <c r="B1330" s="46" t="s">
        <v>32</v>
      </c>
      <c r="C1330" s="46" t="s">
        <v>32</v>
      </c>
      <c r="D1330" s="46" t="s">
        <v>32</v>
      </c>
      <c r="E1330" s="46" t="s">
        <v>32</v>
      </c>
      <c r="F1330" s="47">
        <f>[1]!BexGetData("DP_2","DL719O2RYNC0Y217V0FVT1R77","17","E","22042102E201","2067247011")</f>
        <v>84556.6</v>
      </c>
      <c r="G1330" s="48">
        <f>[1]!BexGetData("DP_2","DL719O2RYNEBZX0HTMQQ0BY0J","17","E","22042102E201","2067247011")</f>
        <v>84556.6</v>
      </c>
      <c r="H1330" s="48">
        <f>[1]!BexGetData("DP_2","DL719O2RYNGN1RZRS91K7M4TV","17","E","22042102E201","2067247011")</f>
        <v>56642.62</v>
      </c>
      <c r="I1330" s="48">
        <f>[1]!BexGetData("DP_2","DL719O2RYNIY3MZ1QVCEEWBN7","17","E","22042102E201","2067247011")</f>
        <v>0</v>
      </c>
    </row>
    <row r="1331" spans="1:9" x14ac:dyDescent="0.2">
      <c r="A1331" s="46" t="s">
        <v>32</v>
      </c>
      <c r="B1331" s="46" t="s">
        <v>32</v>
      </c>
      <c r="C1331" s="46" t="s">
        <v>32</v>
      </c>
      <c r="D1331" s="46" t="s">
        <v>32</v>
      </c>
      <c r="E1331" s="46" t="s">
        <v>32</v>
      </c>
      <c r="F1331" s="47">
        <f>[1]!BexGetData("DP_2","DL719O2RYNC0Y217V0FVT1R77","17","E","22042102E201","2067249011")</f>
        <v>168538.16</v>
      </c>
      <c r="G1331" s="48">
        <f>[1]!BexGetData("DP_2","DL719O2RYNEBZX0HTMQQ0BY0J","17","E","22042102E201","2067249011")</f>
        <v>168538.16</v>
      </c>
      <c r="H1331" s="48">
        <f>[1]!BexGetData("DP_2","DL719O2RYNGN1RZRS91K7M4TV","17","E","22042102E201","2067249011")</f>
        <v>160342.59</v>
      </c>
      <c r="I1331" s="48">
        <f>[1]!BexGetData("DP_2","DL719O2RYNIY3MZ1QVCEEWBN7","17","E","22042102E201","2067249011")</f>
        <v>0</v>
      </c>
    </row>
    <row r="1332" spans="1:9" x14ac:dyDescent="0.2">
      <c r="A1332" s="46" t="s">
        <v>32</v>
      </c>
      <c r="B1332" s="46" t="s">
        <v>32</v>
      </c>
      <c r="C1332" s="46" t="s">
        <v>32</v>
      </c>
      <c r="D1332" s="46" t="s">
        <v>32</v>
      </c>
      <c r="E1332" s="46" t="s">
        <v>32</v>
      </c>
      <c r="F1332" s="47">
        <f>[1]!BexGetData("DP_2","DL719O2RYNC0Y217V0FVT1R77","17","E","22042102E201","2067251011")</f>
        <v>1253.98</v>
      </c>
      <c r="G1332" s="48">
        <f>[1]!BexGetData("DP_2","DL719O2RYNEBZX0HTMQQ0BY0J","17","E","22042102E201","2067251011")</f>
        <v>1253.98</v>
      </c>
      <c r="H1332" s="48">
        <f>[1]!BexGetData("DP_2","DL719O2RYNGN1RZRS91K7M4TV","17","E","22042102E201","2067251011")</f>
        <v>1253.98</v>
      </c>
      <c r="I1332" s="48">
        <f>[1]!BexGetData("DP_2","DL719O2RYNIY3MZ1QVCEEWBN7","17","E","22042102E201","2067251011")</f>
        <v>0</v>
      </c>
    </row>
    <row r="1333" spans="1:9" x14ac:dyDescent="0.2">
      <c r="A1333" s="46" t="s">
        <v>32</v>
      </c>
      <c r="B1333" s="46" t="s">
        <v>32</v>
      </c>
      <c r="C1333" s="46" t="s">
        <v>32</v>
      </c>
      <c r="D1333" s="46" t="s">
        <v>32</v>
      </c>
      <c r="E1333" s="46" t="s">
        <v>32</v>
      </c>
      <c r="F1333" s="47">
        <f>[1]!BexGetData("DP_2","DL719O2RYNC0Y217V0FVT1R77","17","E","22042102E201","2067252011")</f>
        <v>600</v>
      </c>
      <c r="G1333" s="48">
        <f>[1]!BexGetData("DP_2","DL719O2RYNEBZX0HTMQQ0BY0J","17","E","22042102E201","2067252011")</f>
        <v>600</v>
      </c>
      <c r="H1333" s="48">
        <f>[1]!BexGetData("DP_2","DL719O2RYNGN1RZRS91K7M4TV","17","E","22042102E201","2067252011")</f>
        <v>600</v>
      </c>
      <c r="I1333" s="48">
        <f>[1]!BexGetData("DP_2","DL719O2RYNIY3MZ1QVCEEWBN7","17","E","22042102E201","2067252011")</f>
        <v>0</v>
      </c>
    </row>
    <row r="1334" spans="1:9" x14ac:dyDescent="0.2">
      <c r="A1334" s="46" t="s">
        <v>32</v>
      </c>
      <c r="B1334" s="46" t="s">
        <v>32</v>
      </c>
      <c r="C1334" s="46" t="s">
        <v>32</v>
      </c>
      <c r="D1334" s="46" t="s">
        <v>32</v>
      </c>
      <c r="E1334" s="46" t="s">
        <v>32</v>
      </c>
      <c r="F1334" s="47">
        <f>[1]!BexGetData("DP_2","DL719O2RYNC0Y217V0FVT1R77","17","E","22042102E201","2067256011")</f>
        <v>82431.62</v>
      </c>
      <c r="G1334" s="48">
        <f>[1]!BexGetData("DP_2","DL719O2RYNEBZX0HTMQQ0BY0J","17","E","22042102E201","2067256011")</f>
        <v>82431.62</v>
      </c>
      <c r="H1334" s="48">
        <f>[1]!BexGetData("DP_2","DL719O2RYNGN1RZRS91K7M4TV","17","E","22042102E201","2067256011")</f>
        <v>13135.66</v>
      </c>
      <c r="I1334" s="48">
        <f>[1]!BexGetData("DP_2","DL719O2RYNIY3MZ1QVCEEWBN7","17","E","22042102E201","2067256011")</f>
        <v>0</v>
      </c>
    </row>
    <row r="1335" spans="1:9" x14ac:dyDescent="0.2">
      <c r="A1335" s="46" t="s">
        <v>32</v>
      </c>
      <c r="B1335" s="46" t="s">
        <v>32</v>
      </c>
      <c r="C1335" s="46" t="s">
        <v>32</v>
      </c>
      <c r="D1335" s="46" t="s">
        <v>32</v>
      </c>
      <c r="E1335" s="46" t="s">
        <v>32</v>
      </c>
      <c r="F1335" s="47">
        <f>[1]!BexGetData("DP_2","DL719O2RYNC0Y217V0FVT1R77","17","E","22042102E201","2067261021")</f>
        <v>25010.17</v>
      </c>
      <c r="G1335" s="48">
        <f>[1]!BexGetData("DP_2","DL719O2RYNEBZX0HTMQQ0BY0J","17","E","22042102E201","2067261021")</f>
        <v>25010.17</v>
      </c>
      <c r="H1335" s="48">
        <f>[1]!BexGetData("DP_2","DL719O2RYNGN1RZRS91K7M4TV","17","E","22042102E201","2067261021")</f>
        <v>8309.51</v>
      </c>
      <c r="I1335" s="48">
        <f>[1]!BexGetData("DP_2","DL719O2RYNIY3MZ1QVCEEWBN7","17","E","22042102E201","2067261021")</f>
        <v>0</v>
      </c>
    </row>
    <row r="1336" spans="1:9" x14ac:dyDescent="0.2">
      <c r="A1336" s="46" t="s">
        <v>32</v>
      </c>
      <c r="B1336" s="46" t="s">
        <v>32</v>
      </c>
      <c r="C1336" s="46" t="s">
        <v>32</v>
      </c>
      <c r="D1336" s="46" t="s">
        <v>32</v>
      </c>
      <c r="E1336" s="46" t="s">
        <v>32</v>
      </c>
      <c r="F1336" s="47">
        <f>[1]!BexGetData("DP_2","DL719O2RYNC0Y217V0FVT1R77","17","E","22042102E201","2067272011")</f>
        <v>73390.259999999995</v>
      </c>
      <c r="G1336" s="48">
        <f>[1]!BexGetData("DP_2","DL719O2RYNEBZX0HTMQQ0BY0J","17","E","22042102E201","2067272011")</f>
        <v>73390.259999999995</v>
      </c>
      <c r="H1336" s="48">
        <f>[1]!BexGetData("DP_2","DL719O2RYNGN1RZRS91K7M4TV","17","E","22042102E201","2067272011")</f>
        <v>70972.240000000005</v>
      </c>
      <c r="I1336" s="48">
        <f>[1]!BexGetData("DP_2","DL719O2RYNIY3MZ1QVCEEWBN7","17","E","22042102E201","2067272011")</f>
        <v>0</v>
      </c>
    </row>
    <row r="1337" spans="1:9" x14ac:dyDescent="0.2">
      <c r="A1337" s="46" t="s">
        <v>32</v>
      </c>
      <c r="B1337" s="46" t="s">
        <v>32</v>
      </c>
      <c r="C1337" s="46" t="s">
        <v>32</v>
      </c>
      <c r="D1337" s="46" t="s">
        <v>32</v>
      </c>
      <c r="E1337" s="46" t="s">
        <v>32</v>
      </c>
      <c r="F1337" s="47">
        <f>[1]!BexGetData("DP_2","DL719O2RYNC0Y217V0FVT1R77","17","E","22042102E201","2067274011")</f>
        <v>19602.48</v>
      </c>
      <c r="G1337" s="48">
        <f>[1]!BexGetData("DP_2","DL719O2RYNEBZX0HTMQQ0BY0J","17","E","22042102E201","2067274011")</f>
        <v>19602.48</v>
      </c>
      <c r="H1337" s="48">
        <f>[1]!BexGetData("DP_2","DL719O2RYNGN1RZRS91K7M4TV","17","E","22042102E201","2067274011")</f>
        <v>19554.48</v>
      </c>
      <c r="I1337" s="48">
        <f>[1]!BexGetData("DP_2","DL719O2RYNIY3MZ1QVCEEWBN7","17","E","22042102E201","2067274011")</f>
        <v>0</v>
      </c>
    </row>
    <row r="1338" spans="1:9" x14ac:dyDescent="0.2">
      <c r="A1338" s="46" t="s">
        <v>32</v>
      </c>
      <c r="B1338" s="46" t="s">
        <v>32</v>
      </c>
      <c r="C1338" s="46" t="s">
        <v>32</v>
      </c>
      <c r="D1338" s="46" t="s">
        <v>32</v>
      </c>
      <c r="E1338" s="46" t="s">
        <v>32</v>
      </c>
      <c r="F1338" s="47">
        <f>[1]!BexGetData("DP_2","DL719O2RYNC0Y217V0FVT1R77","17","E","22042102E201","2067291011")</f>
        <v>191822.38</v>
      </c>
      <c r="G1338" s="48">
        <f>[1]!BexGetData("DP_2","DL719O2RYNEBZX0HTMQQ0BY0J","17","E","22042102E201","2067291011")</f>
        <v>191822.38</v>
      </c>
      <c r="H1338" s="48">
        <f>[1]!BexGetData("DP_2","DL719O2RYNGN1RZRS91K7M4TV","17","E","22042102E201","2067291011")</f>
        <v>160224.89000000001</v>
      </c>
      <c r="I1338" s="48">
        <f>[1]!BexGetData("DP_2","DL719O2RYNIY3MZ1QVCEEWBN7","17","E","22042102E201","2067291011")</f>
        <v>0</v>
      </c>
    </row>
    <row r="1339" spans="1:9" x14ac:dyDescent="0.2">
      <c r="A1339" s="46" t="s">
        <v>32</v>
      </c>
      <c r="B1339" s="46" t="s">
        <v>32</v>
      </c>
      <c r="C1339" s="46" t="s">
        <v>32</v>
      </c>
      <c r="D1339" s="46" t="s">
        <v>32</v>
      </c>
      <c r="E1339" s="46" t="s">
        <v>32</v>
      </c>
      <c r="F1339" s="47">
        <f>[1]!BexGetData("DP_2","DL719O2RYNC0Y217V0FVT1R77","17","E","22042102E201","2067292011")</f>
        <v>528.66</v>
      </c>
      <c r="G1339" s="48">
        <f>[1]!BexGetData("DP_2","DL719O2RYNEBZX0HTMQQ0BY0J","17","E","22042102E201","2067292011")</f>
        <v>528.66</v>
      </c>
      <c r="H1339" s="48">
        <f>[1]!BexGetData("DP_2","DL719O2RYNGN1RZRS91K7M4TV","17","E","22042102E201","2067292011")</f>
        <v>528.66</v>
      </c>
      <c r="I1339" s="48">
        <f>[1]!BexGetData("DP_2","DL719O2RYNIY3MZ1QVCEEWBN7","17","E","22042102E201","2067292011")</f>
        <v>0</v>
      </c>
    </row>
    <row r="1340" spans="1:9" x14ac:dyDescent="0.2">
      <c r="A1340" s="46" t="s">
        <v>32</v>
      </c>
      <c r="B1340" s="46" t="s">
        <v>32</v>
      </c>
      <c r="C1340" s="46" t="s">
        <v>32</v>
      </c>
      <c r="D1340" s="46" t="s">
        <v>32</v>
      </c>
      <c r="E1340" s="46" t="s">
        <v>32</v>
      </c>
      <c r="F1340" s="47">
        <f>[1]!BexGetData("DP_2","DL719O2RYNC0Y217V0FVT1R77","17","E","22042102E201","2067293041")</f>
        <v>412.01</v>
      </c>
      <c r="G1340" s="48">
        <f>[1]!BexGetData("DP_2","DL719O2RYNEBZX0HTMQQ0BY0J","17","E","22042102E201","2067293041")</f>
        <v>412.01</v>
      </c>
      <c r="H1340" s="48">
        <f>[1]!BexGetData("DP_2","DL719O2RYNGN1RZRS91K7M4TV","17","E","22042102E201","2067293041")</f>
        <v>412.01</v>
      </c>
      <c r="I1340" s="48">
        <f>[1]!BexGetData("DP_2","DL719O2RYNIY3MZ1QVCEEWBN7","17","E","22042102E201","2067293041")</f>
        <v>0</v>
      </c>
    </row>
    <row r="1341" spans="1:9" x14ac:dyDescent="0.2">
      <c r="A1341" s="46" t="s">
        <v>32</v>
      </c>
      <c r="B1341" s="46" t="s">
        <v>32</v>
      </c>
      <c r="C1341" s="46" t="s">
        <v>32</v>
      </c>
      <c r="D1341" s="46" t="s">
        <v>32</v>
      </c>
      <c r="E1341" s="46" t="s">
        <v>32</v>
      </c>
      <c r="F1341" s="47">
        <f>[1]!BexGetData("DP_2","DL719O2RYNC0Y217V0FVT1R77","17","E","22042102E201","2067296011")</f>
        <v>0</v>
      </c>
      <c r="G1341" s="48">
        <f>[1]!BexGetData("DP_2","DL719O2RYNEBZX0HTMQQ0BY0J","17","E","22042102E201","2067296011")</f>
        <v>0</v>
      </c>
      <c r="H1341" s="48">
        <f>[1]!BexGetData("DP_2","DL719O2RYNGN1RZRS91K7M4TV","17","E","22042102E201","2067296011")</f>
        <v>0</v>
      </c>
      <c r="I1341" s="48">
        <f>[1]!BexGetData("DP_2","DL719O2RYNIY3MZ1QVCEEWBN7","17","E","22042102E201","2067296011")</f>
        <v>0</v>
      </c>
    </row>
    <row r="1342" spans="1:9" x14ac:dyDescent="0.2">
      <c r="A1342" s="46" t="s">
        <v>32</v>
      </c>
      <c r="B1342" s="46" t="s">
        <v>32</v>
      </c>
      <c r="C1342" s="46" t="s">
        <v>32</v>
      </c>
      <c r="D1342" s="46" t="s">
        <v>32</v>
      </c>
      <c r="E1342" s="46" t="s">
        <v>32</v>
      </c>
      <c r="F1342" s="47">
        <f>[1]!BexGetData("DP_2","DL719O2RYNC0Y217V0FVT1R77","17","E","22042102E201","2067298011")</f>
        <v>0</v>
      </c>
      <c r="G1342" s="48">
        <f>[1]!BexGetData("DP_2","DL719O2RYNEBZX0HTMQQ0BY0J","17","E","22042102E201","2067298011")</f>
        <v>0</v>
      </c>
      <c r="H1342" s="48">
        <f>[1]!BexGetData("DP_2","DL719O2RYNGN1RZRS91K7M4TV","17","E","22042102E201","2067298011")</f>
        <v>0</v>
      </c>
      <c r="I1342" s="48">
        <f>[1]!BexGetData("DP_2","DL719O2RYNIY3MZ1QVCEEWBN7","17","E","22042102E201","2067298011")</f>
        <v>0</v>
      </c>
    </row>
    <row r="1343" spans="1:9" x14ac:dyDescent="0.2">
      <c r="A1343" s="46" t="s">
        <v>32</v>
      </c>
      <c r="B1343" s="46" t="s">
        <v>32</v>
      </c>
      <c r="C1343" s="46" t="s">
        <v>32</v>
      </c>
      <c r="D1343" s="46" t="s">
        <v>32</v>
      </c>
      <c r="E1343" s="46" t="s">
        <v>32</v>
      </c>
      <c r="F1343" s="47">
        <f>[1]!BexGetData("DP_2","DL719O2RYNC0Y217V0FVT1R77","17","E","22042102E201","2067298041")</f>
        <v>25964.74</v>
      </c>
      <c r="G1343" s="48">
        <f>[1]!BexGetData("DP_2","DL719O2RYNEBZX0HTMQQ0BY0J","17","E","22042102E201","2067298041")</f>
        <v>25964.74</v>
      </c>
      <c r="H1343" s="48">
        <f>[1]!BexGetData("DP_2","DL719O2RYNGN1RZRS91K7M4TV","17","E","22042102E201","2067298041")</f>
        <v>25572.75</v>
      </c>
      <c r="I1343" s="48">
        <f>[1]!BexGetData("DP_2","DL719O2RYNIY3MZ1QVCEEWBN7","17","E","22042102E201","2067298041")</f>
        <v>0</v>
      </c>
    </row>
    <row r="1344" spans="1:9" x14ac:dyDescent="0.2">
      <c r="A1344" s="46" t="s">
        <v>32</v>
      </c>
      <c r="B1344" s="46" t="s">
        <v>32</v>
      </c>
      <c r="C1344" s="46" t="s">
        <v>32</v>
      </c>
      <c r="D1344" s="46" t="s">
        <v>32</v>
      </c>
      <c r="E1344" s="46" t="s">
        <v>32</v>
      </c>
      <c r="F1344" s="47">
        <f>[1]!BexGetData("DP_2","DL719O2RYNC0Y217V0FVT1R77","17","E","22042102E201","2067298051")</f>
        <v>12291.19</v>
      </c>
      <c r="G1344" s="48">
        <f>[1]!BexGetData("DP_2","DL719O2RYNEBZX0HTMQQ0BY0J","17","E","22042102E201","2067298051")</f>
        <v>12291.19</v>
      </c>
      <c r="H1344" s="48">
        <f>[1]!BexGetData("DP_2","DL719O2RYNGN1RZRS91K7M4TV","17","E","22042102E201","2067298051")</f>
        <v>0</v>
      </c>
      <c r="I1344" s="48">
        <f>[1]!BexGetData("DP_2","DL719O2RYNIY3MZ1QVCEEWBN7","17","E","22042102E201","2067298051")</f>
        <v>0</v>
      </c>
    </row>
    <row r="1345" spans="1:9" x14ac:dyDescent="0.2">
      <c r="A1345" s="46" t="s">
        <v>32</v>
      </c>
      <c r="B1345" s="46" t="s">
        <v>32</v>
      </c>
      <c r="C1345" s="46" t="s">
        <v>32</v>
      </c>
      <c r="D1345" s="46" t="s">
        <v>32</v>
      </c>
      <c r="E1345" s="46" t="s">
        <v>32</v>
      </c>
      <c r="F1345" s="47">
        <f>[1]!BexGetData("DP_2","DL719O2RYNC0Y217V0FVT1R77","17","E","22042102E201","2067298061")</f>
        <v>10902.48</v>
      </c>
      <c r="G1345" s="48">
        <f>[1]!BexGetData("DP_2","DL719O2RYNEBZX0HTMQQ0BY0J","17","E","22042102E201","2067298061")</f>
        <v>10902.48</v>
      </c>
      <c r="H1345" s="48">
        <f>[1]!BexGetData("DP_2","DL719O2RYNGN1RZRS91K7M4TV","17","E","22042102E201","2067298061")</f>
        <v>1889.98</v>
      </c>
      <c r="I1345" s="48">
        <f>[1]!BexGetData("DP_2","DL719O2RYNIY3MZ1QVCEEWBN7","17","E","22042102E201","2067298061")</f>
        <v>0</v>
      </c>
    </row>
    <row r="1346" spans="1:9" x14ac:dyDescent="0.2">
      <c r="A1346" s="46" t="s">
        <v>32</v>
      </c>
      <c r="B1346" s="46" t="s">
        <v>32</v>
      </c>
      <c r="C1346" s="46" t="s">
        <v>32</v>
      </c>
      <c r="D1346" s="46" t="s">
        <v>32</v>
      </c>
      <c r="E1346" s="46" t="s">
        <v>32</v>
      </c>
      <c r="F1346" s="47">
        <f>[1]!BexGetData("DP_2","DL719O2RYNC0Y217V0FVT1R77","17","E","22042102E201","2067311011")</f>
        <v>104695.89</v>
      </c>
      <c r="G1346" s="48">
        <f>[1]!BexGetData("DP_2","DL719O2RYNEBZX0HTMQQ0BY0J","17","E","22042102E201","2067311011")</f>
        <v>104695.89</v>
      </c>
      <c r="H1346" s="48">
        <f>[1]!BexGetData("DP_2","DL719O2RYNGN1RZRS91K7M4TV","17","E","22042102E201","2067311011")</f>
        <v>101530.89</v>
      </c>
      <c r="I1346" s="48">
        <f>[1]!BexGetData("DP_2","DL719O2RYNIY3MZ1QVCEEWBN7","17","E","22042102E201","2067311011")</f>
        <v>0</v>
      </c>
    </row>
    <row r="1347" spans="1:9" x14ac:dyDescent="0.2">
      <c r="A1347" s="46" t="s">
        <v>32</v>
      </c>
      <c r="B1347" s="46" t="s">
        <v>32</v>
      </c>
      <c r="C1347" s="46" t="s">
        <v>32</v>
      </c>
      <c r="D1347" s="46" t="s">
        <v>32</v>
      </c>
      <c r="E1347" s="46" t="s">
        <v>32</v>
      </c>
      <c r="F1347" s="47">
        <f>[1]!BexGetData("DP_2","DL719O2RYNC0Y217V0FVT1R77","17","E","22042102E201","2067311021")</f>
        <v>34514978.149999999</v>
      </c>
      <c r="G1347" s="48">
        <f>[1]!BexGetData("DP_2","DL719O2RYNEBZX0HTMQQ0BY0J","17","E","22042102E201","2067311021")</f>
        <v>34514978.149999999</v>
      </c>
      <c r="H1347" s="48">
        <f>[1]!BexGetData("DP_2","DL719O2RYNGN1RZRS91K7M4TV","17","E","22042102E201","2067311021")</f>
        <v>34514978.149999999</v>
      </c>
      <c r="I1347" s="48">
        <f>[1]!BexGetData("DP_2","DL719O2RYNIY3MZ1QVCEEWBN7","17","E","22042102E201","2067311021")</f>
        <v>0</v>
      </c>
    </row>
    <row r="1348" spans="1:9" x14ac:dyDescent="0.2">
      <c r="A1348" s="46" t="s">
        <v>32</v>
      </c>
      <c r="B1348" s="46" t="s">
        <v>32</v>
      </c>
      <c r="C1348" s="46" t="s">
        <v>32</v>
      </c>
      <c r="D1348" s="46" t="s">
        <v>32</v>
      </c>
      <c r="E1348" s="46" t="s">
        <v>32</v>
      </c>
      <c r="F1348" s="47">
        <f>[1]!BexGetData("DP_2","DL719O2RYNC0Y217V0FVT1R77","17","E","22042102E201","2067313011")</f>
        <v>54989</v>
      </c>
      <c r="G1348" s="48">
        <f>[1]!BexGetData("DP_2","DL719O2RYNEBZX0HTMQQ0BY0J","17","E","22042102E201","2067313011")</f>
        <v>54989</v>
      </c>
      <c r="H1348" s="48">
        <f>[1]!BexGetData("DP_2","DL719O2RYNGN1RZRS91K7M4TV","17","E","22042102E201","2067313011")</f>
        <v>54989</v>
      </c>
      <c r="I1348" s="48">
        <f>[1]!BexGetData("DP_2","DL719O2RYNIY3MZ1QVCEEWBN7","17","E","22042102E201","2067313011")</f>
        <v>0</v>
      </c>
    </row>
    <row r="1349" spans="1:9" x14ac:dyDescent="0.2">
      <c r="A1349" s="46" t="s">
        <v>32</v>
      </c>
      <c r="B1349" s="46" t="s">
        <v>32</v>
      </c>
      <c r="C1349" s="46" t="s">
        <v>32</v>
      </c>
      <c r="D1349" s="46" t="s">
        <v>32</v>
      </c>
      <c r="E1349" s="46" t="s">
        <v>32</v>
      </c>
      <c r="F1349" s="47">
        <f>[1]!BexGetData("DP_2","DL719O2RYNC0Y217V0FVT1R77","17","E","22042102E201","2067314011")</f>
        <v>12711.26</v>
      </c>
      <c r="G1349" s="48">
        <f>[1]!BexGetData("DP_2","DL719O2RYNEBZX0HTMQQ0BY0J","17","E","22042102E201","2067314011")</f>
        <v>12711.26</v>
      </c>
      <c r="H1349" s="48">
        <f>[1]!BexGetData("DP_2","DL719O2RYNGN1RZRS91K7M4TV","17","E","22042102E201","2067314011")</f>
        <v>12711.26</v>
      </c>
      <c r="I1349" s="48">
        <f>[1]!BexGetData("DP_2","DL719O2RYNIY3MZ1QVCEEWBN7","17","E","22042102E201","2067314011")</f>
        <v>0</v>
      </c>
    </row>
    <row r="1350" spans="1:9" x14ac:dyDescent="0.2">
      <c r="A1350" s="46" t="s">
        <v>32</v>
      </c>
      <c r="B1350" s="46" t="s">
        <v>32</v>
      </c>
      <c r="C1350" s="46" t="s">
        <v>32</v>
      </c>
      <c r="D1350" s="46" t="s">
        <v>32</v>
      </c>
      <c r="E1350" s="46" t="s">
        <v>32</v>
      </c>
      <c r="F1350" s="47">
        <f>[1]!BexGetData("DP_2","DL719O2RYNC0Y217V0FVT1R77","17","E","22042102E201","2067322011")</f>
        <v>685196.89</v>
      </c>
      <c r="G1350" s="48">
        <f>[1]!BexGetData("DP_2","DL719O2RYNEBZX0HTMQQ0BY0J","17","E","22042102E201","2067322011")</f>
        <v>685196.89</v>
      </c>
      <c r="H1350" s="48">
        <f>[1]!BexGetData("DP_2","DL719O2RYNGN1RZRS91K7M4TV","17","E","22042102E201","2067322011")</f>
        <v>615596.89</v>
      </c>
      <c r="I1350" s="48">
        <f>[1]!BexGetData("DP_2","DL719O2RYNIY3MZ1QVCEEWBN7","17","E","22042102E201","2067322011")</f>
        <v>0</v>
      </c>
    </row>
    <row r="1351" spans="1:9" x14ac:dyDescent="0.2">
      <c r="A1351" s="46" t="s">
        <v>32</v>
      </c>
      <c r="B1351" s="46" t="s">
        <v>32</v>
      </c>
      <c r="C1351" s="46" t="s">
        <v>32</v>
      </c>
      <c r="D1351" s="46" t="s">
        <v>32</v>
      </c>
      <c r="E1351" s="46" t="s">
        <v>32</v>
      </c>
      <c r="F1351" s="47">
        <f>[1]!BexGetData("DP_2","DL719O2RYNC0Y217V0FVT1R77","17","E","22042102E201","2067329011")</f>
        <v>0</v>
      </c>
      <c r="G1351" s="48">
        <f>[1]!BexGetData("DP_2","DL719O2RYNEBZX0HTMQQ0BY0J","17","E","22042102E201","2067329011")</f>
        <v>0</v>
      </c>
      <c r="H1351" s="48">
        <f>[1]!BexGetData("DP_2","DL719O2RYNGN1RZRS91K7M4TV","17","E","22042102E201","2067329011")</f>
        <v>0</v>
      </c>
      <c r="I1351" s="48">
        <f>[1]!BexGetData("DP_2","DL719O2RYNIY3MZ1QVCEEWBN7","17","E","22042102E201","2067329011")</f>
        <v>0</v>
      </c>
    </row>
    <row r="1352" spans="1:9" x14ac:dyDescent="0.2">
      <c r="A1352" s="46" t="s">
        <v>32</v>
      </c>
      <c r="B1352" s="46" t="s">
        <v>32</v>
      </c>
      <c r="C1352" s="46" t="s">
        <v>32</v>
      </c>
      <c r="D1352" s="46" t="s">
        <v>32</v>
      </c>
      <c r="E1352" s="46" t="s">
        <v>32</v>
      </c>
      <c r="F1352" s="47">
        <f>[1]!BexGetData("DP_2","DL719O2RYNC0Y217V0FVT1R77","17","E","22042102E201","2067336011")</f>
        <v>138150.34</v>
      </c>
      <c r="G1352" s="48">
        <f>[1]!BexGetData("DP_2","DL719O2RYNEBZX0HTMQQ0BY0J","17","E","22042102E201","2067336011")</f>
        <v>138150.34</v>
      </c>
      <c r="H1352" s="48">
        <f>[1]!BexGetData("DP_2","DL719O2RYNGN1RZRS91K7M4TV","17","E","22042102E201","2067336011")</f>
        <v>130484.48</v>
      </c>
      <c r="I1352" s="48">
        <f>[1]!BexGetData("DP_2","DL719O2RYNIY3MZ1QVCEEWBN7","17","E","22042102E201","2067336011")</f>
        <v>0</v>
      </c>
    </row>
    <row r="1353" spans="1:9" x14ac:dyDescent="0.2">
      <c r="A1353" s="46" t="s">
        <v>32</v>
      </c>
      <c r="B1353" s="46" t="s">
        <v>32</v>
      </c>
      <c r="C1353" s="46" t="s">
        <v>32</v>
      </c>
      <c r="D1353" s="46" t="s">
        <v>32</v>
      </c>
      <c r="E1353" s="46" t="s">
        <v>32</v>
      </c>
      <c r="F1353" s="47">
        <f>[1]!BexGetData("DP_2","DL719O2RYNC0Y217V0FVT1R77","17","E","22042102E201","2067347011")</f>
        <v>29348</v>
      </c>
      <c r="G1353" s="48">
        <f>[1]!BexGetData("DP_2","DL719O2RYNEBZX0HTMQQ0BY0J","17","E","22042102E201","2067347011")</f>
        <v>29348</v>
      </c>
      <c r="H1353" s="48">
        <f>[1]!BexGetData("DP_2","DL719O2RYNGN1RZRS91K7M4TV","17","E","22042102E201","2067347011")</f>
        <v>29348</v>
      </c>
      <c r="I1353" s="48">
        <f>[1]!BexGetData("DP_2","DL719O2RYNIY3MZ1QVCEEWBN7","17","E","22042102E201","2067347011")</f>
        <v>0</v>
      </c>
    </row>
    <row r="1354" spans="1:9" x14ac:dyDescent="0.2">
      <c r="A1354" s="46" t="s">
        <v>32</v>
      </c>
      <c r="B1354" s="46" t="s">
        <v>32</v>
      </c>
      <c r="C1354" s="46" t="s">
        <v>32</v>
      </c>
      <c r="D1354" s="46" t="s">
        <v>32</v>
      </c>
      <c r="E1354" s="46" t="s">
        <v>32</v>
      </c>
      <c r="F1354" s="47">
        <f>[1]!BexGetData("DP_2","DL719O2RYNC0Y217V0FVT1R77","17","E","22042102E201","2067351011")</f>
        <v>2784</v>
      </c>
      <c r="G1354" s="48">
        <f>[1]!BexGetData("DP_2","DL719O2RYNEBZX0HTMQQ0BY0J","17","E","22042102E201","2067351011")</f>
        <v>2784</v>
      </c>
      <c r="H1354" s="48">
        <f>[1]!BexGetData("DP_2","DL719O2RYNGN1RZRS91K7M4TV","17","E","22042102E201","2067351011")</f>
        <v>2784</v>
      </c>
      <c r="I1354" s="48">
        <f>[1]!BexGetData("DP_2","DL719O2RYNIY3MZ1QVCEEWBN7","17","E","22042102E201","2067351011")</f>
        <v>0</v>
      </c>
    </row>
    <row r="1355" spans="1:9" x14ac:dyDescent="0.2">
      <c r="A1355" s="46" t="s">
        <v>32</v>
      </c>
      <c r="B1355" s="46" t="s">
        <v>32</v>
      </c>
      <c r="C1355" s="46" t="s">
        <v>32</v>
      </c>
      <c r="D1355" s="46" t="s">
        <v>32</v>
      </c>
      <c r="E1355" s="46" t="s">
        <v>32</v>
      </c>
      <c r="F1355" s="47">
        <f>[1]!BexGetData("DP_2","DL719O2RYNC0Y217V0FVT1R77","17","E","22042102E201","2067351021")</f>
        <v>25775.200000000001</v>
      </c>
      <c r="G1355" s="48">
        <f>[1]!BexGetData("DP_2","DL719O2RYNEBZX0HTMQQ0BY0J","17","E","22042102E201","2067351021")</f>
        <v>25775.200000000001</v>
      </c>
      <c r="H1355" s="48">
        <f>[1]!BexGetData("DP_2","DL719O2RYNGN1RZRS91K7M4TV","17","E","22042102E201","2067351021")</f>
        <v>25775.200000000001</v>
      </c>
      <c r="I1355" s="48">
        <f>[1]!BexGetData("DP_2","DL719O2RYNIY3MZ1QVCEEWBN7","17","E","22042102E201","2067351021")</f>
        <v>0</v>
      </c>
    </row>
    <row r="1356" spans="1:9" x14ac:dyDescent="0.2">
      <c r="A1356" s="46" t="s">
        <v>32</v>
      </c>
      <c r="B1356" s="46" t="s">
        <v>32</v>
      </c>
      <c r="C1356" s="46" t="s">
        <v>32</v>
      </c>
      <c r="D1356" s="46" t="s">
        <v>32</v>
      </c>
      <c r="E1356" s="46" t="s">
        <v>32</v>
      </c>
      <c r="F1356" s="47">
        <f>[1]!BexGetData("DP_2","DL719O2RYNC0Y217V0FVT1R77","17","E","22042102E201","2067355011")</f>
        <v>0</v>
      </c>
      <c r="G1356" s="48">
        <f>[1]!BexGetData("DP_2","DL719O2RYNEBZX0HTMQQ0BY0J","17","E","22042102E201","2067355011")</f>
        <v>0</v>
      </c>
      <c r="H1356" s="48">
        <f>[1]!BexGetData("DP_2","DL719O2RYNGN1RZRS91K7M4TV","17","E","22042102E201","2067355011")</f>
        <v>0</v>
      </c>
      <c r="I1356" s="48">
        <f>[1]!BexGetData("DP_2","DL719O2RYNIY3MZ1QVCEEWBN7","17","E","22042102E201","2067355011")</f>
        <v>0</v>
      </c>
    </row>
    <row r="1357" spans="1:9" x14ac:dyDescent="0.2">
      <c r="A1357" s="46" t="s">
        <v>32</v>
      </c>
      <c r="B1357" s="46" t="s">
        <v>32</v>
      </c>
      <c r="C1357" s="46" t="s">
        <v>32</v>
      </c>
      <c r="D1357" s="46" t="s">
        <v>32</v>
      </c>
      <c r="E1357" s="46" t="s">
        <v>32</v>
      </c>
      <c r="F1357" s="47">
        <f>[1]!BexGetData("DP_2","DL719O2RYNC0Y217V0FVT1R77","17","E","22042102E201","2067357031")</f>
        <v>7175</v>
      </c>
      <c r="G1357" s="48">
        <f>[1]!BexGetData("DP_2","DL719O2RYNEBZX0HTMQQ0BY0J","17","E","22042102E201","2067357031")</f>
        <v>7175</v>
      </c>
      <c r="H1357" s="48">
        <f>[1]!BexGetData("DP_2","DL719O2RYNGN1RZRS91K7M4TV","17","E","22042102E201","2067357031")</f>
        <v>7175</v>
      </c>
      <c r="I1357" s="48">
        <f>[1]!BexGetData("DP_2","DL719O2RYNIY3MZ1QVCEEWBN7","17","E","22042102E201","2067357031")</f>
        <v>0</v>
      </c>
    </row>
    <row r="1358" spans="1:9" x14ac:dyDescent="0.2">
      <c r="A1358" s="46" t="s">
        <v>32</v>
      </c>
      <c r="B1358" s="46" t="s">
        <v>32</v>
      </c>
      <c r="C1358" s="46" t="s">
        <v>32</v>
      </c>
      <c r="D1358" s="46" t="s">
        <v>32</v>
      </c>
      <c r="E1358" s="46" t="s">
        <v>32</v>
      </c>
      <c r="F1358" s="47">
        <f>[1]!BexGetData("DP_2","DL719O2RYNC0Y217V0FVT1R77","17","E","22042102E201","2067357091")</f>
        <v>1100</v>
      </c>
      <c r="G1358" s="48">
        <f>[1]!BexGetData("DP_2","DL719O2RYNEBZX0HTMQQ0BY0J","17","E","22042102E201","2067357091")</f>
        <v>1100</v>
      </c>
      <c r="H1358" s="48">
        <f>[1]!BexGetData("DP_2","DL719O2RYNGN1RZRS91K7M4TV","17","E","22042102E201","2067357091")</f>
        <v>1100</v>
      </c>
      <c r="I1358" s="48">
        <f>[1]!BexGetData("DP_2","DL719O2RYNIY3MZ1QVCEEWBN7","17","E","22042102E201","2067357091")</f>
        <v>0</v>
      </c>
    </row>
    <row r="1359" spans="1:9" x14ac:dyDescent="0.2">
      <c r="A1359" s="46" t="s">
        <v>32</v>
      </c>
      <c r="B1359" s="46" t="s">
        <v>32</v>
      </c>
      <c r="C1359" s="46" t="s">
        <v>32</v>
      </c>
      <c r="D1359" s="46" t="s">
        <v>32</v>
      </c>
      <c r="E1359" s="46" t="s">
        <v>32</v>
      </c>
      <c r="F1359" s="47">
        <f>[1]!BexGetData("DP_2","DL719O2RYNC0Y217V0FVT1R77","17","E","22042102E201","2067359011")</f>
        <v>382800</v>
      </c>
      <c r="G1359" s="48">
        <f>[1]!BexGetData("DP_2","DL719O2RYNEBZX0HTMQQ0BY0J","17","E","22042102E201","2067359011")</f>
        <v>382800</v>
      </c>
      <c r="H1359" s="48">
        <f>[1]!BexGetData("DP_2","DL719O2RYNGN1RZRS91K7M4TV","17","E","22042102E201","2067359011")</f>
        <v>382800</v>
      </c>
      <c r="I1359" s="48">
        <f>[1]!BexGetData("DP_2","DL719O2RYNIY3MZ1QVCEEWBN7","17","E","22042102E201","2067359011")</f>
        <v>0</v>
      </c>
    </row>
    <row r="1360" spans="1:9" x14ac:dyDescent="0.2">
      <c r="A1360" s="46" t="s">
        <v>32</v>
      </c>
      <c r="B1360" s="46" t="s">
        <v>32</v>
      </c>
      <c r="C1360" s="46" t="s">
        <v>32</v>
      </c>
      <c r="D1360" s="46" t="s">
        <v>32</v>
      </c>
      <c r="E1360" s="46" t="s">
        <v>32</v>
      </c>
      <c r="F1360" s="47">
        <f>[1]!BexGetData("DP_2","DL719O2RYNC0Y217V0FVT1R77","17","E","22042102E201","2067396021")</f>
        <v>13243.2</v>
      </c>
      <c r="G1360" s="48">
        <f>[1]!BexGetData("DP_2","DL719O2RYNEBZX0HTMQQ0BY0J","17","E","22042102E201","2067396021")</f>
        <v>13243.2</v>
      </c>
      <c r="H1360" s="48">
        <f>[1]!BexGetData("DP_2","DL719O2RYNGN1RZRS91K7M4TV","17","E","22042102E201","2067396021")</f>
        <v>13243.2</v>
      </c>
      <c r="I1360" s="48">
        <f>[1]!BexGetData("DP_2","DL719O2RYNIY3MZ1QVCEEWBN7","17","E","22042102E201","2067396021")</f>
        <v>0</v>
      </c>
    </row>
    <row r="1361" spans="1:9" x14ac:dyDescent="0.2">
      <c r="A1361" s="46" t="s">
        <v>32</v>
      </c>
      <c r="B1361" s="46" t="s">
        <v>32</v>
      </c>
      <c r="C1361" s="46" t="s">
        <v>32</v>
      </c>
      <c r="D1361" s="46" t="s">
        <v>32</v>
      </c>
      <c r="E1361" s="46" t="s">
        <v>32</v>
      </c>
      <c r="F1361" s="47">
        <f>[1]!BexGetData("DP_2","DL719O2RYNC0Y217V0FVT1R77","17","E","22042102E201","2067567012")</f>
        <v>101378.23</v>
      </c>
      <c r="G1361" s="48">
        <f>[1]!BexGetData("DP_2","DL719O2RYNEBZX0HTMQQ0BY0J","17","E","22042102E201","2067567012")</f>
        <v>101378.23</v>
      </c>
      <c r="H1361" s="48">
        <f>[1]!BexGetData("DP_2","DL719O2RYNGN1RZRS91K7M4TV","17","E","22042102E201","2067567012")</f>
        <v>40734.01</v>
      </c>
      <c r="I1361" s="48">
        <f>[1]!BexGetData("DP_2","DL719O2RYNIY3MZ1QVCEEWBN7","17","E","22042102E201","2067567012")</f>
        <v>0</v>
      </c>
    </row>
    <row r="1362" spans="1:9" x14ac:dyDescent="0.2">
      <c r="A1362" s="46" t="s">
        <v>32</v>
      </c>
      <c r="B1362" s="46" t="s">
        <v>32</v>
      </c>
      <c r="C1362" s="46" t="s">
        <v>32</v>
      </c>
      <c r="D1362" s="46" t="s">
        <v>32</v>
      </c>
      <c r="E1362" s="46" t="s">
        <v>32</v>
      </c>
      <c r="F1362" s="47">
        <f>[1]!BexGetData("DP_2","DL719O2RYNC0Y217V0FVT1R77","17","E","22042102E201","2067569012")</f>
        <v>48239.09</v>
      </c>
      <c r="G1362" s="48">
        <f>[1]!BexGetData("DP_2","DL719O2RYNEBZX0HTMQQ0BY0J","17","E","22042102E201","2067569012")</f>
        <v>48239.09</v>
      </c>
      <c r="H1362" s="48">
        <f>[1]!BexGetData("DP_2","DL719O2RYNGN1RZRS91K7M4TV","17","E","22042102E201","2067569012")</f>
        <v>0</v>
      </c>
      <c r="I1362" s="48">
        <f>[1]!BexGetData("DP_2","DL719O2RYNIY3MZ1QVCEEWBN7","17","E","22042102E201","2067569012")</f>
        <v>0</v>
      </c>
    </row>
    <row r="1363" spans="1:9" x14ac:dyDescent="0.2">
      <c r="A1363" s="46" t="s">
        <v>32</v>
      </c>
      <c r="B1363" s="46" t="s">
        <v>32</v>
      </c>
      <c r="C1363" s="46" t="s">
        <v>32</v>
      </c>
      <c r="D1363" s="46" t="s">
        <v>32</v>
      </c>
      <c r="E1363" s="46" t="s">
        <v>32</v>
      </c>
      <c r="F1363" s="47">
        <f>[1]!BexGetData("DP_2","DL719O2RYNC0Y217V0FVT1R77","17","E","22042102E201","2067614032")</f>
        <v>0</v>
      </c>
      <c r="G1363" s="48">
        <f>[1]!BexGetData("DP_2","DL719O2RYNEBZX0HTMQQ0BY0J","17","E","22042102E201","2067614032")</f>
        <v>0</v>
      </c>
      <c r="H1363" s="48">
        <f>[1]!BexGetData("DP_2","DL719O2RYNGN1RZRS91K7M4TV","17","E","22042102E201","2067614032")</f>
        <v>0</v>
      </c>
      <c r="I1363" s="48">
        <f>[1]!BexGetData("DP_2","DL719O2RYNIY3MZ1QVCEEWBN7","17","E","22042102E201","2067614032")</f>
        <v>0</v>
      </c>
    </row>
    <row r="1364" spans="1:9" x14ac:dyDescent="0.2">
      <c r="A1364" s="46" t="s">
        <v>32</v>
      </c>
      <c r="B1364" s="46" t="s">
        <v>32</v>
      </c>
      <c r="C1364" s="46" t="s">
        <v>115</v>
      </c>
      <c r="D1364" s="46" t="s">
        <v>115</v>
      </c>
      <c r="E1364" s="46" t="s">
        <v>32</v>
      </c>
      <c r="F1364" s="47">
        <f>[1]!BexGetData("DP_2","DL719O2RYNC0Y217V0FVT1R77","17","E","22052091E210","2067113011")</f>
        <v>112892.87</v>
      </c>
      <c r="G1364" s="48">
        <f>[1]!BexGetData("DP_2","DL719O2RYNEBZX0HTMQQ0BY0J","17","E","22052091E210","2067113011")</f>
        <v>112892.87</v>
      </c>
      <c r="H1364" s="48">
        <f>[1]!BexGetData("DP_2","DL719O2RYNGN1RZRS91K7M4TV","17","E","22052091E210","2067113011")</f>
        <v>112892.87</v>
      </c>
      <c r="I1364" s="48">
        <f>[1]!BexGetData("DP_2","DL719O2RYNIY3MZ1QVCEEWBN7","17","E","22052091E210","2067113011")</f>
        <v>0</v>
      </c>
    </row>
    <row r="1365" spans="1:9" x14ac:dyDescent="0.2">
      <c r="A1365" s="46" t="s">
        <v>32</v>
      </c>
      <c r="B1365" s="46" t="s">
        <v>32</v>
      </c>
      <c r="C1365" s="46" t="s">
        <v>32</v>
      </c>
      <c r="D1365" s="46" t="s">
        <v>32</v>
      </c>
      <c r="E1365" s="46" t="s">
        <v>32</v>
      </c>
      <c r="F1365" s="47">
        <f>[1]!BexGetData("DP_2","DL719O2RYNC0Y217V0FVT1R77","17","E","22052091E210","2067113021")</f>
        <v>914515.8</v>
      </c>
      <c r="G1365" s="48">
        <f>[1]!BexGetData("DP_2","DL719O2RYNEBZX0HTMQQ0BY0J","17","E","22052091E210","2067113021")</f>
        <v>914515.8</v>
      </c>
      <c r="H1365" s="48">
        <f>[1]!BexGetData("DP_2","DL719O2RYNGN1RZRS91K7M4TV","17","E","22052091E210","2067113021")</f>
        <v>914515.8</v>
      </c>
      <c r="I1365" s="48">
        <f>[1]!BexGetData("DP_2","DL719O2RYNIY3MZ1QVCEEWBN7","17","E","22052091E210","2067113021")</f>
        <v>0</v>
      </c>
    </row>
    <row r="1366" spans="1:9" x14ac:dyDescent="0.2">
      <c r="A1366" s="46" t="s">
        <v>32</v>
      </c>
      <c r="B1366" s="46" t="s">
        <v>32</v>
      </c>
      <c r="C1366" s="46" t="s">
        <v>32</v>
      </c>
      <c r="D1366" s="46" t="s">
        <v>32</v>
      </c>
      <c r="E1366" s="46" t="s">
        <v>32</v>
      </c>
      <c r="F1366" s="47">
        <f>[1]!BexGetData("DP_2","DL719O2RYNC0Y217V0FVT1R77","17","E","22052091E210","2067122011")</f>
        <v>76400.05</v>
      </c>
      <c r="G1366" s="48">
        <f>[1]!BexGetData("DP_2","DL719O2RYNEBZX0HTMQQ0BY0J","17","E","22052091E210","2067122011")</f>
        <v>76400.05</v>
      </c>
      <c r="H1366" s="48">
        <f>[1]!BexGetData("DP_2","DL719O2RYNGN1RZRS91K7M4TV","17","E","22052091E210","2067122011")</f>
        <v>76400.05</v>
      </c>
      <c r="I1366" s="48">
        <f>[1]!BexGetData("DP_2","DL719O2RYNIY3MZ1QVCEEWBN7","17","E","22052091E210","2067122011")</f>
        <v>0</v>
      </c>
    </row>
    <row r="1367" spans="1:9" x14ac:dyDescent="0.2">
      <c r="A1367" s="46" t="s">
        <v>32</v>
      </c>
      <c r="B1367" s="46" t="s">
        <v>32</v>
      </c>
      <c r="C1367" s="46" t="s">
        <v>32</v>
      </c>
      <c r="D1367" s="46" t="s">
        <v>32</v>
      </c>
      <c r="E1367" s="46" t="s">
        <v>32</v>
      </c>
      <c r="F1367" s="47">
        <f>[1]!BexGetData("DP_2","DL719O2RYNC0Y217V0FVT1R77","17","E","22052091E210","2067131011")</f>
        <v>13731.57</v>
      </c>
      <c r="G1367" s="48">
        <f>[1]!BexGetData("DP_2","DL719O2RYNEBZX0HTMQQ0BY0J","17","E","22052091E210","2067131011")</f>
        <v>13731.57</v>
      </c>
      <c r="H1367" s="48">
        <f>[1]!BexGetData("DP_2","DL719O2RYNGN1RZRS91K7M4TV","17","E","22052091E210","2067131011")</f>
        <v>13731.57</v>
      </c>
      <c r="I1367" s="48">
        <f>[1]!BexGetData("DP_2","DL719O2RYNIY3MZ1QVCEEWBN7","17","E","22052091E210","2067131011")</f>
        <v>0</v>
      </c>
    </row>
    <row r="1368" spans="1:9" x14ac:dyDescent="0.2">
      <c r="A1368" s="46" t="s">
        <v>32</v>
      </c>
      <c r="B1368" s="46" t="s">
        <v>32</v>
      </c>
      <c r="C1368" s="46" t="s">
        <v>32</v>
      </c>
      <c r="D1368" s="46" t="s">
        <v>32</v>
      </c>
      <c r="E1368" s="46" t="s">
        <v>32</v>
      </c>
      <c r="F1368" s="47">
        <f>[1]!BexGetData("DP_2","DL719O2RYNC0Y217V0FVT1R77","17","E","22052091E210","2067132011")</f>
        <v>36530.89</v>
      </c>
      <c r="G1368" s="48">
        <f>[1]!BexGetData("DP_2","DL719O2RYNEBZX0HTMQQ0BY0J","17","E","22052091E210","2067132011")</f>
        <v>36530.89</v>
      </c>
      <c r="H1368" s="48">
        <f>[1]!BexGetData("DP_2","DL719O2RYNGN1RZRS91K7M4TV","17","E","22052091E210","2067132011")</f>
        <v>36530.89</v>
      </c>
      <c r="I1368" s="48">
        <f>[1]!BexGetData("DP_2","DL719O2RYNIY3MZ1QVCEEWBN7","17","E","22052091E210","2067132011")</f>
        <v>0</v>
      </c>
    </row>
    <row r="1369" spans="1:9" x14ac:dyDescent="0.2">
      <c r="A1369" s="46" t="s">
        <v>32</v>
      </c>
      <c r="B1369" s="46" t="s">
        <v>32</v>
      </c>
      <c r="C1369" s="46" t="s">
        <v>32</v>
      </c>
      <c r="D1369" s="46" t="s">
        <v>32</v>
      </c>
      <c r="E1369" s="46" t="s">
        <v>32</v>
      </c>
      <c r="F1369" s="47">
        <f>[1]!BexGetData("DP_2","DL719O2RYNC0Y217V0FVT1R77","17","E","22052091E210","2067132021")</f>
        <v>229424.03</v>
      </c>
      <c r="G1369" s="48">
        <f>[1]!BexGetData("DP_2","DL719O2RYNEBZX0HTMQQ0BY0J","17","E","22052091E210","2067132021")</f>
        <v>229424.03</v>
      </c>
      <c r="H1369" s="48">
        <f>[1]!BexGetData("DP_2","DL719O2RYNGN1RZRS91K7M4TV","17","E","22052091E210","2067132021")</f>
        <v>229424.03</v>
      </c>
      <c r="I1369" s="48">
        <f>[1]!BexGetData("DP_2","DL719O2RYNIY3MZ1QVCEEWBN7","17","E","22052091E210","2067132021")</f>
        <v>0</v>
      </c>
    </row>
    <row r="1370" spans="1:9" x14ac:dyDescent="0.2">
      <c r="A1370" s="46" t="s">
        <v>32</v>
      </c>
      <c r="B1370" s="46" t="s">
        <v>32</v>
      </c>
      <c r="C1370" s="46" t="s">
        <v>32</v>
      </c>
      <c r="D1370" s="46" t="s">
        <v>32</v>
      </c>
      <c r="E1370" s="46" t="s">
        <v>32</v>
      </c>
      <c r="F1370" s="47">
        <f>[1]!BexGetData("DP_2","DL719O2RYNC0Y217V0FVT1R77","17","E","22052091E210","2067134011")</f>
        <v>627789.9</v>
      </c>
      <c r="G1370" s="48">
        <f>[1]!BexGetData("DP_2","DL719O2RYNEBZX0HTMQQ0BY0J","17","E","22052091E210","2067134011")</f>
        <v>627789.9</v>
      </c>
      <c r="H1370" s="48">
        <f>[1]!BexGetData("DP_2","DL719O2RYNGN1RZRS91K7M4TV","17","E","22052091E210","2067134011")</f>
        <v>637789.18999999994</v>
      </c>
      <c r="I1370" s="48">
        <f>[1]!BexGetData("DP_2","DL719O2RYNIY3MZ1QVCEEWBN7","17","E","22052091E210","2067134011")</f>
        <v>0</v>
      </c>
    </row>
    <row r="1371" spans="1:9" x14ac:dyDescent="0.2">
      <c r="A1371" s="46" t="s">
        <v>32</v>
      </c>
      <c r="B1371" s="46" t="s">
        <v>32</v>
      </c>
      <c r="C1371" s="46" t="s">
        <v>32</v>
      </c>
      <c r="D1371" s="46" t="s">
        <v>32</v>
      </c>
      <c r="E1371" s="46" t="s">
        <v>32</v>
      </c>
      <c r="F1371" s="47">
        <f>[1]!BexGetData("DP_2","DL719O2RYNC0Y217V0FVT1R77","17","E","22052091E210","2067134021")</f>
        <v>2048744.71</v>
      </c>
      <c r="G1371" s="48">
        <f>[1]!BexGetData("DP_2","DL719O2RYNEBZX0HTMQQ0BY0J","17","E","22052091E210","2067134021")</f>
        <v>2048744.71</v>
      </c>
      <c r="H1371" s="48">
        <f>[1]!BexGetData("DP_2","DL719O2RYNGN1RZRS91K7M4TV","17","E","22052091E210","2067134021")</f>
        <v>2048744.71</v>
      </c>
      <c r="I1371" s="48">
        <f>[1]!BexGetData("DP_2","DL719O2RYNIY3MZ1QVCEEWBN7","17","E","22052091E210","2067134021")</f>
        <v>0</v>
      </c>
    </row>
    <row r="1372" spans="1:9" x14ac:dyDescent="0.2">
      <c r="A1372" s="46" t="s">
        <v>32</v>
      </c>
      <c r="B1372" s="46" t="s">
        <v>32</v>
      </c>
      <c r="C1372" s="46" t="s">
        <v>32</v>
      </c>
      <c r="D1372" s="46" t="s">
        <v>32</v>
      </c>
      <c r="E1372" s="46" t="s">
        <v>32</v>
      </c>
      <c r="F1372" s="47">
        <f>[1]!BexGetData("DP_2","DL719O2RYNC0Y217V0FVT1R77","17","E","22052091E210","2067141011")</f>
        <v>195122.3</v>
      </c>
      <c r="G1372" s="48">
        <f>[1]!BexGetData("DP_2","DL719O2RYNEBZX0HTMQQ0BY0J","17","E","22052091E210","2067141011")</f>
        <v>195122.3</v>
      </c>
      <c r="H1372" s="48">
        <f>[1]!BexGetData("DP_2","DL719O2RYNGN1RZRS91K7M4TV","17","E","22052091E210","2067141011")</f>
        <v>195122.3</v>
      </c>
      <c r="I1372" s="48">
        <f>[1]!BexGetData("DP_2","DL719O2RYNIY3MZ1QVCEEWBN7","17","E","22052091E210","2067141011")</f>
        <v>0</v>
      </c>
    </row>
    <row r="1373" spans="1:9" x14ac:dyDescent="0.2">
      <c r="A1373" s="46" t="s">
        <v>32</v>
      </c>
      <c r="B1373" s="46" t="s">
        <v>32</v>
      </c>
      <c r="C1373" s="46" t="s">
        <v>32</v>
      </c>
      <c r="D1373" s="46" t="s">
        <v>32</v>
      </c>
      <c r="E1373" s="46" t="s">
        <v>32</v>
      </c>
      <c r="F1373" s="47">
        <f>[1]!BexGetData("DP_2","DL719O2RYNC0Y217V0FVT1R77","17","E","22052091E210","2067141021")</f>
        <v>62233.35</v>
      </c>
      <c r="G1373" s="48">
        <f>[1]!BexGetData("DP_2","DL719O2RYNEBZX0HTMQQ0BY0J","17","E","22052091E210","2067141021")</f>
        <v>62233.35</v>
      </c>
      <c r="H1373" s="48">
        <f>[1]!BexGetData("DP_2","DL719O2RYNGN1RZRS91K7M4TV","17","E","22052091E210","2067141021")</f>
        <v>62233.35</v>
      </c>
      <c r="I1373" s="48">
        <f>[1]!BexGetData("DP_2","DL719O2RYNIY3MZ1QVCEEWBN7","17","E","22052091E210","2067141021")</f>
        <v>0</v>
      </c>
    </row>
    <row r="1374" spans="1:9" x14ac:dyDescent="0.2">
      <c r="A1374" s="46" t="s">
        <v>32</v>
      </c>
      <c r="B1374" s="46" t="s">
        <v>32</v>
      </c>
      <c r="C1374" s="46" t="s">
        <v>32</v>
      </c>
      <c r="D1374" s="46" t="s">
        <v>32</v>
      </c>
      <c r="E1374" s="46" t="s">
        <v>32</v>
      </c>
      <c r="F1374" s="47">
        <f>[1]!BexGetData("DP_2","DL719O2RYNC0Y217V0FVT1R77","17","E","22052091E210","2067143011")</f>
        <v>29184.61</v>
      </c>
      <c r="G1374" s="48">
        <f>[1]!BexGetData("DP_2","DL719O2RYNEBZX0HTMQQ0BY0J","17","E","22052091E210","2067143011")</f>
        <v>29184.61</v>
      </c>
      <c r="H1374" s="48">
        <f>[1]!BexGetData("DP_2","DL719O2RYNGN1RZRS91K7M4TV","17","E","22052091E210","2067143011")</f>
        <v>29184.61</v>
      </c>
      <c r="I1374" s="48">
        <f>[1]!BexGetData("DP_2","DL719O2RYNIY3MZ1QVCEEWBN7","17","E","22052091E210","2067143011")</f>
        <v>0</v>
      </c>
    </row>
    <row r="1375" spans="1:9" x14ac:dyDescent="0.2">
      <c r="A1375" s="46" t="s">
        <v>32</v>
      </c>
      <c r="B1375" s="46" t="s">
        <v>32</v>
      </c>
      <c r="C1375" s="46" t="s">
        <v>32</v>
      </c>
      <c r="D1375" s="46" t="s">
        <v>32</v>
      </c>
      <c r="E1375" s="46" t="s">
        <v>32</v>
      </c>
      <c r="F1375" s="47">
        <f>[1]!BexGetData("DP_2","DL719O2RYNC0Y217V0FVT1R77","17","E","22052091E210","2067151011")</f>
        <v>123250.68</v>
      </c>
      <c r="G1375" s="48">
        <f>[1]!BexGetData("DP_2","DL719O2RYNEBZX0HTMQQ0BY0J","17","E","22052091E210","2067151011")</f>
        <v>123250.68</v>
      </c>
      <c r="H1375" s="48">
        <f>[1]!BexGetData("DP_2","DL719O2RYNGN1RZRS91K7M4TV","17","E","22052091E210","2067151011")</f>
        <v>123250.68</v>
      </c>
      <c r="I1375" s="48">
        <f>[1]!BexGetData("DP_2","DL719O2RYNIY3MZ1QVCEEWBN7","17","E","22052091E210","2067151011")</f>
        <v>0</v>
      </c>
    </row>
    <row r="1376" spans="1:9" x14ac:dyDescent="0.2">
      <c r="A1376" s="46" t="s">
        <v>32</v>
      </c>
      <c r="B1376" s="46" t="s">
        <v>32</v>
      </c>
      <c r="C1376" s="46" t="s">
        <v>32</v>
      </c>
      <c r="D1376" s="46" t="s">
        <v>32</v>
      </c>
      <c r="E1376" s="46" t="s">
        <v>32</v>
      </c>
      <c r="F1376" s="47">
        <f>[1]!BexGetData("DP_2","DL719O2RYNC0Y217V0FVT1R77","17","E","22052091E210","2067154011")</f>
        <v>275988.57</v>
      </c>
      <c r="G1376" s="48">
        <f>[1]!BexGetData("DP_2","DL719O2RYNEBZX0HTMQQ0BY0J","17","E","22052091E210","2067154011")</f>
        <v>275988.57</v>
      </c>
      <c r="H1376" s="48">
        <f>[1]!BexGetData("DP_2","DL719O2RYNGN1RZRS91K7M4TV","17","E","22052091E210","2067154011")</f>
        <v>275988.57</v>
      </c>
      <c r="I1376" s="48">
        <f>[1]!BexGetData("DP_2","DL719O2RYNIY3MZ1QVCEEWBN7","17","E","22052091E210","2067154011")</f>
        <v>0</v>
      </c>
    </row>
    <row r="1377" spans="1:9" x14ac:dyDescent="0.2">
      <c r="A1377" s="46" t="s">
        <v>32</v>
      </c>
      <c r="B1377" s="46" t="s">
        <v>32</v>
      </c>
      <c r="C1377" s="46" t="s">
        <v>32</v>
      </c>
      <c r="D1377" s="46" t="s">
        <v>32</v>
      </c>
      <c r="E1377" s="46" t="s">
        <v>32</v>
      </c>
      <c r="F1377" s="47">
        <f>[1]!BexGetData("DP_2","DL719O2RYNC0Y217V0FVT1R77","17","E","22052091E210","2067159011")</f>
        <v>464000</v>
      </c>
      <c r="G1377" s="48">
        <f>[1]!BexGetData("DP_2","DL719O2RYNEBZX0HTMQQ0BY0J","17","E","22052091E210","2067159011")</f>
        <v>464000</v>
      </c>
      <c r="H1377" s="48">
        <f>[1]!BexGetData("DP_2","DL719O2RYNGN1RZRS91K7M4TV","17","E","22052091E210","2067159011")</f>
        <v>30000</v>
      </c>
      <c r="I1377" s="48">
        <f>[1]!BexGetData("DP_2","DL719O2RYNIY3MZ1QVCEEWBN7","17","E","22052091E210","2067159011")</f>
        <v>0</v>
      </c>
    </row>
    <row r="1378" spans="1:9" x14ac:dyDescent="0.2">
      <c r="A1378" s="46" t="s">
        <v>32</v>
      </c>
      <c r="B1378" s="46" t="s">
        <v>32</v>
      </c>
      <c r="C1378" s="46" t="s">
        <v>32</v>
      </c>
      <c r="D1378" s="46" t="s">
        <v>32</v>
      </c>
      <c r="E1378" s="46" t="s">
        <v>32</v>
      </c>
      <c r="F1378" s="47">
        <f>[1]!BexGetData("DP_2","DL719O2RYNC0Y217V0FVT1R77","17","E","22052091E210","2067211011")</f>
        <v>3181.65</v>
      </c>
      <c r="G1378" s="48">
        <f>[1]!BexGetData("DP_2","DL719O2RYNEBZX0HTMQQ0BY0J","17","E","22052091E210","2067211011")</f>
        <v>3181.65</v>
      </c>
      <c r="H1378" s="48">
        <f>[1]!BexGetData("DP_2","DL719O2RYNGN1RZRS91K7M4TV","17","E","22052091E210","2067211011")</f>
        <v>3181.65</v>
      </c>
      <c r="I1378" s="48">
        <f>[1]!BexGetData("DP_2","DL719O2RYNIY3MZ1QVCEEWBN7","17","E","22052091E210","2067211011")</f>
        <v>0</v>
      </c>
    </row>
    <row r="1379" spans="1:9" x14ac:dyDescent="0.2">
      <c r="A1379" s="46" t="s">
        <v>32</v>
      </c>
      <c r="B1379" s="46" t="s">
        <v>32</v>
      </c>
      <c r="C1379" s="46" t="s">
        <v>32</v>
      </c>
      <c r="D1379" s="46" t="s">
        <v>32</v>
      </c>
      <c r="E1379" s="46" t="s">
        <v>32</v>
      </c>
      <c r="F1379" s="47">
        <f>[1]!BexGetData("DP_2","DL719O2RYNC0Y217V0FVT1R77","17","E","22052091E210","2067211021")</f>
        <v>11466.6</v>
      </c>
      <c r="G1379" s="48">
        <f>[1]!BexGetData("DP_2","DL719O2RYNEBZX0HTMQQ0BY0J","17","E","22052091E210","2067211021")</f>
        <v>11466.6</v>
      </c>
      <c r="H1379" s="48">
        <f>[1]!BexGetData("DP_2","DL719O2RYNGN1RZRS91K7M4TV","17","E","22052091E210","2067211021")</f>
        <v>11466.6</v>
      </c>
      <c r="I1379" s="48">
        <f>[1]!BexGetData("DP_2","DL719O2RYNIY3MZ1QVCEEWBN7","17","E","22052091E210","2067211021")</f>
        <v>0</v>
      </c>
    </row>
    <row r="1380" spans="1:9" x14ac:dyDescent="0.2">
      <c r="A1380" s="46" t="s">
        <v>32</v>
      </c>
      <c r="B1380" s="46" t="s">
        <v>32</v>
      </c>
      <c r="C1380" s="46" t="s">
        <v>32</v>
      </c>
      <c r="D1380" s="46" t="s">
        <v>32</v>
      </c>
      <c r="E1380" s="46" t="s">
        <v>32</v>
      </c>
      <c r="F1380" s="47">
        <f>[1]!BexGetData("DP_2","DL719O2RYNC0Y217V0FVT1R77","17","E","22052091E210","2067214011")</f>
        <v>127.6</v>
      </c>
      <c r="G1380" s="48">
        <f>[1]!BexGetData("DP_2","DL719O2RYNEBZX0HTMQQ0BY0J","17","E","22052091E210","2067214011")</f>
        <v>127.6</v>
      </c>
      <c r="H1380" s="48">
        <f>[1]!BexGetData("DP_2","DL719O2RYNGN1RZRS91K7M4TV","17","E","22052091E210","2067214011")</f>
        <v>127.6</v>
      </c>
      <c r="I1380" s="48">
        <f>[1]!BexGetData("DP_2","DL719O2RYNIY3MZ1QVCEEWBN7","17","E","22052091E210","2067214011")</f>
        <v>0</v>
      </c>
    </row>
    <row r="1381" spans="1:9" x14ac:dyDescent="0.2">
      <c r="A1381" s="46" t="s">
        <v>32</v>
      </c>
      <c r="B1381" s="46" t="s">
        <v>32</v>
      </c>
      <c r="C1381" s="46" t="s">
        <v>32</v>
      </c>
      <c r="D1381" s="46" t="s">
        <v>32</v>
      </c>
      <c r="E1381" s="46" t="s">
        <v>32</v>
      </c>
      <c r="F1381" s="47">
        <f>[1]!BexGetData("DP_2","DL719O2RYNC0Y217V0FVT1R77","17","E","22052091E210","2067215021")</f>
        <v>5220</v>
      </c>
      <c r="G1381" s="48">
        <f>[1]!BexGetData("DP_2","DL719O2RYNEBZX0HTMQQ0BY0J","17","E","22052091E210","2067215021")</f>
        <v>5220</v>
      </c>
      <c r="H1381" s="48">
        <f>[1]!BexGetData("DP_2","DL719O2RYNGN1RZRS91K7M4TV","17","E","22052091E210","2067215021")</f>
        <v>5220</v>
      </c>
      <c r="I1381" s="48">
        <f>[1]!BexGetData("DP_2","DL719O2RYNIY3MZ1QVCEEWBN7","17","E","22052091E210","2067215021")</f>
        <v>0</v>
      </c>
    </row>
    <row r="1382" spans="1:9" x14ac:dyDescent="0.2">
      <c r="A1382" s="46" t="s">
        <v>32</v>
      </c>
      <c r="B1382" s="46" t="s">
        <v>32</v>
      </c>
      <c r="C1382" s="46" t="s">
        <v>32</v>
      </c>
      <c r="D1382" s="46" t="s">
        <v>32</v>
      </c>
      <c r="E1382" s="46" t="s">
        <v>32</v>
      </c>
      <c r="F1382" s="47">
        <f>[1]!BexGetData("DP_2","DL719O2RYNC0Y217V0FVT1R77","17","E","22052091E210","2067216011")</f>
        <v>1417.57</v>
      </c>
      <c r="G1382" s="48">
        <f>[1]!BexGetData("DP_2","DL719O2RYNEBZX0HTMQQ0BY0J","17","E","22052091E210","2067216011")</f>
        <v>1417.57</v>
      </c>
      <c r="H1382" s="48">
        <f>[1]!BexGetData("DP_2","DL719O2RYNGN1RZRS91K7M4TV","17","E","22052091E210","2067216011")</f>
        <v>0</v>
      </c>
      <c r="I1382" s="48">
        <f>[1]!BexGetData("DP_2","DL719O2RYNIY3MZ1QVCEEWBN7","17","E","22052091E210","2067216011")</f>
        <v>0</v>
      </c>
    </row>
    <row r="1383" spans="1:9" x14ac:dyDescent="0.2">
      <c r="A1383" s="46" t="s">
        <v>32</v>
      </c>
      <c r="B1383" s="46" t="s">
        <v>32</v>
      </c>
      <c r="C1383" s="46" t="s">
        <v>32</v>
      </c>
      <c r="D1383" s="46" t="s">
        <v>32</v>
      </c>
      <c r="E1383" s="46" t="s">
        <v>32</v>
      </c>
      <c r="F1383" s="47">
        <f>[1]!BexGetData("DP_2","DL719O2RYNC0Y217V0FVT1R77","17","E","22052091E210","2067311011")</f>
        <v>23567</v>
      </c>
      <c r="G1383" s="48">
        <f>[1]!BexGetData("DP_2","DL719O2RYNEBZX0HTMQQ0BY0J","17","E","22052091E210","2067311011")</f>
        <v>23567</v>
      </c>
      <c r="H1383" s="48">
        <f>[1]!BexGetData("DP_2","DL719O2RYNGN1RZRS91K7M4TV","17","E","22052091E210","2067311011")</f>
        <v>14987</v>
      </c>
      <c r="I1383" s="48">
        <f>[1]!BexGetData("DP_2","DL719O2RYNIY3MZ1QVCEEWBN7","17","E","22052091E210","2067311011")</f>
        <v>0</v>
      </c>
    </row>
    <row r="1384" spans="1:9" x14ac:dyDescent="0.2">
      <c r="A1384" s="46" t="s">
        <v>32</v>
      </c>
      <c r="B1384" s="46" t="s">
        <v>32</v>
      </c>
      <c r="C1384" s="46" t="s">
        <v>32</v>
      </c>
      <c r="D1384" s="46" t="s">
        <v>32</v>
      </c>
      <c r="E1384" s="46" t="s">
        <v>32</v>
      </c>
      <c r="F1384" s="47">
        <f>[1]!BexGetData("DP_2","DL719O2RYNC0Y217V0FVT1R77","17","E","22052091E210","2067314011")</f>
        <v>6494.53</v>
      </c>
      <c r="G1384" s="48">
        <f>[1]!BexGetData("DP_2","DL719O2RYNEBZX0HTMQQ0BY0J","17","E","22052091E210","2067314011")</f>
        <v>6494.53</v>
      </c>
      <c r="H1384" s="48">
        <f>[1]!BexGetData("DP_2","DL719O2RYNGN1RZRS91K7M4TV","17","E","22052091E210","2067314011")</f>
        <v>6494.53</v>
      </c>
      <c r="I1384" s="48">
        <f>[1]!BexGetData("DP_2","DL719O2RYNIY3MZ1QVCEEWBN7","17","E","22052091E210","2067314011")</f>
        <v>0</v>
      </c>
    </row>
    <row r="1385" spans="1:9" x14ac:dyDescent="0.2">
      <c r="A1385" s="46" t="s">
        <v>32</v>
      </c>
      <c r="B1385" s="46" t="s">
        <v>32</v>
      </c>
      <c r="C1385" s="46" t="s">
        <v>32</v>
      </c>
      <c r="D1385" s="46" t="s">
        <v>32</v>
      </c>
      <c r="E1385" s="46" t="s">
        <v>32</v>
      </c>
      <c r="F1385" s="47">
        <f>[1]!BexGetData("DP_2","DL719O2RYNC0Y217V0FVT1R77","17","E","22052091E210","2067322011")</f>
        <v>661200</v>
      </c>
      <c r="G1385" s="48">
        <f>[1]!BexGetData("DP_2","DL719O2RYNEBZX0HTMQQ0BY0J","17","E","22052091E210","2067322011")</f>
        <v>661200</v>
      </c>
      <c r="H1385" s="48">
        <f>[1]!BexGetData("DP_2","DL719O2RYNGN1RZRS91K7M4TV","17","E","22052091E210","2067322011")</f>
        <v>591600</v>
      </c>
      <c r="I1385" s="48">
        <f>[1]!BexGetData("DP_2","DL719O2RYNIY3MZ1QVCEEWBN7","17","E","22052091E210","2067322011")</f>
        <v>0</v>
      </c>
    </row>
    <row r="1386" spans="1:9" x14ac:dyDescent="0.2">
      <c r="A1386" s="46" t="s">
        <v>32</v>
      </c>
      <c r="B1386" s="46" t="s">
        <v>32</v>
      </c>
      <c r="C1386" s="46" t="s">
        <v>32</v>
      </c>
      <c r="D1386" s="46" t="s">
        <v>32</v>
      </c>
      <c r="E1386" s="46" t="s">
        <v>32</v>
      </c>
      <c r="F1386" s="47">
        <f>[1]!BexGetData("DP_2","DL719O2RYNC0Y217V0FVT1R77","17","E","22052091E210","2067336011")</f>
        <v>13956.83</v>
      </c>
      <c r="G1386" s="48">
        <f>[1]!BexGetData("DP_2","DL719O2RYNEBZX0HTMQQ0BY0J","17","E","22052091E210","2067336011")</f>
        <v>13956.83</v>
      </c>
      <c r="H1386" s="48">
        <f>[1]!BexGetData("DP_2","DL719O2RYNGN1RZRS91K7M4TV","17","E","22052091E210","2067336011")</f>
        <v>12017.31</v>
      </c>
      <c r="I1386" s="48">
        <f>[1]!BexGetData("DP_2","DL719O2RYNIY3MZ1QVCEEWBN7","17","E","22052091E210","2067336011")</f>
        <v>0</v>
      </c>
    </row>
    <row r="1387" spans="1:9" x14ac:dyDescent="0.2">
      <c r="A1387" s="46" t="s">
        <v>32</v>
      </c>
      <c r="B1387" s="46" t="s">
        <v>32</v>
      </c>
      <c r="C1387" s="46" t="s">
        <v>32</v>
      </c>
      <c r="D1387" s="46" t="s">
        <v>32</v>
      </c>
      <c r="E1387" s="46" t="s">
        <v>32</v>
      </c>
      <c r="F1387" s="47">
        <f>[1]!BexGetData("DP_2","DL719O2RYNC0Y217V0FVT1R77","17","E","22052091E210","2067351011")</f>
        <v>27805.200000000001</v>
      </c>
      <c r="G1387" s="48">
        <f>[1]!BexGetData("DP_2","DL719O2RYNEBZX0HTMQQ0BY0J","17","E","22052091E210","2067351011")</f>
        <v>27805.200000000001</v>
      </c>
      <c r="H1387" s="48">
        <f>[1]!BexGetData("DP_2","DL719O2RYNGN1RZRS91K7M4TV","17","E","22052091E210","2067351011")</f>
        <v>27805.200000000001</v>
      </c>
      <c r="I1387" s="48">
        <f>[1]!BexGetData("DP_2","DL719O2RYNIY3MZ1QVCEEWBN7","17","E","22052091E210","2067351011")</f>
        <v>0</v>
      </c>
    </row>
    <row r="1388" spans="1:9" x14ac:dyDescent="0.2">
      <c r="A1388" s="46" t="s">
        <v>32</v>
      </c>
      <c r="B1388" s="46" t="s">
        <v>32</v>
      </c>
      <c r="C1388" s="46" t="s">
        <v>32</v>
      </c>
      <c r="D1388" s="46" t="s">
        <v>32</v>
      </c>
      <c r="E1388" s="46" t="s">
        <v>32</v>
      </c>
      <c r="F1388" s="47">
        <f>[1]!BexGetData("DP_2","DL719O2RYNC0Y217V0FVT1R77","17","E","22052091E210","2067352011")</f>
        <v>2088</v>
      </c>
      <c r="G1388" s="48">
        <f>[1]!BexGetData("DP_2","DL719O2RYNEBZX0HTMQQ0BY0J","17","E","22052091E210","2067352011")</f>
        <v>2088</v>
      </c>
      <c r="H1388" s="48">
        <f>[1]!BexGetData("DP_2","DL719O2RYNGN1RZRS91K7M4TV","17","E","22052091E210","2067352011")</f>
        <v>2088</v>
      </c>
      <c r="I1388" s="48">
        <f>[1]!BexGetData("DP_2","DL719O2RYNIY3MZ1QVCEEWBN7","17","E","22052091E210","2067352011")</f>
        <v>0</v>
      </c>
    </row>
    <row r="1389" spans="1:9" x14ac:dyDescent="0.2">
      <c r="A1389" s="46" t="s">
        <v>32</v>
      </c>
      <c r="B1389" s="46" t="s">
        <v>32</v>
      </c>
      <c r="C1389" s="46" t="s">
        <v>32</v>
      </c>
      <c r="D1389" s="46" t="s">
        <v>32</v>
      </c>
      <c r="E1389" s="46" t="s">
        <v>32</v>
      </c>
      <c r="F1389" s="47">
        <f>[1]!BexGetData("DP_2","DL719O2RYNC0Y217V0FVT1R77","17","E","22052091E210","2067355011")</f>
        <v>0</v>
      </c>
      <c r="G1389" s="48">
        <f>[1]!BexGetData("DP_2","DL719O2RYNEBZX0HTMQQ0BY0J","17","E","22052091E210","2067355011")</f>
        <v>0</v>
      </c>
      <c r="H1389" s="48">
        <f>[1]!BexGetData("DP_2","DL719O2RYNGN1RZRS91K7M4TV","17","E","22052091E210","2067355011")</f>
        <v>0</v>
      </c>
      <c r="I1389" s="48">
        <f>[1]!BexGetData("DP_2","DL719O2RYNIY3MZ1QVCEEWBN7","17","E","22052091E210","2067355011")</f>
        <v>0</v>
      </c>
    </row>
    <row r="1390" spans="1:9" x14ac:dyDescent="0.2">
      <c r="A1390" s="46" t="s">
        <v>32</v>
      </c>
      <c r="B1390" s="46" t="s">
        <v>32</v>
      </c>
      <c r="C1390" s="46" t="s">
        <v>32</v>
      </c>
      <c r="D1390" s="46" t="s">
        <v>32</v>
      </c>
      <c r="E1390" s="46" t="s">
        <v>32</v>
      </c>
      <c r="F1390" s="47">
        <f>[1]!BexGetData("DP_2","DL719O2RYNC0Y217V0FVT1R77","17","E","22052091E210","2067361011")</f>
        <v>2630.88</v>
      </c>
      <c r="G1390" s="48">
        <f>[1]!BexGetData("DP_2","DL719O2RYNEBZX0HTMQQ0BY0J","17","E","22052091E210","2067361011")</f>
        <v>2630.88</v>
      </c>
      <c r="H1390" s="48">
        <f>[1]!BexGetData("DP_2","DL719O2RYNGN1RZRS91K7M4TV","17","E","22052091E210","2067361011")</f>
        <v>2630.88</v>
      </c>
      <c r="I1390" s="48">
        <f>[1]!BexGetData("DP_2","DL719O2RYNIY3MZ1QVCEEWBN7","17","E","22052091E210","2067361011")</f>
        <v>0</v>
      </c>
    </row>
    <row r="1391" spans="1:9" x14ac:dyDescent="0.2">
      <c r="A1391" s="46" t="s">
        <v>32</v>
      </c>
      <c r="B1391" s="46" t="s">
        <v>32</v>
      </c>
      <c r="C1391" s="46" t="s">
        <v>32</v>
      </c>
      <c r="D1391" s="46" t="s">
        <v>32</v>
      </c>
      <c r="E1391" s="46" t="s">
        <v>32</v>
      </c>
      <c r="F1391" s="47">
        <f>[1]!BexGetData("DP_2","DL719O2RYNC0Y217V0FVT1R77","17","E","22052091E210","2067371011")</f>
        <v>30470.12</v>
      </c>
      <c r="G1391" s="48">
        <f>[1]!BexGetData("DP_2","DL719O2RYNEBZX0HTMQQ0BY0J","17","E","22052091E210","2067371011")</f>
        <v>30470.12</v>
      </c>
      <c r="H1391" s="48">
        <f>[1]!BexGetData("DP_2","DL719O2RYNGN1RZRS91K7M4TV","17","E","22052091E210","2067371011")</f>
        <v>30470.12</v>
      </c>
      <c r="I1391" s="48">
        <f>[1]!BexGetData("DP_2","DL719O2RYNIY3MZ1QVCEEWBN7","17","E","22052091E210","2067371011")</f>
        <v>0</v>
      </c>
    </row>
    <row r="1392" spans="1:9" x14ac:dyDescent="0.2">
      <c r="A1392" s="46" t="s">
        <v>32</v>
      </c>
      <c r="B1392" s="46" t="s">
        <v>32</v>
      </c>
      <c r="C1392" s="46" t="s">
        <v>32</v>
      </c>
      <c r="D1392" s="46" t="s">
        <v>32</v>
      </c>
      <c r="E1392" s="46" t="s">
        <v>32</v>
      </c>
      <c r="F1392" s="47">
        <f>[1]!BexGetData("DP_2","DL719O2RYNC0Y217V0FVT1R77","17","E","22052091E210","2067375011")</f>
        <v>12600</v>
      </c>
      <c r="G1392" s="48">
        <f>[1]!BexGetData("DP_2","DL719O2RYNEBZX0HTMQQ0BY0J","17","E","22052091E210","2067375011")</f>
        <v>12600</v>
      </c>
      <c r="H1392" s="48">
        <f>[1]!BexGetData("DP_2","DL719O2RYNGN1RZRS91K7M4TV","17","E","22052091E210","2067375011")</f>
        <v>12600</v>
      </c>
      <c r="I1392" s="48">
        <f>[1]!BexGetData("DP_2","DL719O2RYNIY3MZ1QVCEEWBN7","17","E","22052091E210","2067375011")</f>
        <v>0</v>
      </c>
    </row>
    <row r="1393" spans="1:9" x14ac:dyDescent="0.2">
      <c r="A1393" s="46" t="s">
        <v>32</v>
      </c>
      <c r="B1393" s="46" t="s">
        <v>32</v>
      </c>
      <c r="C1393" s="46" t="s">
        <v>32</v>
      </c>
      <c r="D1393" s="46" t="s">
        <v>32</v>
      </c>
      <c r="E1393" s="46" t="s">
        <v>32</v>
      </c>
      <c r="F1393" s="47">
        <f>[1]!BexGetData("DP_2","DL719O2RYNC0Y217V0FVT1R77","17","E","22052091E210","2067375021")</f>
        <v>1323.61</v>
      </c>
      <c r="G1393" s="48">
        <f>[1]!BexGetData("DP_2","DL719O2RYNEBZX0HTMQQ0BY0J","17","E","22052091E210","2067375021")</f>
        <v>1323.61</v>
      </c>
      <c r="H1393" s="48">
        <f>[1]!BexGetData("DP_2","DL719O2RYNGN1RZRS91K7M4TV","17","E","22052091E210","2067375021")</f>
        <v>1323.61</v>
      </c>
      <c r="I1393" s="48">
        <f>[1]!BexGetData("DP_2","DL719O2RYNIY3MZ1QVCEEWBN7","17","E","22052091E210","2067375021")</f>
        <v>0</v>
      </c>
    </row>
    <row r="1394" spans="1:9" x14ac:dyDescent="0.2">
      <c r="A1394" s="46" t="s">
        <v>32</v>
      </c>
      <c r="B1394" s="46" t="s">
        <v>32</v>
      </c>
      <c r="C1394" s="46" t="s">
        <v>32</v>
      </c>
      <c r="D1394" s="46" t="s">
        <v>32</v>
      </c>
      <c r="E1394" s="46" t="s">
        <v>32</v>
      </c>
      <c r="F1394" s="47">
        <f>[1]!BexGetData("DP_2","DL719O2RYNC0Y217V0FVT1R77","17","E","22052091E210","2067392011")</f>
        <v>974</v>
      </c>
      <c r="G1394" s="48">
        <f>[1]!BexGetData("DP_2","DL719O2RYNEBZX0HTMQQ0BY0J","17","E","22052091E210","2067392011")</f>
        <v>974</v>
      </c>
      <c r="H1394" s="48">
        <f>[1]!BexGetData("DP_2","DL719O2RYNGN1RZRS91K7M4TV","17","E","22052091E210","2067392011")</f>
        <v>974</v>
      </c>
      <c r="I1394" s="48">
        <f>[1]!BexGetData("DP_2","DL719O2RYNIY3MZ1QVCEEWBN7","17","E","22052091E210","2067392011")</f>
        <v>0</v>
      </c>
    </row>
    <row r="1395" spans="1:9" x14ac:dyDescent="0.2">
      <c r="A1395" s="46" t="s">
        <v>32</v>
      </c>
      <c r="B1395" s="46" t="s">
        <v>32</v>
      </c>
      <c r="C1395" s="46" t="s">
        <v>32</v>
      </c>
      <c r="D1395" s="46" t="s">
        <v>32</v>
      </c>
      <c r="E1395" s="46" t="s">
        <v>32</v>
      </c>
      <c r="F1395" s="47">
        <f>[1]!BexGetData("DP_2","DL719O2RYNC0Y217V0FVT1R77","17","E","22052091E210","2067414011")</f>
        <v>0</v>
      </c>
      <c r="G1395" s="48">
        <f>[1]!BexGetData("DP_2","DL719O2RYNEBZX0HTMQQ0BY0J","17","E","22052091E210","2067414011")</f>
        <v>0</v>
      </c>
      <c r="H1395" s="48">
        <f>[1]!BexGetData("DP_2","DL719O2RYNGN1RZRS91K7M4TV","17","E","22052091E210","2067414011")</f>
        <v>0</v>
      </c>
      <c r="I1395" s="48">
        <f>[1]!BexGetData("DP_2","DL719O2RYNIY3MZ1QVCEEWBN7","17","E","22052091E210","2067414011")</f>
        <v>0</v>
      </c>
    </row>
    <row r="1396" spans="1:9" x14ac:dyDescent="0.2">
      <c r="A1396" s="46" t="s">
        <v>32</v>
      </c>
      <c r="B1396" s="46" t="s">
        <v>32</v>
      </c>
      <c r="C1396" s="46" t="s">
        <v>32</v>
      </c>
      <c r="D1396" s="46" t="s">
        <v>32</v>
      </c>
      <c r="E1396" s="46" t="s">
        <v>32</v>
      </c>
      <c r="F1396" s="47">
        <f>[1]!BexGetData("DP_2","DL719O2RYNC0Y217V0FVT1R77","17","E","22052091E210","2067445021")</f>
        <v>0</v>
      </c>
      <c r="G1396" s="48">
        <f>[1]!BexGetData("DP_2","DL719O2RYNEBZX0HTMQQ0BY0J","17","E","22052091E210","2067445021")</f>
        <v>0</v>
      </c>
      <c r="H1396" s="48">
        <f>[1]!BexGetData("DP_2","DL719O2RYNGN1RZRS91K7M4TV","17","E","22052091E210","2067445021")</f>
        <v>0</v>
      </c>
      <c r="I1396" s="48">
        <f>[1]!BexGetData("DP_2","DL719O2RYNIY3MZ1QVCEEWBN7","17","E","22052091E210","2067445021")</f>
        <v>0</v>
      </c>
    </row>
    <row r="1397" spans="1:9" x14ac:dyDescent="0.2">
      <c r="A1397" s="46" t="s">
        <v>32</v>
      </c>
      <c r="B1397" s="46" t="s">
        <v>32</v>
      </c>
      <c r="C1397" s="46" t="s">
        <v>32</v>
      </c>
      <c r="D1397" s="46" t="s">
        <v>32</v>
      </c>
      <c r="E1397" s="46" t="s">
        <v>32</v>
      </c>
      <c r="F1397" s="47">
        <f>[1]!BexGetData("DP_2","DL719O2RYNC0Y217V0FVT1R77","17","E","22052091E210","2067511012")</f>
        <v>18560</v>
      </c>
      <c r="G1397" s="48">
        <f>[1]!BexGetData("DP_2","DL719O2RYNEBZX0HTMQQ0BY0J","17","E","22052091E210","2067511012")</f>
        <v>18560</v>
      </c>
      <c r="H1397" s="48">
        <f>[1]!BexGetData("DP_2","DL719O2RYNGN1RZRS91K7M4TV","17","E","22052091E210","2067511012")</f>
        <v>18560</v>
      </c>
      <c r="I1397" s="48">
        <f>[1]!BexGetData("DP_2","DL719O2RYNIY3MZ1QVCEEWBN7","17","E","22052091E210","2067511012")</f>
        <v>0</v>
      </c>
    </row>
    <row r="1398" spans="1:9" x14ac:dyDescent="0.2">
      <c r="A1398" s="46" t="s">
        <v>32</v>
      </c>
      <c r="B1398" s="46" t="s">
        <v>32</v>
      </c>
      <c r="C1398" s="46" t="s">
        <v>116</v>
      </c>
      <c r="D1398" s="46" t="s">
        <v>116</v>
      </c>
      <c r="E1398" s="46" t="s">
        <v>32</v>
      </c>
      <c r="F1398" s="47">
        <f>[1]!BexGetData("DP_2","DL719O2RYNC0Y217V0FVT1R77","17","E","22062103E201","2067113011")</f>
        <v>35720380.659999996</v>
      </c>
      <c r="G1398" s="48">
        <f>[1]!BexGetData("DP_2","DL719O2RYNEBZX0HTMQQ0BY0J","17","E","22062103E201","2067113011")</f>
        <v>35720380.659999996</v>
      </c>
      <c r="H1398" s="48">
        <f>[1]!BexGetData("DP_2","DL719O2RYNGN1RZRS91K7M4TV","17","E","22062103E201","2067113011")</f>
        <v>35720380.659999996</v>
      </c>
      <c r="I1398" s="48">
        <f>[1]!BexGetData("DP_2","DL719O2RYNIY3MZ1QVCEEWBN7","17","E","22062103E201","2067113011")</f>
        <v>0</v>
      </c>
    </row>
    <row r="1399" spans="1:9" x14ac:dyDescent="0.2">
      <c r="A1399" s="46" t="s">
        <v>32</v>
      </c>
      <c r="B1399" s="46" t="s">
        <v>32</v>
      </c>
      <c r="C1399" s="46" t="s">
        <v>32</v>
      </c>
      <c r="D1399" s="46" t="s">
        <v>32</v>
      </c>
      <c r="E1399" s="46" t="s">
        <v>32</v>
      </c>
      <c r="F1399" s="47">
        <f>[1]!BexGetData("DP_2","DL719O2RYNC0Y217V0FVT1R77","17","E","22062103E201","2067113021")</f>
        <v>2261707.56</v>
      </c>
      <c r="G1399" s="48">
        <f>[1]!BexGetData("DP_2","DL719O2RYNEBZX0HTMQQ0BY0J","17","E","22062103E201","2067113021")</f>
        <v>2261707.56</v>
      </c>
      <c r="H1399" s="48">
        <f>[1]!BexGetData("DP_2","DL719O2RYNGN1RZRS91K7M4TV","17","E","22062103E201","2067113021")</f>
        <v>2261707.56</v>
      </c>
      <c r="I1399" s="48">
        <f>[1]!BexGetData("DP_2","DL719O2RYNIY3MZ1QVCEEWBN7","17","E","22062103E201","2067113021")</f>
        <v>0</v>
      </c>
    </row>
    <row r="1400" spans="1:9" x14ac:dyDescent="0.2">
      <c r="A1400" s="46" t="s">
        <v>32</v>
      </c>
      <c r="B1400" s="46" t="s">
        <v>32</v>
      </c>
      <c r="C1400" s="46" t="s">
        <v>32</v>
      </c>
      <c r="D1400" s="46" t="s">
        <v>32</v>
      </c>
      <c r="E1400" s="46" t="s">
        <v>32</v>
      </c>
      <c r="F1400" s="47">
        <f>[1]!BexGetData("DP_2","DL719O2RYNC0Y217V0FVT1R77","17","E","22062103E201","2067121011")</f>
        <v>1091231.6000000001</v>
      </c>
      <c r="G1400" s="48">
        <f>[1]!BexGetData("DP_2","DL719O2RYNEBZX0HTMQQ0BY0J","17","E","22062103E201","2067121011")</f>
        <v>1091231.6000000001</v>
      </c>
      <c r="H1400" s="48">
        <f>[1]!BexGetData("DP_2","DL719O2RYNGN1RZRS91K7M4TV","17","E","22062103E201","2067121011")</f>
        <v>1015225.51</v>
      </c>
      <c r="I1400" s="48">
        <f>[1]!BexGetData("DP_2","DL719O2RYNIY3MZ1QVCEEWBN7","17","E","22062103E201","2067121011")</f>
        <v>0</v>
      </c>
    </row>
    <row r="1401" spans="1:9" x14ac:dyDescent="0.2">
      <c r="A1401" s="46" t="s">
        <v>32</v>
      </c>
      <c r="B1401" s="46" t="s">
        <v>32</v>
      </c>
      <c r="C1401" s="46" t="s">
        <v>32</v>
      </c>
      <c r="D1401" s="46" t="s">
        <v>32</v>
      </c>
      <c r="E1401" s="46" t="s">
        <v>32</v>
      </c>
      <c r="F1401" s="47">
        <f>[1]!BexGetData("DP_2","DL719O2RYNC0Y217V0FVT1R77","17","E","22062103E201","2067122011")</f>
        <v>536550.30000000005</v>
      </c>
      <c r="G1401" s="48">
        <f>[1]!BexGetData("DP_2","DL719O2RYNEBZX0HTMQQ0BY0J","17","E","22062103E201","2067122011")</f>
        <v>536550.30000000005</v>
      </c>
      <c r="H1401" s="48">
        <f>[1]!BexGetData("DP_2","DL719O2RYNGN1RZRS91K7M4TV","17","E","22062103E201","2067122011")</f>
        <v>536550.30000000005</v>
      </c>
      <c r="I1401" s="48">
        <f>[1]!BexGetData("DP_2","DL719O2RYNIY3MZ1QVCEEWBN7","17","E","22062103E201","2067122011")</f>
        <v>0</v>
      </c>
    </row>
    <row r="1402" spans="1:9" x14ac:dyDescent="0.2">
      <c r="A1402" s="46" t="s">
        <v>32</v>
      </c>
      <c r="B1402" s="46" t="s">
        <v>32</v>
      </c>
      <c r="C1402" s="46" t="s">
        <v>32</v>
      </c>
      <c r="D1402" s="46" t="s">
        <v>32</v>
      </c>
      <c r="E1402" s="46" t="s">
        <v>32</v>
      </c>
      <c r="F1402" s="47">
        <f>[1]!BexGetData("DP_2","DL719O2RYNC0Y217V0FVT1R77","17","E","22062103E201","2067131011")</f>
        <v>5039827</v>
      </c>
      <c r="G1402" s="48">
        <f>[1]!BexGetData("DP_2","DL719O2RYNEBZX0HTMQQ0BY0J","17","E","22062103E201","2067131011")</f>
        <v>5039827</v>
      </c>
      <c r="H1402" s="48">
        <f>[1]!BexGetData("DP_2","DL719O2RYNGN1RZRS91K7M4TV","17","E","22062103E201","2067131011")</f>
        <v>5039827</v>
      </c>
      <c r="I1402" s="48">
        <f>[1]!BexGetData("DP_2","DL719O2RYNIY3MZ1QVCEEWBN7","17","E","22062103E201","2067131011")</f>
        <v>1.0000000000000001E-9</v>
      </c>
    </row>
    <row r="1403" spans="1:9" x14ac:dyDescent="0.2">
      <c r="A1403" s="46" t="s">
        <v>32</v>
      </c>
      <c r="B1403" s="46" t="s">
        <v>32</v>
      </c>
      <c r="C1403" s="46" t="s">
        <v>32</v>
      </c>
      <c r="D1403" s="46" t="s">
        <v>32</v>
      </c>
      <c r="E1403" s="46" t="s">
        <v>32</v>
      </c>
      <c r="F1403" s="47">
        <f>[1]!BexGetData("DP_2","DL719O2RYNC0Y217V0FVT1R77","17","E","22062103E201","2067131021")</f>
        <v>55027.78</v>
      </c>
      <c r="G1403" s="48">
        <f>[1]!BexGetData("DP_2","DL719O2RYNEBZX0HTMQQ0BY0J","17","E","22062103E201","2067131021")</f>
        <v>55027.78</v>
      </c>
      <c r="H1403" s="48">
        <f>[1]!BexGetData("DP_2","DL719O2RYNGN1RZRS91K7M4TV","17","E","22062103E201","2067131021")</f>
        <v>55027.78</v>
      </c>
      <c r="I1403" s="48">
        <f>[1]!BexGetData("DP_2","DL719O2RYNIY3MZ1QVCEEWBN7","17","E","22062103E201","2067131021")</f>
        <v>0</v>
      </c>
    </row>
    <row r="1404" spans="1:9" x14ac:dyDescent="0.2">
      <c r="A1404" s="46" t="s">
        <v>32</v>
      </c>
      <c r="B1404" s="46" t="s">
        <v>32</v>
      </c>
      <c r="C1404" s="46" t="s">
        <v>32</v>
      </c>
      <c r="D1404" s="46" t="s">
        <v>32</v>
      </c>
      <c r="E1404" s="46" t="s">
        <v>32</v>
      </c>
      <c r="F1404" s="47">
        <f>[1]!BexGetData("DP_2","DL719O2RYNC0Y217V0FVT1R77","17","E","22062103E201","2067132011")</f>
        <v>2072369.89</v>
      </c>
      <c r="G1404" s="48">
        <f>[1]!BexGetData("DP_2","DL719O2RYNEBZX0HTMQQ0BY0J","17","E","22062103E201","2067132011")</f>
        <v>2072369.89</v>
      </c>
      <c r="H1404" s="48">
        <f>[1]!BexGetData("DP_2","DL719O2RYNGN1RZRS91K7M4TV","17","E","22062103E201","2067132011")</f>
        <v>2072369.89</v>
      </c>
      <c r="I1404" s="48">
        <f>[1]!BexGetData("DP_2","DL719O2RYNIY3MZ1QVCEEWBN7","17","E","22062103E201","2067132011")</f>
        <v>-1.0000000000000001E-9</v>
      </c>
    </row>
    <row r="1405" spans="1:9" x14ac:dyDescent="0.2">
      <c r="A1405" s="46" t="s">
        <v>32</v>
      </c>
      <c r="B1405" s="46" t="s">
        <v>32</v>
      </c>
      <c r="C1405" s="46" t="s">
        <v>32</v>
      </c>
      <c r="D1405" s="46" t="s">
        <v>32</v>
      </c>
      <c r="E1405" s="46" t="s">
        <v>32</v>
      </c>
      <c r="F1405" s="47">
        <f>[1]!BexGetData("DP_2","DL719O2RYNC0Y217V0FVT1R77","17","E","22062103E201","2067132021")</f>
        <v>8853830.5700000003</v>
      </c>
      <c r="G1405" s="48">
        <f>[1]!BexGetData("DP_2","DL719O2RYNEBZX0HTMQQ0BY0J","17","E","22062103E201","2067132021")</f>
        <v>8853830.5700000003</v>
      </c>
      <c r="H1405" s="48">
        <f>[1]!BexGetData("DP_2","DL719O2RYNGN1RZRS91K7M4TV","17","E","22062103E201","2067132021")</f>
        <v>8853830.5700000003</v>
      </c>
      <c r="I1405" s="48">
        <f>[1]!BexGetData("DP_2","DL719O2RYNIY3MZ1QVCEEWBN7","17","E","22062103E201","2067132021")</f>
        <v>2.0000000000000001E-9</v>
      </c>
    </row>
    <row r="1406" spans="1:9" x14ac:dyDescent="0.2">
      <c r="A1406" s="46" t="s">
        <v>32</v>
      </c>
      <c r="B1406" s="46" t="s">
        <v>32</v>
      </c>
      <c r="C1406" s="46" t="s">
        <v>32</v>
      </c>
      <c r="D1406" s="46" t="s">
        <v>32</v>
      </c>
      <c r="E1406" s="46" t="s">
        <v>32</v>
      </c>
      <c r="F1406" s="47">
        <f>[1]!BexGetData("DP_2","DL719O2RYNC0Y217V0FVT1R77","17","E","22062103E201","2067133011")</f>
        <v>37311580.740000002</v>
      </c>
      <c r="G1406" s="48">
        <f>[1]!BexGetData("DP_2","DL719O2RYNEBZX0HTMQQ0BY0J","17","E","22062103E201","2067133011")</f>
        <v>37311580.740000002</v>
      </c>
      <c r="H1406" s="48">
        <f>[1]!BexGetData("DP_2","DL719O2RYNGN1RZRS91K7M4TV","17","E","22062103E201","2067133011")</f>
        <v>37311580.740000002</v>
      </c>
      <c r="I1406" s="48">
        <f>[1]!BexGetData("DP_2","DL719O2RYNIY3MZ1QVCEEWBN7","17","E","22062103E201","2067133011")</f>
        <v>6.9999999999999998E-9</v>
      </c>
    </row>
    <row r="1407" spans="1:9" x14ac:dyDescent="0.2">
      <c r="A1407" s="46" t="s">
        <v>32</v>
      </c>
      <c r="B1407" s="46" t="s">
        <v>32</v>
      </c>
      <c r="C1407" s="46" t="s">
        <v>32</v>
      </c>
      <c r="D1407" s="46" t="s">
        <v>32</v>
      </c>
      <c r="E1407" s="46" t="s">
        <v>32</v>
      </c>
      <c r="F1407" s="47">
        <f>[1]!BexGetData("DP_2","DL719O2RYNC0Y217V0FVT1R77","17","E","22062103E201","2067134011")</f>
        <v>2086700.79</v>
      </c>
      <c r="G1407" s="48">
        <f>[1]!BexGetData("DP_2","DL719O2RYNEBZX0HTMQQ0BY0J","17","E","22062103E201","2067134011")</f>
        <v>2086700.79</v>
      </c>
      <c r="H1407" s="48">
        <f>[1]!BexGetData("DP_2","DL719O2RYNGN1RZRS91K7M4TV","17","E","22062103E201","2067134011")</f>
        <v>2116938.9</v>
      </c>
      <c r="I1407" s="48">
        <f>[1]!BexGetData("DP_2","DL719O2RYNIY3MZ1QVCEEWBN7","17","E","22062103E201","2067134011")</f>
        <v>1.0000000000000001E-9</v>
      </c>
    </row>
    <row r="1408" spans="1:9" x14ac:dyDescent="0.2">
      <c r="A1408" s="46" t="s">
        <v>32</v>
      </c>
      <c r="B1408" s="46" t="s">
        <v>32</v>
      </c>
      <c r="C1408" s="46" t="s">
        <v>32</v>
      </c>
      <c r="D1408" s="46" t="s">
        <v>32</v>
      </c>
      <c r="E1408" s="46" t="s">
        <v>32</v>
      </c>
      <c r="F1408" s="47">
        <f>[1]!BexGetData("DP_2","DL719O2RYNC0Y217V0FVT1R77","17","E","22062103E201","2067134021")</f>
        <v>5589398.9400000004</v>
      </c>
      <c r="G1408" s="48">
        <f>[1]!BexGetData("DP_2","DL719O2RYNEBZX0HTMQQ0BY0J","17","E","22062103E201","2067134021")</f>
        <v>5589398.9400000004</v>
      </c>
      <c r="H1408" s="48">
        <f>[1]!BexGetData("DP_2","DL719O2RYNGN1RZRS91K7M4TV","17","E","22062103E201","2067134021")</f>
        <v>5589398.9400000004</v>
      </c>
      <c r="I1408" s="48">
        <f>[1]!BexGetData("DP_2","DL719O2RYNIY3MZ1QVCEEWBN7","17","E","22062103E201","2067134021")</f>
        <v>0</v>
      </c>
    </row>
    <row r="1409" spans="1:9" x14ac:dyDescent="0.2">
      <c r="A1409" s="46" t="s">
        <v>32</v>
      </c>
      <c r="B1409" s="46" t="s">
        <v>32</v>
      </c>
      <c r="C1409" s="46" t="s">
        <v>32</v>
      </c>
      <c r="D1409" s="46" t="s">
        <v>32</v>
      </c>
      <c r="E1409" s="46" t="s">
        <v>32</v>
      </c>
      <c r="F1409" s="47">
        <f>[1]!BexGetData("DP_2","DL719O2RYNC0Y217V0FVT1R77","17","E","22062103E201","2067141011")</f>
        <v>8057337.3700000001</v>
      </c>
      <c r="G1409" s="48">
        <f>[1]!BexGetData("DP_2","DL719O2RYNEBZX0HTMQQ0BY0J","17","E","22062103E201","2067141011")</f>
        <v>8057337.3700000001</v>
      </c>
      <c r="H1409" s="48">
        <f>[1]!BexGetData("DP_2","DL719O2RYNGN1RZRS91K7M4TV","17","E","22062103E201","2067141011")</f>
        <v>8057337.3700000001</v>
      </c>
      <c r="I1409" s="48">
        <f>[1]!BexGetData("DP_2","DL719O2RYNIY3MZ1QVCEEWBN7","17","E","22062103E201","2067141011")</f>
        <v>0</v>
      </c>
    </row>
    <row r="1410" spans="1:9" x14ac:dyDescent="0.2">
      <c r="A1410" s="46" t="s">
        <v>32</v>
      </c>
      <c r="B1410" s="46" t="s">
        <v>32</v>
      </c>
      <c r="C1410" s="46" t="s">
        <v>32</v>
      </c>
      <c r="D1410" s="46" t="s">
        <v>32</v>
      </c>
      <c r="E1410" s="46" t="s">
        <v>32</v>
      </c>
      <c r="F1410" s="47">
        <f>[1]!BexGetData("DP_2","DL719O2RYNC0Y217V0FVT1R77","17","E","22062103E201","2067141021")</f>
        <v>2592922.2200000002</v>
      </c>
      <c r="G1410" s="48">
        <f>[1]!BexGetData("DP_2","DL719O2RYNEBZX0HTMQQ0BY0J","17","E","22062103E201","2067141021")</f>
        <v>2592922.2200000002</v>
      </c>
      <c r="H1410" s="48">
        <f>[1]!BexGetData("DP_2","DL719O2RYNGN1RZRS91K7M4TV","17","E","22062103E201","2067141021")</f>
        <v>2592922.2200000002</v>
      </c>
      <c r="I1410" s="48">
        <f>[1]!BexGetData("DP_2","DL719O2RYNIY3MZ1QVCEEWBN7","17","E","22062103E201","2067141021")</f>
        <v>0</v>
      </c>
    </row>
    <row r="1411" spans="1:9" x14ac:dyDescent="0.2">
      <c r="A1411" s="46" t="s">
        <v>32</v>
      </c>
      <c r="B1411" s="46" t="s">
        <v>32</v>
      </c>
      <c r="C1411" s="46" t="s">
        <v>32</v>
      </c>
      <c r="D1411" s="46" t="s">
        <v>32</v>
      </c>
      <c r="E1411" s="46" t="s">
        <v>32</v>
      </c>
      <c r="F1411" s="47">
        <f>[1]!BexGetData("DP_2","DL719O2RYNC0Y217V0FVT1R77","17","E","22062103E201","2067143011")</f>
        <v>1225074.22</v>
      </c>
      <c r="G1411" s="48">
        <f>[1]!BexGetData("DP_2","DL719O2RYNEBZX0HTMQQ0BY0J","17","E","22062103E201","2067143011")</f>
        <v>1225074.22</v>
      </c>
      <c r="H1411" s="48">
        <f>[1]!BexGetData("DP_2","DL719O2RYNGN1RZRS91K7M4TV","17","E","22062103E201","2067143011")</f>
        <v>1225074.22</v>
      </c>
      <c r="I1411" s="48">
        <f>[1]!BexGetData("DP_2","DL719O2RYNIY3MZ1QVCEEWBN7","17","E","22062103E201","2067143011")</f>
        <v>0</v>
      </c>
    </row>
    <row r="1412" spans="1:9" x14ac:dyDescent="0.2">
      <c r="A1412" s="46" t="s">
        <v>32</v>
      </c>
      <c r="B1412" s="46" t="s">
        <v>32</v>
      </c>
      <c r="C1412" s="46" t="s">
        <v>32</v>
      </c>
      <c r="D1412" s="46" t="s">
        <v>32</v>
      </c>
      <c r="E1412" s="46" t="s">
        <v>32</v>
      </c>
      <c r="F1412" s="47">
        <f>[1]!BexGetData("DP_2","DL719O2RYNC0Y217V0FVT1R77","17","E","22062103E201","2067151011")</f>
        <v>4557370.4400000004</v>
      </c>
      <c r="G1412" s="48">
        <f>[1]!BexGetData("DP_2","DL719O2RYNEBZX0HTMQQ0BY0J","17","E","22062103E201","2067151011")</f>
        <v>4557370.4400000004</v>
      </c>
      <c r="H1412" s="48">
        <f>[1]!BexGetData("DP_2","DL719O2RYNGN1RZRS91K7M4TV","17","E","22062103E201","2067151011")</f>
        <v>4557370.4400000004</v>
      </c>
      <c r="I1412" s="48">
        <f>[1]!BexGetData("DP_2","DL719O2RYNIY3MZ1QVCEEWBN7","17","E","22062103E201","2067151011")</f>
        <v>1.0000000000000001E-9</v>
      </c>
    </row>
    <row r="1413" spans="1:9" x14ac:dyDescent="0.2">
      <c r="A1413" s="46" t="s">
        <v>32</v>
      </c>
      <c r="B1413" s="46" t="s">
        <v>32</v>
      </c>
      <c r="C1413" s="46" t="s">
        <v>32</v>
      </c>
      <c r="D1413" s="46" t="s">
        <v>32</v>
      </c>
      <c r="E1413" s="46" t="s">
        <v>32</v>
      </c>
      <c r="F1413" s="47">
        <f>[1]!BexGetData("DP_2","DL719O2RYNC0Y217V0FVT1R77","17","E","22062103E201","2067154011")</f>
        <v>23733480.579999998</v>
      </c>
      <c r="G1413" s="48">
        <f>[1]!BexGetData("DP_2","DL719O2RYNEBZX0HTMQQ0BY0J","17","E","22062103E201","2067154011")</f>
        <v>23733480.579999998</v>
      </c>
      <c r="H1413" s="48">
        <f>[1]!BexGetData("DP_2","DL719O2RYNGN1RZRS91K7M4TV","17","E","22062103E201","2067154011")</f>
        <v>23713450.579999998</v>
      </c>
      <c r="I1413" s="48">
        <f>[1]!BexGetData("DP_2","DL719O2RYNIY3MZ1QVCEEWBN7","17","E","22062103E201","2067154011")</f>
        <v>-4.0000000000000002E-9</v>
      </c>
    </row>
    <row r="1414" spans="1:9" x14ac:dyDescent="0.2">
      <c r="A1414" s="46" t="s">
        <v>32</v>
      </c>
      <c r="B1414" s="46" t="s">
        <v>32</v>
      </c>
      <c r="C1414" s="46" t="s">
        <v>32</v>
      </c>
      <c r="D1414" s="46" t="s">
        <v>32</v>
      </c>
      <c r="E1414" s="46" t="s">
        <v>32</v>
      </c>
      <c r="F1414" s="47">
        <f>[1]!BexGetData("DP_2","DL719O2RYNC0Y217V0FVT1R77","17","E","22062103E201","2067211011")</f>
        <v>136535.07</v>
      </c>
      <c r="G1414" s="48">
        <f>[1]!BexGetData("DP_2","DL719O2RYNEBZX0HTMQQ0BY0J","17","E","22062103E201","2067211011")</f>
        <v>136535.07</v>
      </c>
      <c r="H1414" s="48">
        <f>[1]!BexGetData("DP_2","DL719O2RYNGN1RZRS91K7M4TV","17","E","22062103E201","2067211011")</f>
        <v>136535.07</v>
      </c>
      <c r="I1414" s="48">
        <f>[1]!BexGetData("DP_2","DL719O2RYNIY3MZ1QVCEEWBN7","17","E","22062103E201","2067211011")</f>
        <v>0</v>
      </c>
    </row>
    <row r="1415" spans="1:9" x14ac:dyDescent="0.2">
      <c r="A1415" s="46" t="s">
        <v>32</v>
      </c>
      <c r="B1415" s="46" t="s">
        <v>32</v>
      </c>
      <c r="C1415" s="46" t="s">
        <v>32</v>
      </c>
      <c r="D1415" s="46" t="s">
        <v>32</v>
      </c>
      <c r="E1415" s="46" t="s">
        <v>32</v>
      </c>
      <c r="F1415" s="47">
        <f>[1]!BexGetData("DP_2","DL719O2RYNC0Y217V0FVT1R77","17","E","22062103E201","2067211021")</f>
        <v>17496.240000000002</v>
      </c>
      <c r="G1415" s="48">
        <f>[1]!BexGetData("DP_2","DL719O2RYNEBZX0HTMQQ0BY0J","17","E","22062103E201","2067211021")</f>
        <v>17496.240000000002</v>
      </c>
      <c r="H1415" s="48">
        <f>[1]!BexGetData("DP_2","DL719O2RYNGN1RZRS91K7M4TV","17","E","22062103E201","2067211021")</f>
        <v>17496.240000000002</v>
      </c>
      <c r="I1415" s="48">
        <f>[1]!BexGetData("DP_2","DL719O2RYNIY3MZ1QVCEEWBN7","17","E","22062103E201","2067211021")</f>
        <v>0</v>
      </c>
    </row>
    <row r="1416" spans="1:9" x14ac:dyDescent="0.2">
      <c r="A1416" s="46" t="s">
        <v>32</v>
      </c>
      <c r="B1416" s="46" t="s">
        <v>32</v>
      </c>
      <c r="C1416" s="46" t="s">
        <v>32</v>
      </c>
      <c r="D1416" s="46" t="s">
        <v>32</v>
      </c>
      <c r="E1416" s="46" t="s">
        <v>32</v>
      </c>
      <c r="F1416" s="47">
        <f>[1]!BexGetData("DP_2","DL719O2RYNC0Y217V0FVT1R77","17","E","22062103E201","2067211031")</f>
        <v>2379.9499999999998</v>
      </c>
      <c r="G1416" s="48">
        <f>[1]!BexGetData("DP_2","DL719O2RYNEBZX0HTMQQ0BY0J","17","E","22062103E201","2067211031")</f>
        <v>2379.9499999999998</v>
      </c>
      <c r="H1416" s="48">
        <f>[1]!BexGetData("DP_2","DL719O2RYNGN1RZRS91K7M4TV","17","E","22062103E201","2067211031")</f>
        <v>2379.9499999999998</v>
      </c>
      <c r="I1416" s="48">
        <f>[1]!BexGetData("DP_2","DL719O2RYNIY3MZ1QVCEEWBN7","17","E","22062103E201","2067211031")</f>
        <v>0</v>
      </c>
    </row>
    <row r="1417" spans="1:9" x14ac:dyDescent="0.2">
      <c r="A1417" s="46" t="s">
        <v>32</v>
      </c>
      <c r="B1417" s="46" t="s">
        <v>32</v>
      </c>
      <c r="C1417" s="46" t="s">
        <v>32</v>
      </c>
      <c r="D1417" s="46" t="s">
        <v>32</v>
      </c>
      <c r="E1417" s="46" t="s">
        <v>32</v>
      </c>
      <c r="F1417" s="47">
        <f>[1]!BexGetData("DP_2","DL719O2RYNC0Y217V0FVT1R77","17","E","22062103E201","2067214011")</f>
        <v>141321.54999999999</v>
      </c>
      <c r="G1417" s="48">
        <f>[1]!BexGetData("DP_2","DL719O2RYNEBZX0HTMQQ0BY0J","17","E","22062103E201","2067214011")</f>
        <v>141321.54999999999</v>
      </c>
      <c r="H1417" s="48">
        <f>[1]!BexGetData("DP_2","DL719O2RYNGN1RZRS91K7M4TV","17","E","22062103E201","2067214011")</f>
        <v>130963.76</v>
      </c>
      <c r="I1417" s="48">
        <f>[1]!BexGetData("DP_2","DL719O2RYNIY3MZ1QVCEEWBN7","17","E","22062103E201","2067214011")</f>
        <v>0</v>
      </c>
    </row>
    <row r="1418" spans="1:9" x14ac:dyDescent="0.2">
      <c r="A1418" s="46" t="s">
        <v>32</v>
      </c>
      <c r="B1418" s="46" t="s">
        <v>32</v>
      </c>
      <c r="C1418" s="46" t="s">
        <v>32</v>
      </c>
      <c r="D1418" s="46" t="s">
        <v>32</v>
      </c>
      <c r="E1418" s="46" t="s">
        <v>32</v>
      </c>
      <c r="F1418" s="47">
        <f>[1]!BexGetData("DP_2","DL719O2RYNC0Y217V0FVT1R77","17","E","22062103E201","2067215021")</f>
        <v>16564.8</v>
      </c>
      <c r="G1418" s="48">
        <f>[1]!BexGetData("DP_2","DL719O2RYNEBZX0HTMQQ0BY0J","17","E","22062103E201","2067215021")</f>
        <v>16564.8</v>
      </c>
      <c r="H1418" s="48">
        <f>[1]!BexGetData("DP_2","DL719O2RYNGN1RZRS91K7M4TV","17","E","22062103E201","2067215021")</f>
        <v>16564.8</v>
      </c>
      <c r="I1418" s="48">
        <f>[1]!BexGetData("DP_2","DL719O2RYNIY3MZ1QVCEEWBN7","17","E","22062103E201","2067215021")</f>
        <v>0</v>
      </c>
    </row>
    <row r="1419" spans="1:9" x14ac:dyDescent="0.2">
      <c r="A1419" s="46" t="s">
        <v>32</v>
      </c>
      <c r="B1419" s="46" t="s">
        <v>32</v>
      </c>
      <c r="C1419" s="46" t="s">
        <v>32</v>
      </c>
      <c r="D1419" s="46" t="s">
        <v>32</v>
      </c>
      <c r="E1419" s="46" t="s">
        <v>32</v>
      </c>
      <c r="F1419" s="47">
        <f>[1]!BexGetData("DP_2","DL719O2RYNC0Y217V0FVT1R77","17","E","22062103E201","2067216011")</f>
        <v>245671.93</v>
      </c>
      <c r="G1419" s="48">
        <f>[1]!BexGetData("DP_2","DL719O2RYNEBZX0HTMQQ0BY0J","17","E","22062103E201","2067216011")</f>
        <v>245671.93</v>
      </c>
      <c r="H1419" s="48">
        <f>[1]!BexGetData("DP_2","DL719O2RYNGN1RZRS91K7M4TV","17","E","22062103E201","2067216011")</f>
        <v>245671.93</v>
      </c>
      <c r="I1419" s="48">
        <f>[1]!BexGetData("DP_2","DL719O2RYNIY3MZ1QVCEEWBN7","17","E","22062103E201","2067216011")</f>
        <v>0</v>
      </c>
    </row>
    <row r="1420" spans="1:9" x14ac:dyDescent="0.2">
      <c r="A1420" s="46" t="s">
        <v>32</v>
      </c>
      <c r="B1420" s="46" t="s">
        <v>32</v>
      </c>
      <c r="C1420" s="46" t="s">
        <v>32</v>
      </c>
      <c r="D1420" s="46" t="s">
        <v>32</v>
      </c>
      <c r="E1420" s="46" t="s">
        <v>32</v>
      </c>
      <c r="F1420" s="47">
        <f>[1]!BexGetData("DP_2","DL719O2RYNC0Y217V0FVT1R77","17","E","22062103E201","2067216021")</f>
        <v>7450783.5700000003</v>
      </c>
      <c r="G1420" s="48">
        <f>[1]!BexGetData("DP_2","DL719O2RYNEBZX0HTMQQ0BY0J","17","E","22062103E201","2067216021")</f>
        <v>7450783.5700000003</v>
      </c>
      <c r="H1420" s="48">
        <f>[1]!BexGetData("DP_2","DL719O2RYNGN1RZRS91K7M4TV","17","E","22062103E201","2067216021")</f>
        <v>7227914.5700000003</v>
      </c>
      <c r="I1420" s="48">
        <f>[1]!BexGetData("DP_2","DL719O2RYNIY3MZ1QVCEEWBN7","17","E","22062103E201","2067216021")</f>
        <v>0</v>
      </c>
    </row>
    <row r="1421" spans="1:9" x14ac:dyDescent="0.2">
      <c r="A1421" s="46" t="s">
        <v>32</v>
      </c>
      <c r="B1421" s="46" t="s">
        <v>32</v>
      </c>
      <c r="C1421" s="46" t="s">
        <v>32</v>
      </c>
      <c r="D1421" s="46" t="s">
        <v>32</v>
      </c>
      <c r="E1421" s="46" t="s">
        <v>32</v>
      </c>
      <c r="F1421" s="47">
        <f>[1]!BexGetData("DP_2","DL719O2RYNC0Y217V0FVT1R77","17","E","22062103E201","2067217011")</f>
        <v>3188.61</v>
      </c>
      <c r="G1421" s="48">
        <f>[1]!BexGetData("DP_2","DL719O2RYNEBZX0HTMQQ0BY0J","17","E","22062103E201","2067217011")</f>
        <v>3188.61</v>
      </c>
      <c r="H1421" s="48">
        <f>[1]!BexGetData("DP_2","DL719O2RYNGN1RZRS91K7M4TV","17","E","22062103E201","2067217011")</f>
        <v>3188.61</v>
      </c>
      <c r="I1421" s="48">
        <f>[1]!BexGetData("DP_2","DL719O2RYNIY3MZ1QVCEEWBN7","17","E","22062103E201","2067217011")</f>
        <v>0</v>
      </c>
    </row>
    <row r="1422" spans="1:9" x14ac:dyDescent="0.2">
      <c r="A1422" s="46" t="s">
        <v>32</v>
      </c>
      <c r="B1422" s="46" t="s">
        <v>32</v>
      </c>
      <c r="C1422" s="46" t="s">
        <v>32</v>
      </c>
      <c r="D1422" s="46" t="s">
        <v>32</v>
      </c>
      <c r="E1422" s="46" t="s">
        <v>32</v>
      </c>
      <c r="F1422" s="47">
        <f>[1]!BexGetData("DP_2","DL719O2RYNC0Y217V0FVT1R77","17","E","22062103E201","2067221011")</f>
        <v>20080.2</v>
      </c>
      <c r="G1422" s="48">
        <f>[1]!BexGetData("DP_2","DL719O2RYNEBZX0HTMQQ0BY0J","17","E","22062103E201","2067221011")</f>
        <v>20080.2</v>
      </c>
      <c r="H1422" s="48">
        <f>[1]!BexGetData("DP_2","DL719O2RYNGN1RZRS91K7M4TV","17","E","22062103E201","2067221011")</f>
        <v>20080.2</v>
      </c>
      <c r="I1422" s="48">
        <f>[1]!BexGetData("DP_2","DL719O2RYNIY3MZ1QVCEEWBN7","17","E","22062103E201","2067221011")</f>
        <v>0</v>
      </c>
    </row>
    <row r="1423" spans="1:9" x14ac:dyDescent="0.2">
      <c r="A1423" s="46" t="s">
        <v>32</v>
      </c>
      <c r="B1423" s="46" t="s">
        <v>32</v>
      </c>
      <c r="C1423" s="46" t="s">
        <v>32</v>
      </c>
      <c r="D1423" s="46" t="s">
        <v>32</v>
      </c>
      <c r="E1423" s="46" t="s">
        <v>32</v>
      </c>
      <c r="F1423" s="47">
        <f>[1]!BexGetData("DP_2","DL719O2RYNC0Y217V0FVT1R77","17","E","22062103E201","2067221021")</f>
        <v>29900</v>
      </c>
      <c r="G1423" s="48">
        <f>[1]!BexGetData("DP_2","DL719O2RYNEBZX0HTMQQ0BY0J","17","E","22062103E201","2067221021")</f>
        <v>29900</v>
      </c>
      <c r="H1423" s="48">
        <f>[1]!BexGetData("DP_2","DL719O2RYNGN1RZRS91K7M4TV","17","E","22062103E201","2067221021")</f>
        <v>29900</v>
      </c>
      <c r="I1423" s="48">
        <f>[1]!BexGetData("DP_2","DL719O2RYNIY3MZ1QVCEEWBN7","17","E","22062103E201","2067221021")</f>
        <v>0</v>
      </c>
    </row>
    <row r="1424" spans="1:9" x14ac:dyDescent="0.2">
      <c r="A1424" s="46" t="s">
        <v>32</v>
      </c>
      <c r="B1424" s="46" t="s">
        <v>32</v>
      </c>
      <c r="C1424" s="46" t="s">
        <v>32</v>
      </c>
      <c r="D1424" s="46" t="s">
        <v>32</v>
      </c>
      <c r="E1424" s="46" t="s">
        <v>32</v>
      </c>
      <c r="F1424" s="47">
        <f>[1]!BexGetData("DP_2","DL719O2RYNC0Y217V0FVT1R77","17","E","22062103E201","2067241011")</f>
        <v>51931.839999999997</v>
      </c>
      <c r="G1424" s="48">
        <f>[1]!BexGetData("DP_2","DL719O2RYNEBZX0HTMQQ0BY0J","17","E","22062103E201","2067241011")</f>
        <v>51931.839999999997</v>
      </c>
      <c r="H1424" s="48">
        <f>[1]!BexGetData("DP_2","DL719O2RYNGN1RZRS91K7M4TV","17","E","22062103E201","2067241011")</f>
        <v>7851.84</v>
      </c>
      <c r="I1424" s="48">
        <f>[1]!BexGetData("DP_2","DL719O2RYNIY3MZ1QVCEEWBN7","17","E","22062103E201","2067241011")</f>
        <v>0</v>
      </c>
    </row>
    <row r="1425" spans="1:9" x14ac:dyDescent="0.2">
      <c r="A1425" s="46" t="s">
        <v>32</v>
      </c>
      <c r="B1425" s="46" t="s">
        <v>32</v>
      </c>
      <c r="C1425" s="46" t="s">
        <v>32</v>
      </c>
      <c r="D1425" s="46" t="s">
        <v>32</v>
      </c>
      <c r="E1425" s="46" t="s">
        <v>32</v>
      </c>
      <c r="F1425" s="47">
        <f>[1]!BexGetData("DP_2","DL719O2RYNC0Y217V0FVT1R77","17","E","22062103E201","2067242011")</f>
        <v>287.52999999999997</v>
      </c>
      <c r="G1425" s="48">
        <f>[1]!BexGetData("DP_2","DL719O2RYNEBZX0HTMQQ0BY0J","17","E","22062103E201","2067242011")</f>
        <v>287.52999999999997</v>
      </c>
      <c r="H1425" s="48">
        <f>[1]!BexGetData("DP_2","DL719O2RYNGN1RZRS91K7M4TV","17","E","22062103E201","2067242011")</f>
        <v>287.52999999999997</v>
      </c>
      <c r="I1425" s="48">
        <f>[1]!BexGetData("DP_2","DL719O2RYNIY3MZ1QVCEEWBN7","17","E","22062103E201","2067242011")</f>
        <v>0</v>
      </c>
    </row>
    <row r="1426" spans="1:9" x14ac:dyDescent="0.2">
      <c r="A1426" s="46" t="s">
        <v>32</v>
      </c>
      <c r="B1426" s="46" t="s">
        <v>32</v>
      </c>
      <c r="C1426" s="46" t="s">
        <v>32</v>
      </c>
      <c r="D1426" s="46" t="s">
        <v>32</v>
      </c>
      <c r="E1426" s="46" t="s">
        <v>32</v>
      </c>
      <c r="F1426" s="47">
        <f>[1]!BexGetData("DP_2","DL719O2RYNC0Y217V0FVT1R77","17","E","22062103E201","2067243011")</f>
        <v>48684.2</v>
      </c>
      <c r="G1426" s="48">
        <f>[1]!BexGetData("DP_2","DL719O2RYNEBZX0HTMQQ0BY0J","17","E","22062103E201","2067243011")</f>
        <v>48684.2</v>
      </c>
      <c r="H1426" s="48">
        <f>[1]!BexGetData("DP_2","DL719O2RYNGN1RZRS91K7M4TV","17","E","22062103E201","2067243011")</f>
        <v>48684.2</v>
      </c>
      <c r="I1426" s="48">
        <f>[1]!BexGetData("DP_2","DL719O2RYNIY3MZ1QVCEEWBN7","17","E","22062103E201","2067243011")</f>
        <v>0</v>
      </c>
    </row>
    <row r="1427" spans="1:9" x14ac:dyDescent="0.2">
      <c r="A1427" s="46" t="s">
        <v>32</v>
      </c>
      <c r="B1427" s="46" t="s">
        <v>32</v>
      </c>
      <c r="C1427" s="46" t="s">
        <v>32</v>
      </c>
      <c r="D1427" s="46" t="s">
        <v>32</v>
      </c>
      <c r="E1427" s="46" t="s">
        <v>32</v>
      </c>
      <c r="F1427" s="47">
        <f>[1]!BexGetData("DP_2","DL719O2RYNC0Y217V0FVT1R77","17","E","22062103E201","2067244011")</f>
        <v>17863.990000000002</v>
      </c>
      <c r="G1427" s="48">
        <f>[1]!BexGetData("DP_2","DL719O2RYNEBZX0HTMQQ0BY0J","17","E","22062103E201","2067244011")</f>
        <v>17863.990000000002</v>
      </c>
      <c r="H1427" s="48">
        <f>[1]!BexGetData("DP_2","DL719O2RYNGN1RZRS91K7M4TV","17","E","22062103E201","2067244011")</f>
        <v>17863.990000000002</v>
      </c>
      <c r="I1427" s="48">
        <f>[1]!BexGetData("DP_2","DL719O2RYNIY3MZ1QVCEEWBN7","17","E","22062103E201","2067244011")</f>
        <v>0</v>
      </c>
    </row>
    <row r="1428" spans="1:9" x14ac:dyDescent="0.2">
      <c r="A1428" s="46" t="s">
        <v>32</v>
      </c>
      <c r="B1428" s="46" t="s">
        <v>32</v>
      </c>
      <c r="C1428" s="46" t="s">
        <v>32</v>
      </c>
      <c r="D1428" s="46" t="s">
        <v>32</v>
      </c>
      <c r="E1428" s="46" t="s">
        <v>32</v>
      </c>
      <c r="F1428" s="47">
        <f>[1]!BexGetData("DP_2","DL719O2RYNC0Y217V0FVT1R77","17","E","22062103E201","2067246011")</f>
        <v>86104.46</v>
      </c>
      <c r="G1428" s="48">
        <f>[1]!BexGetData("DP_2","DL719O2RYNEBZX0HTMQQ0BY0J","17","E","22062103E201","2067246011")</f>
        <v>86104.46</v>
      </c>
      <c r="H1428" s="48">
        <f>[1]!BexGetData("DP_2","DL719O2RYNGN1RZRS91K7M4TV","17","E","22062103E201","2067246011")</f>
        <v>86104.46</v>
      </c>
      <c r="I1428" s="48">
        <f>[1]!BexGetData("DP_2","DL719O2RYNIY3MZ1QVCEEWBN7","17","E","22062103E201","2067246011")</f>
        <v>0</v>
      </c>
    </row>
    <row r="1429" spans="1:9" x14ac:dyDescent="0.2">
      <c r="A1429" s="46" t="s">
        <v>32</v>
      </c>
      <c r="B1429" s="46" t="s">
        <v>32</v>
      </c>
      <c r="C1429" s="46" t="s">
        <v>32</v>
      </c>
      <c r="D1429" s="46" t="s">
        <v>32</v>
      </c>
      <c r="E1429" s="46" t="s">
        <v>32</v>
      </c>
      <c r="F1429" s="47">
        <f>[1]!BexGetData("DP_2","DL719O2RYNC0Y217V0FVT1R77","17","E","22062103E201","2067247011")</f>
        <v>39037.870000000003</v>
      </c>
      <c r="G1429" s="48">
        <f>[1]!BexGetData("DP_2","DL719O2RYNEBZX0HTMQQ0BY0J","17","E","22062103E201","2067247011")</f>
        <v>39037.870000000003</v>
      </c>
      <c r="H1429" s="48">
        <f>[1]!BexGetData("DP_2","DL719O2RYNGN1RZRS91K7M4TV","17","E","22062103E201","2067247011")</f>
        <v>39037.870000000003</v>
      </c>
      <c r="I1429" s="48">
        <f>[1]!BexGetData("DP_2","DL719O2RYNIY3MZ1QVCEEWBN7","17","E","22062103E201","2067247011")</f>
        <v>0</v>
      </c>
    </row>
    <row r="1430" spans="1:9" x14ac:dyDescent="0.2">
      <c r="A1430" s="46" t="s">
        <v>32</v>
      </c>
      <c r="B1430" s="46" t="s">
        <v>32</v>
      </c>
      <c r="C1430" s="46" t="s">
        <v>32</v>
      </c>
      <c r="D1430" s="46" t="s">
        <v>32</v>
      </c>
      <c r="E1430" s="46" t="s">
        <v>32</v>
      </c>
      <c r="F1430" s="47">
        <f>[1]!BexGetData("DP_2","DL719O2RYNC0Y217V0FVT1R77","17","E","22062103E201","2067248011")</f>
        <v>49140</v>
      </c>
      <c r="G1430" s="48">
        <f>[1]!BexGetData("DP_2","DL719O2RYNEBZX0HTMQQ0BY0J","17","E","22062103E201","2067248011")</f>
        <v>49140</v>
      </c>
      <c r="H1430" s="48">
        <f>[1]!BexGetData("DP_2","DL719O2RYNGN1RZRS91K7M4TV","17","E","22062103E201","2067248011")</f>
        <v>0</v>
      </c>
      <c r="I1430" s="48">
        <f>[1]!BexGetData("DP_2","DL719O2RYNIY3MZ1QVCEEWBN7","17","E","22062103E201","2067248011")</f>
        <v>0</v>
      </c>
    </row>
    <row r="1431" spans="1:9" x14ac:dyDescent="0.2">
      <c r="A1431" s="46" t="s">
        <v>32</v>
      </c>
      <c r="B1431" s="46" t="s">
        <v>32</v>
      </c>
      <c r="C1431" s="46" t="s">
        <v>32</v>
      </c>
      <c r="D1431" s="46" t="s">
        <v>32</v>
      </c>
      <c r="E1431" s="46" t="s">
        <v>32</v>
      </c>
      <c r="F1431" s="47">
        <f>[1]!BexGetData("DP_2","DL719O2RYNC0Y217V0FVT1R77","17","E","22062103E201","2067249011")</f>
        <v>107854.7</v>
      </c>
      <c r="G1431" s="48">
        <f>[1]!BexGetData("DP_2","DL719O2RYNEBZX0HTMQQ0BY0J","17","E","22062103E201","2067249011")</f>
        <v>107854.7</v>
      </c>
      <c r="H1431" s="48">
        <f>[1]!BexGetData("DP_2","DL719O2RYNGN1RZRS91K7M4TV","17","E","22062103E201","2067249011")</f>
        <v>107854.7</v>
      </c>
      <c r="I1431" s="48">
        <f>[1]!BexGetData("DP_2","DL719O2RYNIY3MZ1QVCEEWBN7","17","E","22062103E201","2067249011")</f>
        <v>0</v>
      </c>
    </row>
    <row r="1432" spans="1:9" x14ac:dyDescent="0.2">
      <c r="A1432" s="46" t="s">
        <v>32</v>
      </c>
      <c r="B1432" s="46" t="s">
        <v>32</v>
      </c>
      <c r="C1432" s="46" t="s">
        <v>32</v>
      </c>
      <c r="D1432" s="46" t="s">
        <v>32</v>
      </c>
      <c r="E1432" s="46" t="s">
        <v>32</v>
      </c>
      <c r="F1432" s="47">
        <f>[1]!BexGetData("DP_2","DL719O2RYNC0Y217V0FVT1R77","17","E","22062103E201","2067251011")</f>
        <v>522</v>
      </c>
      <c r="G1432" s="48">
        <f>[1]!BexGetData("DP_2","DL719O2RYNEBZX0HTMQQ0BY0J","17","E","22062103E201","2067251011")</f>
        <v>522</v>
      </c>
      <c r="H1432" s="48">
        <f>[1]!BexGetData("DP_2","DL719O2RYNGN1RZRS91K7M4TV","17","E","22062103E201","2067251011")</f>
        <v>522</v>
      </c>
      <c r="I1432" s="48">
        <f>[1]!BexGetData("DP_2","DL719O2RYNIY3MZ1QVCEEWBN7","17","E","22062103E201","2067251011")</f>
        <v>0</v>
      </c>
    </row>
    <row r="1433" spans="1:9" x14ac:dyDescent="0.2">
      <c r="A1433" s="46" t="s">
        <v>32</v>
      </c>
      <c r="B1433" s="46" t="s">
        <v>32</v>
      </c>
      <c r="C1433" s="46" t="s">
        <v>32</v>
      </c>
      <c r="D1433" s="46" t="s">
        <v>32</v>
      </c>
      <c r="E1433" s="46" t="s">
        <v>32</v>
      </c>
      <c r="F1433" s="47">
        <f>[1]!BexGetData("DP_2","DL719O2RYNC0Y217V0FVT1R77","17","E","22062103E201","2067252011")</f>
        <v>12035</v>
      </c>
      <c r="G1433" s="48">
        <f>[1]!BexGetData("DP_2","DL719O2RYNEBZX0HTMQQ0BY0J","17","E","22062103E201","2067252011")</f>
        <v>12035</v>
      </c>
      <c r="H1433" s="48">
        <f>[1]!BexGetData("DP_2","DL719O2RYNGN1RZRS91K7M4TV","17","E","22062103E201","2067252011")</f>
        <v>0</v>
      </c>
      <c r="I1433" s="48">
        <f>[1]!BexGetData("DP_2","DL719O2RYNIY3MZ1QVCEEWBN7","17","E","22062103E201","2067252011")</f>
        <v>0</v>
      </c>
    </row>
    <row r="1434" spans="1:9" x14ac:dyDescent="0.2">
      <c r="A1434" s="46" t="s">
        <v>32</v>
      </c>
      <c r="B1434" s="46" t="s">
        <v>32</v>
      </c>
      <c r="C1434" s="46" t="s">
        <v>32</v>
      </c>
      <c r="D1434" s="46" t="s">
        <v>32</v>
      </c>
      <c r="E1434" s="46" t="s">
        <v>32</v>
      </c>
      <c r="F1434" s="47">
        <f>[1]!BexGetData("DP_2","DL719O2RYNC0Y217V0FVT1R77","17","E","22062103E201","2067253021")</f>
        <v>699.59</v>
      </c>
      <c r="G1434" s="48">
        <f>[1]!BexGetData("DP_2","DL719O2RYNEBZX0HTMQQ0BY0J","17","E","22062103E201","2067253021")</f>
        <v>699.59</v>
      </c>
      <c r="H1434" s="48">
        <f>[1]!BexGetData("DP_2","DL719O2RYNGN1RZRS91K7M4TV","17","E","22062103E201","2067253021")</f>
        <v>699.59</v>
      </c>
      <c r="I1434" s="48">
        <f>[1]!BexGetData("DP_2","DL719O2RYNIY3MZ1QVCEEWBN7","17","E","22062103E201","2067253021")</f>
        <v>0</v>
      </c>
    </row>
    <row r="1435" spans="1:9" x14ac:dyDescent="0.2">
      <c r="A1435" s="46" t="s">
        <v>32</v>
      </c>
      <c r="B1435" s="46" t="s">
        <v>32</v>
      </c>
      <c r="C1435" s="46" t="s">
        <v>32</v>
      </c>
      <c r="D1435" s="46" t="s">
        <v>32</v>
      </c>
      <c r="E1435" s="46" t="s">
        <v>32</v>
      </c>
      <c r="F1435" s="47">
        <f>[1]!BexGetData("DP_2","DL719O2RYNC0Y217V0FVT1R77","17","E","22062103E201","2067254021")</f>
        <v>1115.78</v>
      </c>
      <c r="G1435" s="48">
        <f>[1]!BexGetData("DP_2","DL719O2RYNEBZX0HTMQQ0BY0J","17","E","22062103E201","2067254021")</f>
        <v>1115.78</v>
      </c>
      <c r="H1435" s="48">
        <f>[1]!BexGetData("DP_2","DL719O2RYNGN1RZRS91K7M4TV","17","E","22062103E201","2067254021")</f>
        <v>1115.78</v>
      </c>
      <c r="I1435" s="48">
        <f>[1]!BexGetData("DP_2","DL719O2RYNIY3MZ1QVCEEWBN7","17","E","22062103E201","2067254021")</f>
        <v>0</v>
      </c>
    </row>
    <row r="1436" spans="1:9" x14ac:dyDescent="0.2">
      <c r="A1436" s="46" t="s">
        <v>32</v>
      </c>
      <c r="B1436" s="46" t="s">
        <v>32</v>
      </c>
      <c r="C1436" s="46" t="s">
        <v>32</v>
      </c>
      <c r="D1436" s="46" t="s">
        <v>32</v>
      </c>
      <c r="E1436" s="46" t="s">
        <v>32</v>
      </c>
      <c r="F1436" s="47">
        <f>[1]!BexGetData("DP_2","DL719O2RYNC0Y217V0FVT1R77","17","E","22062103E201","2067256011")</f>
        <v>31389.82</v>
      </c>
      <c r="G1436" s="48">
        <f>[1]!BexGetData("DP_2","DL719O2RYNEBZX0HTMQQ0BY0J","17","E","22062103E201","2067256011")</f>
        <v>31389.82</v>
      </c>
      <c r="H1436" s="48">
        <f>[1]!BexGetData("DP_2","DL719O2RYNGN1RZRS91K7M4TV","17","E","22062103E201","2067256011")</f>
        <v>18417.830000000002</v>
      </c>
      <c r="I1436" s="48">
        <f>[1]!BexGetData("DP_2","DL719O2RYNIY3MZ1QVCEEWBN7","17","E","22062103E201","2067256011")</f>
        <v>0</v>
      </c>
    </row>
    <row r="1437" spans="1:9" x14ac:dyDescent="0.2">
      <c r="A1437" s="46" t="s">
        <v>32</v>
      </c>
      <c r="B1437" s="46" t="s">
        <v>32</v>
      </c>
      <c r="C1437" s="46" t="s">
        <v>32</v>
      </c>
      <c r="D1437" s="46" t="s">
        <v>32</v>
      </c>
      <c r="E1437" s="46" t="s">
        <v>32</v>
      </c>
      <c r="F1437" s="47">
        <f>[1]!BexGetData("DP_2","DL719O2RYNC0Y217V0FVT1R77","17","E","22062103E201","2067261011")</f>
        <v>20176194.260000002</v>
      </c>
      <c r="G1437" s="48">
        <f>[1]!BexGetData("DP_2","DL719O2RYNEBZX0HTMQQ0BY0J","17","E","22062103E201","2067261011")</f>
        <v>20176194.260000002</v>
      </c>
      <c r="H1437" s="48">
        <f>[1]!BexGetData("DP_2","DL719O2RYNGN1RZRS91K7M4TV","17","E","22062103E201","2067261011")</f>
        <v>20176194.260000002</v>
      </c>
      <c r="I1437" s="48">
        <f>[1]!BexGetData("DP_2","DL719O2RYNIY3MZ1QVCEEWBN7","17","E","22062103E201","2067261011")</f>
        <v>0</v>
      </c>
    </row>
    <row r="1438" spans="1:9" x14ac:dyDescent="0.2">
      <c r="A1438" s="46" t="s">
        <v>32</v>
      </c>
      <c r="B1438" s="46" t="s">
        <v>32</v>
      </c>
      <c r="C1438" s="46" t="s">
        <v>32</v>
      </c>
      <c r="D1438" s="46" t="s">
        <v>32</v>
      </c>
      <c r="E1438" s="46" t="s">
        <v>32</v>
      </c>
      <c r="F1438" s="47">
        <f>[1]!BexGetData("DP_2","DL719O2RYNC0Y217V0FVT1R77","17","E","22062103E201","2067261021")</f>
        <v>381368.19</v>
      </c>
      <c r="G1438" s="48">
        <f>[1]!BexGetData("DP_2","DL719O2RYNEBZX0HTMQQ0BY0J","17","E","22062103E201","2067261021")</f>
        <v>381368.19</v>
      </c>
      <c r="H1438" s="48">
        <f>[1]!BexGetData("DP_2","DL719O2RYNGN1RZRS91K7M4TV","17","E","22062103E201","2067261021")</f>
        <v>150468.57999999999</v>
      </c>
      <c r="I1438" s="48">
        <f>[1]!BexGetData("DP_2","DL719O2RYNIY3MZ1QVCEEWBN7","17","E","22062103E201","2067261021")</f>
        <v>0</v>
      </c>
    </row>
    <row r="1439" spans="1:9" x14ac:dyDescent="0.2">
      <c r="A1439" s="46" t="s">
        <v>32</v>
      </c>
      <c r="B1439" s="46" t="s">
        <v>32</v>
      </c>
      <c r="C1439" s="46" t="s">
        <v>32</v>
      </c>
      <c r="D1439" s="46" t="s">
        <v>32</v>
      </c>
      <c r="E1439" s="46" t="s">
        <v>32</v>
      </c>
      <c r="F1439" s="47">
        <f>[1]!BexGetData("DP_2","DL719O2RYNC0Y217V0FVT1R77","17","E","22062103E201","2067272011")</f>
        <v>5238.57</v>
      </c>
      <c r="G1439" s="48">
        <f>[1]!BexGetData("DP_2","DL719O2RYNEBZX0HTMQQ0BY0J","17","E","22062103E201","2067272011")</f>
        <v>5238.57</v>
      </c>
      <c r="H1439" s="48">
        <f>[1]!BexGetData("DP_2","DL719O2RYNGN1RZRS91K7M4TV","17","E","22062103E201","2067272011")</f>
        <v>5238.57</v>
      </c>
      <c r="I1439" s="48">
        <f>[1]!BexGetData("DP_2","DL719O2RYNIY3MZ1QVCEEWBN7","17","E","22062103E201","2067272011")</f>
        <v>0</v>
      </c>
    </row>
    <row r="1440" spans="1:9" x14ac:dyDescent="0.2">
      <c r="A1440" s="46" t="s">
        <v>32</v>
      </c>
      <c r="B1440" s="46" t="s">
        <v>32</v>
      </c>
      <c r="C1440" s="46" t="s">
        <v>32</v>
      </c>
      <c r="D1440" s="46" t="s">
        <v>32</v>
      </c>
      <c r="E1440" s="46" t="s">
        <v>32</v>
      </c>
      <c r="F1440" s="47">
        <f>[1]!BexGetData("DP_2","DL719O2RYNC0Y217V0FVT1R77","17","E","22062103E201","2067274011")</f>
        <v>106652.43</v>
      </c>
      <c r="G1440" s="48">
        <f>[1]!BexGetData("DP_2","DL719O2RYNEBZX0HTMQQ0BY0J","17","E","22062103E201","2067274011")</f>
        <v>106652.43</v>
      </c>
      <c r="H1440" s="48">
        <f>[1]!BexGetData("DP_2","DL719O2RYNGN1RZRS91K7M4TV","17","E","22062103E201","2067274011")</f>
        <v>406</v>
      </c>
      <c r="I1440" s="48">
        <f>[1]!BexGetData("DP_2","DL719O2RYNIY3MZ1QVCEEWBN7","17","E","22062103E201","2067274011")</f>
        <v>0</v>
      </c>
    </row>
    <row r="1441" spans="1:9" x14ac:dyDescent="0.2">
      <c r="A1441" s="46" t="s">
        <v>32</v>
      </c>
      <c r="B1441" s="46" t="s">
        <v>32</v>
      </c>
      <c r="C1441" s="46" t="s">
        <v>32</v>
      </c>
      <c r="D1441" s="46" t="s">
        <v>32</v>
      </c>
      <c r="E1441" s="46" t="s">
        <v>32</v>
      </c>
      <c r="F1441" s="47">
        <f>[1]!BexGetData("DP_2","DL719O2RYNC0Y217V0FVT1R77","17","E","22062103E201","2067291011")</f>
        <v>168852.82</v>
      </c>
      <c r="G1441" s="48">
        <f>[1]!BexGetData("DP_2","DL719O2RYNEBZX0HTMQQ0BY0J","17","E","22062103E201","2067291011")</f>
        <v>168852.82</v>
      </c>
      <c r="H1441" s="48">
        <f>[1]!BexGetData("DP_2","DL719O2RYNGN1RZRS91K7M4TV","17","E","22062103E201","2067291011")</f>
        <v>168852.82</v>
      </c>
      <c r="I1441" s="48">
        <f>[1]!BexGetData("DP_2","DL719O2RYNIY3MZ1QVCEEWBN7","17","E","22062103E201","2067291011")</f>
        <v>0</v>
      </c>
    </row>
    <row r="1442" spans="1:9" x14ac:dyDescent="0.2">
      <c r="A1442" s="46" t="s">
        <v>32</v>
      </c>
      <c r="B1442" s="46" t="s">
        <v>32</v>
      </c>
      <c r="C1442" s="46" t="s">
        <v>32</v>
      </c>
      <c r="D1442" s="46" t="s">
        <v>32</v>
      </c>
      <c r="E1442" s="46" t="s">
        <v>32</v>
      </c>
      <c r="F1442" s="47">
        <f>[1]!BexGetData("DP_2","DL719O2RYNC0Y217V0FVT1R77","17","E","22062103E201","2067292011")</f>
        <v>9516.59</v>
      </c>
      <c r="G1442" s="48">
        <f>[1]!BexGetData("DP_2","DL719O2RYNEBZX0HTMQQ0BY0J","17","E","22062103E201","2067292011")</f>
        <v>9516.59</v>
      </c>
      <c r="H1442" s="48">
        <f>[1]!BexGetData("DP_2","DL719O2RYNGN1RZRS91K7M4TV","17","E","22062103E201","2067292011")</f>
        <v>9516.59</v>
      </c>
      <c r="I1442" s="48">
        <f>[1]!BexGetData("DP_2","DL719O2RYNIY3MZ1QVCEEWBN7","17","E","22062103E201","2067292011")</f>
        <v>0</v>
      </c>
    </row>
    <row r="1443" spans="1:9" x14ac:dyDescent="0.2">
      <c r="A1443" s="46" t="s">
        <v>32</v>
      </c>
      <c r="B1443" s="46" t="s">
        <v>32</v>
      </c>
      <c r="C1443" s="46" t="s">
        <v>32</v>
      </c>
      <c r="D1443" s="46" t="s">
        <v>32</v>
      </c>
      <c r="E1443" s="46" t="s">
        <v>32</v>
      </c>
      <c r="F1443" s="47">
        <f>[1]!BexGetData("DP_2","DL719O2RYNC0Y217V0FVT1R77","17","E","22062103E201","2067293091")</f>
        <v>0</v>
      </c>
      <c r="G1443" s="48">
        <f>[1]!BexGetData("DP_2","DL719O2RYNEBZX0HTMQQ0BY0J","17","E","22062103E201","2067293091")</f>
        <v>0</v>
      </c>
      <c r="H1443" s="48">
        <f>[1]!BexGetData("DP_2","DL719O2RYNGN1RZRS91K7M4TV","17","E","22062103E201","2067293091")</f>
        <v>0</v>
      </c>
      <c r="I1443" s="48">
        <f>[1]!BexGetData("DP_2","DL719O2RYNIY3MZ1QVCEEWBN7","17","E","22062103E201","2067293091")</f>
        <v>0</v>
      </c>
    </row>
    <row r="1444" spans="1:9" x14ac:dyDescent="0.2">
      <c r="A1444" s="46" t="s">
        <v>32</v>
      </c>
      <c r="B1444" s="46" t="s">
        <v>32</v>
      </c>
      <c r="C1444" s="46" t="s">
        <v>32</v>
      </c>
      <c r="D1444" s="46" t="s">
        <v>32</v>
      </c>
      <c r="E1444" s="46" t="s">
        <v>32</v>
      </c>
      <c r="F1444" s="47">
        <f>[1]!BexGetData("DP_2","DL719O2RYNC0Y217V0FVT1R77","17","E","22062103E201","2067296011")</f>
        <v>1700566.08</v>
      </c>
      <c r="G1444" s="48">
        <f>[1]!BexGetData("DP_2","DL719O2RYNEBZX0HTMQQ0BY0J","17","E","22062103E201","2067296011")</f>
        <v>1700566.08</v>
      </c>
      <c r="H1444" s="48">
        <f>[1]!BexGetData("DP_2","DL719O2RYNGN1RZRS91K7M4TV","17","E","22062103E201","2067296011")</f>
        <v>1218789.1499999999</v>
      </c>
      <c r="I1444" s="48">
        <f>[1]!BexGetData("DP_2","DL719O2RYNIY3MZ1QVCEEWBN7","17","E","22062103E201","2067296011")</f>
        <v>0</v>
      </c>
    </row>
    <row r="1445" spans="1:9" x14ac:dyDescent="0.2">
      <c r="A1445" s="46" t="s">
        <v>32</v>
      </c>
      <c r="B1445" s="46" t="s">
        <v>32</v>
      </c>
      <c r="C1445" s="46" t="s">
        <v>32</v>
      </c>
      <c r="D1445" s="46" t="s">
        <v>32</v>
      </c>
      <c r="E1445" s="46" t="s">
        <v>32</v>
      </c>
      <c r="F1445" s="47">
        <f>[1]!BexGetData("DP_2","DL719O2RYNC0Y217V0FVT1R77","17","E","22062103E201","2067298011")</f>
        <v>60401.26</v>
      </c>
      <c r="G1445" s="48">
        <f>[1]!BexGetData("DP_2","DL719O2RYNEBZX0HTMQQ0BY0J","17","E","22062103E201","2067298011")</f>
        <v>60401.26</v>
      </c>
      <c r="H1445" s="48">
        <f>[1]!BexGetData("DP_2","DL719O2RYNGN1RZRS91K7M4TV","17","E","22062103E201","2067298011")</f>
        <v>60401.26</v>
      </c>
      <c r="I1445" s="48">
        <f>[1]!BexGetData("DP_2","DL719O2RYNIY3MZ1QVCEEWBN7","17","E","22062103E201","2067298011")</f>
        <v>0</v>
      </c>
    </row>
    <row r="1446" spans="1:9" x14ac:dyDescent="0.2">
      <c r="A1446" s="46" t="s">
        <v>32</v>
      </c>
      <c r="B1446" s="46" t="s">
        <v>32</v>
      </c>
      <c r="C1446" s="46" t="s">
        <v>32</v>
      </c>
      <c r="D1446" s="46" t="s">
        <v>32</v>
      </c>
      <c r="E1446" s="46" t="s">
        <v>32</v>
      </c>
      <c r="F1446" s="47">
        <f>[1]!BexGetData("DP_2","DL719O2RYNC0Y217V0FVT1R77","17","E","22062103E201","2067298041")</f>
        <v>7624.18</v>
      </c>
      <c r="G1446" s="48">
        <f>[1]!BexGetData("DP_2","DL719O2RYNEBZX0HTMQQ0BY0J","17","E","22062103E201","2067298041")</f>
        <v>7624.18</v>
      </c>
      <c r="H1446" s="48">
        <f>[1]!BexGetData("DP_2","DL719O2RYNGN1RZRS91K7M4TV","17","E","22062103E201","2067298041")</f>
        <v>7624.18</v>
      </c>
      <c r="I1446" s="48">
        <f>[1]!BexGetData("DP_2","DL719O2RYNIY3MZ1QVCEEWBN7","17","E","22062103E201","2067298041")</f>
        <v>0</v>
      </c>
    </row>
    <row r="1447" spans="1:9" x14ac:dyDescent="0.2">
      <c r="A1447" s="46" t="s">
        <v>32</v>
      </c>
      <c r="B1447" s="46" t="s">
        <v>32</v>
      </c>
      <c r="C1447" s="46" t="s">
        <v>32</v>
      </c>
      <c r="D1447" s="46" t="s">
        <v>32</v>
      </c>
      <c r="E1447" s="46" t="s">
        <v>32</v>
      </c>
      <c r="F1447" s="47">
        <f>[1]!BexGetData("DP_2","DL719O2RYNC0Y217V0FVT1R77","17","E","22062103E201","2067298051")</f>
        <v>0</v>
      </c>
      <c r="G1447" s="48">
        <f>[1]!BexGetData("DP_2","DL719O2RYNEBZX0HTMQQ0BY0J","17","E","22062103E201","2067298051")</f>
        <v>0</v>
      </c>
      <c r="H1447" s="48">
        <f>[1]!BexGetData("DP_2","DL719O2RYNGN1RZRS91K7M4TV","17","E","22062103E201","2067298051")</f>
        <v>0</v>
      </c>
      <c r="I1447" s="48">
        <f>[1]!BexGetData("DP_2","DL719O2RYNIY3MZ1QVCEEWBN7","17","E","22062103E201","2067298051")</f>
        <v>0</v>
      </c>
    </row>
    <row r="1448" spans="1:9" x14ac:dyDescent="0.2">
      <c r="A1448" s="46" t="s">
        <v>32</v>
      </c>
      <c r="B1448" s="46" t="s">
        <v>32</v>
      </c>
      <c r="C1448" s="46" t="s">
        <v>32</v>
      </c>
      <c r="D1448" s="46" t="s">
        <v>32</v>
      </c>
      <c r="E1448" s="46" t="s">
        <v>32</v>
      </c>
      <c r="F1448" s="47">
        <f>[1]!BexGetData("DP_2","DL719O2RYNC0Y217V0FVT1R77","17","E","22062103E201","2067311011")</f>
        <v>133659.81</v>
      </c>
      <c r="G1448" s="48">
        <f>[1]!BexGetData("DP_2","DL719O2RYNEBZX0HTMQQ0BY0J","17","E","22062103E201","2067311011")</f>
        <v>133659.81</v>
      </c>
      <c r="H1448" s="48">
        <f>[1]!BexGetData("DP_2","DL719O2RYNGN1RZRS91K7M4TV","17","E","22062103E201","2067311011")</f>
        <v>133489.81</v>
      </c>
      <c r="I1448" s="48">
        <f>[1]!BexGetData("DP_2","DL719O2RYNIY3MZ1QVCEEWBN7","17","E","22062103E201","2067311011")</f>
        <v>0</v>
      </c>
    </row>
    <row r="1449" spans="1:9" x14ac:dyDescent="0.2">
      <c r="A1449" s="46" t="s">
        <v>32</v>
      </c>
      <c r="B1449" s="46" t="s">
        <v>32</v>
      </c>
      <c r="C1449" s="46" t="s">
        <v>32</v>
      </c>
      <c r="D1449" s="46" t="s">
        <v>32</v>
      </c>
      <c r="E1449" s="46" t="s">
        <v>32</v>
      </c>
      <c r="F1449" s="47">
        <f>[1]!BexGetData("DP_2","DL719O2RYNC0Y217V0FVT1R77","17","E","22062103E201","2067311021")</f>
        <v>0</v>
      </c>
      <c r="G1449" s="48">
        <f>[1]!BexGetData("DP_2","DL719O2RYNEBZX0HTMQQ0BY0J","17","E","22062103E201","2067311021")</f>
        <v>0</v>
      </c>
      <c r="H1449" s="48">
        <f>[1]!BexGetData("DP_2","DL719O2RYNGN1RZRS91K7M4TV","17","E","22062103E201","2067311021")</f>
        <v>0</v>
      </c>
      <c r="I1449" s="48">
        <f>[1]!BexGetData("DP_2","DL719O2RYNIY3MZ1QVCEEWBN7","17","E","22062103E201","2067311021")</f>
        <v>0</v>
      </c>
    </row>
    <row r="1450" spans="1:9" x14ac:dyDescent="0.2">
      <c r="A1450" s="46" t="s">
        <v>32</v>
      </c>
      <c r="B1450" s="46" t="s">
        <v>32</v>
      </c>
      <c r="C1450" s="46" t="s">
        <v>32</v>
      </c>
      <c r="D1450" s="46" t="s">
        <v>32</v>
      </c>
      <c r="E1450" s="46" t="s">
        <v>32</v>
      </c>
      <c r="F1450" s="47">
        <f>[1]!BexGetData("DP_2","DL719O2RYNC0Y217V0FVT1R77","17","E","22062103E201","2067313011")</f>
        <v>11212</v>
      </c>
      <c r="G1450" s="48">
        <f>[1]!BexGetData("DP_2","DL719O2RYNEBZX0HTMQQ0BY0J","17","E","22062103E201","2067313011")</f>
        <v>11212</v>
      </c>
      <c r="H1450" s="48">
        <f>[1]!BexGetData("DP_2","DL719O2RYNGN1RZRS91K7M4TV","17","E","22062103E201","2067313011")</f>
        <v>11212</v>
      </c>
      <c r="I1450" s="48">
        <f>[1]!BexGetData("DP_2","DL719O2RYNIY3MZ1QVCEEWBN7","17","E","22062103E201","2067313011")</f>
        <v>0</v>
      </c>
    </row>
    <row r="1451" spans="1:9" x14ac:dyDescent="0.2">
      <c r="A1451" s="46" t="s">
        <v>32</v>
      </c>
      <c r="B1451" s="46" t="s">
        <v>32</v>
      </c>
      <c r="C1451" s="46" t="s">
        <v>32</v>
      </c>
      <c r="D1451" s="46" t="s">
        <v>32</v>
      </c>
      <c r="E1451" s="46" t="s">
        <v>32</v>
      </c>
      <c r="F1451" s="47">
        <f>[1]!BexGetData("DP_2","DL719O2RYNC0Y217V0FVT1R77","17","E","22062103E201","2067314011")</f>
        <v>27971.55</v>
      </c>
      <c r="G1451" s="48">
        <f>[1]!BexGetData("DP_2","DL719O2RYNEBZX0HTMQQ0BY0J","17","E","22062103E201","2067314011")</f>
        <v>27971.55</v>
      </c>
      <c r="H1451" s="48">
        <f>[1]!BexGetData("DP_2","DL719O2RYNGN1RZRS91K7M4TV","17","E","22062103E201","2067314011")</f>
        <v>27971.55</v>
      </c>
      <c r="I1451" s="48">
        <f>[1]!BexGetData("DP_2","DL719O2RYNIY3MZ1QVCEEWBN7","17","E","22062103E201","2067314011")</f>
        <v>0</v>
      </c>
    </row>
    <row r="1452" spans="1:9" x14ac:dyDescent="0.2">
      <c r="A1452" s="46" t="s">
        <v>32</v>
      </c>
      <c r="B1452" s="46" t="s">
        <v>32</v>
      </c>
      <c r="C1452" s="46" t="s">
        <v>32</v>
      </c>
      <c r="D1452" s="46" t="s">
        <v>32</v>
      </c>
      <c r="E1452" s="46" t="s">
        <v>32</v>
      </c>
      <c r="F1452" s="47">
        <f>[1]!BexGetData("DP_2","DL719O2RYNC0Y217V0FVT1R77","17","E","22062103E201","2067315011")</f>
        <v>0</v>
      </c>
      <c r="G1452" s="48">
        <f>[1]!BexGetData("DP_2","DL719O2RYNEBZX0HTMQQ0BY0J","17","E","22062103E201","2067315011")</f>
        <v>0</v>
      </c>
      <c r="H1452" s="48">
        <f>[1]!BexGetData("DP_2","DL719O2RYNGN1RZRS91K7M4TV","17","E","22062103E201","2067315011")</f>
        <v>0</v>
      </c>
      <c r="I1452" s="48">
        <f>[1]!BexGetData("DP_2","DL719O2RYNIY3MZ1QVCEEWBN7","17","E","22062103E201","2067315011")</f>
        <v>0</v>
      </c>
    </row>
    <row r="1453" spans="1:9" x14ac:dyDescent="0.2">
      <c r="A1453" s="46" t="s">
        <v>32</v>
      </c>
      <c r="B1453" s="46" t="s">
        <v>32</v>
      </c>
      <c r="C1453" s="46" t="s">
        <v>32</v>
      </c>
      <c r="D1453" s="46" t="s">
        <v>32</v>
      </c>
      <c r="E1453" s="46" t="s">
        <v>32</v>
      </c>
      <c r="F1453" s="47">
        <f>[1]!BexGetData("DP_2","DL719O2RYNC0Y217V0FVT1R77","17","E","22062103E201","2067316021")</f>
        <v>0</v>
      </c>
      <c r="G1453" s="48">
        <f>[1]!BexGetData("DP_2","DL719O2RYNEBZX0HTMQQ0BY0J","17","E","22062103E201","2067316021")</f>
        <v>0</v>
      </c>
      <c r="H1453" s="48">
        <f>[1]!BexGetData("DP_2","DL719O2RYNGN1RZRS91K7M4TV","17","E","22062103E201","2067316021")</f>
        <v>0</v>
      </c>
      <c r="I1453" s="48">
        <f>[1]!BexGetData("DP_2","DL719O2RYNIY3MZ1QVCEEWBN7","17","E","22062103E201","2067316021")</f>
        <v>0</v>
      </c>
    </row>
    <row r="1454" spans="1:9" x14ac:dyDescent="0.2">
      <c r="A1454" s="46" t="s">
        <v>32</v>
      </c>
      <c r="B1454" s="46" t="s">
        <v>32</v>
      </c>
      <c r="C1454" s="46" t="s">
        <v>32</v>
      </c>
      <c r="D1454" s="46" t="s">
        <v>32</v>
      </c>
      <c r="E1454" s="46" t="s">
        <v>32</v>
      </c>
      <c r="F1454" s="47">
        <f>[1]!BexGetData("DP_2","DL719O2RYNC0Y217V0FVT1R77","17","E","22062103E201","2067318011")</f>
        <v>0</v>
      </c>
      <c r="G1454" s="48">
        <f>[1]!BexGetData("DP_2","DL719O2RYNEBZX0HTMQQ0BY0J","17","E","22062103E201","2067318011")</f>
        <v>0</v>
      </c>
      <c r="H1454" s="48">
        <f>[1]!BexGetData("DP_2","DL719O2RYNGN1RZRS91K7M4TV","17","E","22062103E201","2067318011")</f>
        <v>0</v>
      </c>
      <c r="I1454" s="48">
        <f>[1]!BexGetData("DP_2","DL719O2RYNIY3MZ1QVCEEWBN7","17","E","22062103E201","2067318011")</f>
        <v>0</v>
      </c>
    </row>
    <row r="1455" spans="1:9" x14ac:dyDescent="0.2">
      <c r="A1455" s="46" t="s">
        <v>32</v>
      </c>
      <c r="B1455" s="46" t="s">
        <v>32</v>
      </c>
      <c r="C1455" s="46" t="s">
        <v>32</v>
      </c>
      <c r="D1455" s="46" t="s">
        <v>32</v>
      </c>
      <c r="E1455" s="46" t="s">
        <v>32</v>
      </c>
      <c r="F1455" s="47">
        <f>[1]!BexGetData("DP_2","DL719O2RYNC0Y217V0FVT1R77","17","E","22062103E201","2067322011")</f>
        <v>1246633.68</v>
      </c>
      <c r="G1455" s="48">
        <f>[1]!BexGetData("DP_2","DL719O2RYNEBZX0HTMQQ0BY0J","17","E","22062103E201","2067322011")</f>
        <v>1246633.68</v>
      </c>
      <c r="H1455" s="48">
        <f>[1]!BexGetData("DP_2","DL719O2RYNGN1RZRS91K7M4TV","17","E","22062103E201","2067322011")</f>
        <v>1142747.54</v>
      </c>
      <c r="I1455" s="48">
        <f>[1]!BexGetData("DP_2","DL719O2RYNIY3MZ1QVCEEWBN7","17","E","22062103E201","2067322011")</f>
        <v>0</v>
      </c>
    </row>
    <row r="1456" spans="1:9" x14ac:dyDescent="0.2">
      <c r="A1456" s="46" t="s">
        <v>32</v>
      </c>
      <c r="B1456" s="46" t="s">
        <v>32</v>
      </c>
      <c r="C1456" s="46" t="s">
        <v>32</v>
      </c>
      <c r="D1456" s="46" t="s">
        <v>32</v>
      </c>
      <c r="E1456" s="46" t="s">
        <v>32</v>
      </c>
      <c r="F1456" s="47">
        <f>[1]!BexGetData("DP_2","DL719O2RYNC0Y217V0FVT1R77","17","E","22062103E201","2067326011")</f>
        <v>552300</v>
      </c>
      <c r="G1456" s="48">
        <f>[1]!BexGetData("DP_2","DL719O2RYNEBZX0HTMQQ0BY0J","17","E","22062103E201","2067326011")</f>
        <v>552300</v>
      </c>
      <c r="H1456" s="48">
        <f>[1]!BexGetData("DP_2","DL719O2RYNGN1RZRS91K7M4TV","17","E","22062103E201","2067326011")</f>
        <v>552300</v>
      </c>
      <c r="I1456" s="48">
        <f>[1]!BexGetData("DP_2","DL719O2RYNIY3MZ1QVCEEWBN7","17","E","22062103E201","2067326011")</f>
        <v>0</v>
      </c>
    </row>
    <row r="1457" spans="1:9" x14ac:dyDescent="0.2">
      <c r="A1457" s="46" t="s">
        <v>32</v>
      </c>
      <c r="B1457" s="46" t="s">
        <v>32</v>
      </c>
      <c r="C1457" s="46" t="s">
        <v>32</v>
      </c>
      <c r="D1457" s="46" t="s">
        <v>32</v>
      </c>
      <c r="E1457" s="46" t="s">
        <v>32</v>
      </c>
      <c r="F1457" s="47">
        <f>[1]!BexGetData("DP_2","DL719O2RYNC0Y217V0FVT1R77","17","E","22062103E201","2067329011")</f>
        <v>104.4</v>
      </c>
      <c r="G1457" s="48">
        <f>[1]!BexGetData("DP_2","DL719O2RYNEBZX0HTMQQ0BY0J","17","E","22062103E201","2067329011")</f>
        <v>104.4</v>
      </c>
      <c r="H1457" s="48">
        <f>[1]!BexGetData("DP_2","DL719O2RYNGN1RZRS91K7M4TV","17","E","22062103E201","2067329011")</f>
        <v>104.4</v>
      </c>
      <c r="I1457" s="48">
        <f>[1]!BexGetData("DP_2","DL719O2RYNIY3MZ1QVCEEWBN7","17","E","22062103E201","2067329011")</f>
        <v>0</v>
      </c>
    </row>
    <row r="1458" spans="1:9" x14ac:dyDescent="0.2">
      <c r="A1458" s="46" t="s">
        <v>32</v>
      </c>
      <c r="B1458" s="46" t="s">
        <v>32</v>
      </c>
      <c r="C1458" s="46" t="s">
        <v>32</v>
      </c>
      <c r="D1458" s="46" t="s">
        <v>32</v>
      </c>
      <c r="E1458" s="46" t="s">
        <v>32</v>
      </c>
      <c r="F1458" s="47">
        <f>[1]!BexGetData("DP_2","DL719O2RYNC0Y217V0FVT1R77","17","E","22062103E201","2067336011")</f>
        <v>154440.03</v>
      </c>
      <c r="G1458" s="48">
        <f>[1]!BexGetData("DP_2","DL719O2RYNEBZX0HTMQQ0BY0J","17","E","22062103E201","2067336011")</f>
        <v>154440.03</v>
      </c>
      <c r="H1458" s="48">
        <f>[1]!BexGetData("DP_2","DL719O2RYNGN1RZRS91K7M4TV","17","E","22062103E201","2067336011")</f>
        <v>138755.67000000001</v>
      </c>
      <c r="I1458" s="48">
        <f>[1]!BexGetData("DP_2","DL719O2RYNIY3MZ1QVCEEWBN7","17","E","22062103E201","2067336011")</f>
        <v>0</v>
      </c>
    </row>
    <row r="1459" spans="1:9" x14ac:dyDescent="0.2">
      <c r="A1459" s="46" t="s">
        <v>32</v>
      </c>
      <c r="B1459" s="46" t="s">
        <v>32</v>
      </c>
      <c r="C1459" s="46" t="s">
        <v>32</v>
      </c>
      <c r="D1459" s="46" t="s">
        <v>32</v>
      </c>
      <c r="E1459" s="46" t="s">
        <v>32</v>
      </c>
      <c r="F1459" s="47">
        <f>[1]!BexGetData("DP_2","DL719O2RYNC0Y217V0FVT1R77","17","E","22062103E201","2067347011")</f>
        <v>15950</v>
      </c>
      <c r="G1459" s="48">
        <f>[1]!BexGetData("DP_2","DL719O2RYNEBZX0HTMQQ0BY0J","17","E","22062103E201","2067347011")</f>
        <v>15950</v>
      </c>
      <c r="H1459" s="48">
        <f>[1]!BexGetData("DP_2","DL719O2RYNGN1RZRS91K7M4TV","17","E","22062103E201","2067347011")</f>
        <v>1740</v>
      </c>
      <c r="I1459" s="48">
        <f>[1]!BexGetData("DP_2","DL719O2RYNIY3MZ1QVCEEWBN7","17","E","22062103E201","2067347011")</f>
        <v>0</v>
      </c>
    </row>
    <row r="1460" spans="1:9" x14ac:dyDescent="0.2">
      <c r="A1460" s="46" t="s">
        <v>32</v>
      </c>
      <c r="B1460" s="46" t="s">
        <v>32</v>
      </c>
      <c r="C1460" s="46" t="s">
        <v>32</v>
      </c>
      <c r="D1460" s="46" t="s">
        <v>32</v>
      </c>
      <c r="E1460" s="46" t="s">
        <v>32</v>
      </c>
      <c r="F1460" s="47">
        <f>[1]!BexGetData("DP_2","DL719O2RYNC0Y217V0FVT1R77","17","E","22062103E201","2067351011")</f>
        <v>2784</v>
      </c>
      <c r="G1460" s="48">
        <f>[1]!BexGetData("DP_2","DL719O2RYNEBZX0HTMQQ0BY0J","17","E","22062103E201","2067351011")</f>
        <v>2784</v>
      </c>
      <c r="H1460" s="48">
        <f>[1]!BexGetData("DP_2","DL719O2RYNGN1RZRS91K7M4TV","17","E","22062103E201","2067351011")</f>
        <v>2784</v>
      </c>
      <c r="I1460" s="48">
        <f>[1]!BexGetData("DP_2","DL719O2RYNIY3MZ1QVCEEWBN7","17","E","22062103E201","2067351011")</f>
        <v>0</v>
      </c>
    </row>
    <row r="1461" spans="1:9" x14ac:dyDescent="0.2">
      <c r="A1461" s="46" t="s">
        <v>32</v>
      </c>
      <c r="B1461" s="46" t="s">
        <v>32</v>
      </c>
      <c r="C1461" s="46" t="s">
        <v>32</v>
      </c>
      <c r="D1461" s="46" t="s">
        <v>32</v>
      </c>
      <c r="E1461" s="46" t="s">
        <v>32</v>
      </c>
      <c r="F1461" s="47">
        <f>[1]!BexGetData("DP_2","DL719O2RYNC0Y217V0FVT1R77","17","E","22062103E201","2067351021")</f>
        <v>55013</v>
      </c>
      <c r="G1461" s="48">
        <f>[1]!BexGetData("DP_2","DL719O2RYNEBZX0HTMQQ0BY0J","17","E","22062103E201","2067351021")</f>
        <v>55013</v>
      </c>
      <c r="H1461" s="48">
        <f>[1]!BexGetData("DP_2","DL719O2RYNGN1RZRS91K7M4TV","17","E","22062103E201","2067351021")</f>
        <v>0</v>
      </c>
      <c r="I1461" s="48">
        <f>[1]!BexGetData("DP_2","DL719O2RYNIY3MZ1QVCEEWBN7","17","E","22062103E201","2067351021")</f>
        <v>0</v>
      </c>
    </row>
    <row r="1462" spans="1:9" x14ac:dyDescent="0.2">
      <c r="A1462" s="46" t="s">
        <v>32</v>
      </c>
      <c r="B1462" s="46" t="s">
        <v>32</v>
      </c>
      <c r="C1462" s="46" t="s">
        <v>32</v>
      </c>
      <c r="D1462" s="46" t="s">
        <v>32</v>
      </c>
      <c r="E1462" s="46" t="s">
        <v>32</v>
      </c>
      <c r="F1462" s="47">
        <f>[1]!BexGetData("DP_2","DL719O2RYNC0Y217V0FVT1R77","17","E","22062103E201","2067352091")</f>
        <v>3584.4</v>
      </c>
      <c r="G1462" s="48">
        <f>[1]!BexGetData("DP_2","DL719O2RYNEBZX0HTMQQ0BY0J","17","E","22062103E201","2067352091")</f>
        <v>3584.4</v>
      </c>
      <c r="H1462" s="48">
        <f>[1]!BexGetData("DP_2","DL719O2RYNGN1RZRS91K7M4TV","17","E","22062103E201","2067352091")</f>
        <v>3584.4</v>
      </c>
      <c r="I1462" s="48">
        <f>[1]!BexGetData("DP_2","DL719O2RYNIY3MZ1QVCEEWBN7","17","E","22062103E201","2067352091")</f>
        <v>0</v>
      </c>
    </row>
    <row r="1463" spans="1:9" x14ac:dyDescent="0.2">
      <c r="A1463" s="46" t="s">
        <v>32</v>
      </c>
      <c r="B1463" s="46" t="s">
        <v>32</v>
      </c>
      <c r="C1463" s="46" t="s">
        <v>32</v>
      </c>
      <c r="D1463" s="46" t="s">
        <v>32</v>
      </c>
      <c r="E1463" s="46" t="s">
        <v>32</v>
      </c>
      <c r="F1463" s="47">
        <f>[1]!BexGetData("DP_2","DL719O2RYNC0Y217V0FVT1R77","17","E","22062103E201","2067355011")</f>
        <v>4952216.55</v>
      </c>
      <c r="G1463" s="48">
        <f>[1]!BexGetData("DP_2","DL719O2RYNEBZX0HTMQQ0BY0J","17","E","22062103E201","2067355011")</f>
        <v>4952216.55</v>
      </c>
      <c r="H1463" s="48">
        <f>[1]!BexGetData("DP_2","DL719O2RYNGN1RZRS91K7M4TV","17","E","22062103E201","2067355011")</f>
        <v>3999094.88</v>
      </c>
      <c r="I1463" s="48">
        <f>[1]!BexGetData("DP_2","DL719O2RYNIY3MZ1QVCEEWBN7","17","E","22062103E201","2067355011")</f>
        <v>0</v>
      </c>
    </row>
    <row r="1464" spans="1:9" x14ac:dyDescent="0.2">
      <c r="A1464" s="46" t="s">
        <v>32</v>
      </c>
      <c r="B1464" s="46" t="s">
        <v>32</v>
      </c>
      <c r="C1464" s="46" t="s">
        <v>32</v>
      </c>
      <c r="D1464" s="46" t="s">
        <v>32</v>
      </c>
      <c r="E1464" s="46" t="s">
        <v>32</v>
      </c>
      <c r="F1464" s="47">
        <f>[1]!BexGetData("DP_2","DL719O2RYNC0Y217V0FVT1R77","17","E","22062103E201","2067357011")</f>
        <v>371367.79</v>
      </c>
      <c r="G1464" s="48">
        <f>[1]!BexGetData("DP_2","DL719O2RYNEBZX0HTMQQ0BY0J","17","E","22062103E201","2067357011")</f>
        <v>371367.79</v>
      </c>
      <c r="H1464" s="48">
        <f>[1]!BexGetData("DP_2","DL719O2RYNGN1RZRS91K7M4TV","17","E","22062103E201","2067357011")</f>
        <v>175187.45</v>
      </c>
      <c r="I1464" s="48">
        <f>[1]!BexGetData("DP_2","DL719O2RYNIY3MZ1QVCEEWBN7","17","E","22062103E201","2067357011")</f>
        <v>0</v>
      </c>
    </row>
    <row r="1465" spans="1:9" x14ac:dyDescent="0.2">
      <c r="A1465" s="46" t="s">
        <v>32</v>
      </c>
      <c r="B1465" s="46" t="s">
        <v>32</v>
      </c>
      <c r="C1465" s="46" t="s">
        <v>32</v>
      </c>
      <c r="D1465" s="46" t="s">
        <v>32</v>
      </c>
      <c r="E1465" s="46" t="s">
        <v>32</v>
      </c>
      <c r="F1465" s="47">
        <f>[1]!BexGetData("DP_2","DL719O2RYNC0Y217V0FVT1R77","17","E","22062103E201","2067357051")</f>
        <v>43546.15</v>
      </c>
      <c r="G1465" s="48">
        <f>[1]!BexGetData("DP_2","DL719O2RYNEBZX0HTMQQ0BY0J","17","E","22062103E201","2067357051")</f>
        <v>43546.15</v>
      </c>
      <c r="H1465" s="48">
        <f>[1]!BexGetData("DP_2","DL719O2RYNGN1RZRS91K7M4TV","17","E","22062103E201","2067357051")</f>
        <v>43546.15</v>
      </c>
      <c r="I1465" s="48">
        <f>[1]!BexGetData("DP_2","DL719O2RYNIY3MZ1QVCEEWBN7","17","E","22062103E201","2067357051")</f>
        <v>0</v>
      </c>
    </row>
    <row r="1466" spans="1:9" x14ac:dyDescent="0.2">
      <c r="A1466" s="46" t="s">
        <v>32</v>
      </c>
      <c r="B1466" s="46" t="s">
        <v>32</v>
      </c>
      <c r="C1466" s="46" t="s">
        <v>32</v>
      </c>
      <c r="D1466" s="46" t="s">
        <v>32</v>
      </c>
      <c r="E1466" s="46" t="s">
        <v>32</v>
      </c>
      <c r="F1466" s="47">
        <f>[1]!BexGetData("DP_2","DL719O2RYNC0Y217V0FVT1R77","17","E","22062103E201","2067371011")</f>
        <v>43618.76</v>
      </c>
      <c r="G1466" s="48">
        <f>[1]!BexGetData("DP_2","DL719O2RYNEBZX0HTMQQ0BY0J","17","E","22062103E201","2067371011")</f>
        <v>43618.76</v>
      </c>
      <c r="H1466" s="48">
        <f>[1]!BexGetData("DP_2","DL719O2RYNGN1RZRS91K7M4TV","17","E","22062103E201","2067371011")</f>
        <v>13678.72</v>
      </c>
      <c r="I1466" s="48">
        <f>[1]!BexGetData("DP_2","DL719O2RYNIY3MZ1QVCEEWBN7","17","E","22062103E201","2067371011")</f>
        <v>0</v>
      </c>
    </row>
    <row r="1467" spans="1:9" x14ac:dyDescent="0.2">
      <c r="A1467" s="46" t="s">
        <v>32</v>
      </c>
      <c r="B1467" s="46" t="s">
        <v>32</v>
      </c>
      <c r="C1467" s="46" t="s">
        <v>32</v>
      </c>
      <c r="D1467" s="46" t="s">
        <v>32</v>
      </c>
      <c r="E1467" s="46" t="s">
        <v>32</v>
      </c>
      <c r="F1467" s="47">
        <f>[1]!BexGetData("DP_2","DL719O2RYNC0Y217V0FVT1R77","17","E","22062103E201","2067371021")</f>
        <v>0</v>
      </c>
      <c r="G1467" s="48">
        <f>[1]!BexGetData("DP_2","DL719O2RYNEBZX0HTMQQ0BY0J","17","E","22062103E201","2067371021")</f>
        <v>0</v>
      </c>
      <c r="H1467" s="48">
        <f>[1]!BexGetData("DP_2","DL719O2RYNGN1RZRS91K7M4TV","17","E","22062103E201","2067371021")</f>
        <v>0</v>
      </c>
      <c r="I1467" s="48">
        <f>[1]!BexGetData("DP_2","DL719O2RYNIY3MZ1QVCEEWBN7","17","E","22062103E201","2067371021")</f>
        <v>0</v>
      </c>
    </row>
    <row r="1468" spans="1:9" x14ac:dyDescent="0.2">
      <c r="A1468" s="46" t="s">
        <v>32</v>
      </c>
      <c r="B1468" s="46" t="s">
        <v>32</v>
      </c>
      <c r="C1468" s="46" t="s">
        <v>32</v>
      </c>
      <c r="D1468" s="46" t="s">
        <v>32</v>
      </c>
      <c r="E1468" s="46" t="s">
        <v>32</v>
      </c>
      <c r="F1468" s="47">
        <f>[1]!BexGetData("DP_2","DL719O2RYNC0Y217V0FVT1R77","17","E","22062103E201","2067372011")</f>
        <v>9819.98</v>
      </c>
      <c r="G1468" s="48">
        <f>[1]!BexGetData("DP_2","DL719O2RYNEBZX0HTMQQ0BY0J","17","E","22062103E201","2067372011")</f>
        <v>9819.98</v>
      </c>
      <c r="H1468" s="48">
        <f>[1]!BexGetData("DP_2","DL719O2RYNGN1RZRS91K7M4TV","17","E","22062103E201","2067372011")</f>
        <v>9819.98</v>
      </c>
      <c r="I1468" s="48">
        <f>[1]!BexGetData("DP_2","DL719O2RYNIY3MZ1QVCEEWBN7","17","E","22062103E201","2067372011")</f>
        <v>0</v>
      </c>
    </row>
    <row r="1469" spans="1:9" x14ac:dyDescent="0.2">
      <c r="A1469" s="46" t="s">
        <v>32</v>
      </c>
      <c r="B1469" s="46" t="s">
        <v>32</v>
      </c>
      <c r="C1469" s="46" t="s">
        <v>32</v>
      </c>
      <c r="D1469" s="46" t="s">
        <v>32</v>
      </c>
      <c r="E1469" s="46" t="s">
        <v>32</v>
      </c>
      <c r="F1469" s="47">
        <f>[1]!BexGetData("DP_2","DL719O2RYNC0Y217V0FVT1R77","17","E","22062103E201","2067375011")</f>
        <v>1775</v>
      </c>
      <c r="G1469" s="48">
        <f>[1]!BexGetData("DP_2","DL719O2RYNEBZX0HTMQQ0BY0J","17","E","22062103E201","2067375011")</f>
        <v>1775</v>
      </c>
      <c r="H1469" s="48">
        <f>[1]!BexGetData("DP_2","DL719O2RYNGN1RZRS91K7M4TV","17","E","22062103E201","2067375011")</f>
        <v>1775</v>
      </c>
      <c r="I1469" s="48">
        <f>[1]!BexGetData("DP_2","DL719O2RYNIY3MZ1QVCEEWBN7","17","E","22062103E201","2067375011")</f>
        <v>0</v>
      </c>
    </row>
    <row r="1470" spans="1:9" x14ac:dyDescent="0.2">
      <c r="A1470" s="46" t="s">
        <v>32</v>
      </c>
      <c r="B1470" s="46" t="s">
        <v>32</v>
      </c>
      <c r="C1470" s="46" t="s">
        <v>32</v>
      </c>
      <c r="D1470" s="46" t="s">
        <v>32</v>
      </c>
      <c r="E1470" s="46" t="s">
        <v>32</v>
      </c>
      <c r="F1470" s="47">
        <f>[1]!BexGetData("DP_2","DL719O2RYNC0Y217V0FVT1R77","17","E","22062103E201","2067375021")</f>
        <v>0</v>
      </c>
      <c r="G1470" s="48">
        <f>[1]!BexGetData("DP_2","DL719O2RYNEBZX0HTMQQ0BY0J","17","E","22062103E201","2067375021")</f>
        <v>0</v>
      </c>
      <c r="H1470" s="48">
        <f>[1]!BexGetData("DP_2","DL719O2RYNGN1RZRS91K7M4TV","17","E","22062103E201","2067375021")</f>
        <v>0</v>
      </c>
      <c r="I1470" s="48">
        <f>[1]!BexGetData("DP_2","DL719O2RYNIY3MZ1QVCEEWBN7","17","E","22062103E201","2067375021")</f>
        <v>0</v>
      </c>
    </row>
    <row r="1471" spans="1:9" x14ac:dyDescent="0.2">
      <c r="A1471" s="46" t="s">
        <v>32</v>
      </c>
      <c r="B1471" s="46" t="s">
        <v>32</v>
      </c>
      <c r="C1471" s="46" t="s">
        <v>32</v>
      </c>
      <c r="D1471" s="46" t="s">
        <v>32</v>
      </c>
      <c r="E1471" s="46" t="s">
        <v>32</v>
      </c>
      <c r="F1471" s="47">
        <f>[1]!BexGetData("DP_2","DL719O2RYNC0Y217V0FVT1R77","17","E","22062103E201","2067395011")</f>
        <v>1710024</v>
      </c>
      <c r="G1471" s="48">
        <f>[1]!BexGetData("DP_2","DL719O2RYNEBZX0HTMQQ0BY0J","17","E","22062103E201","2067395011")</f>
        <v>1710024</v>
      </c>
      <c r="H1471" s="48">
        <f>[1]!BexGetData("DP_2","DL719O2RYNGN1RZRS91K7M4TV","17","E","22062103E201","2067395011")</f>
        <v>1525600</v>
      </c>
      <c r="I1471" s="48">
        <f>[1]!BexGetData("DP_2","DL719O2RYNIY3MZ1QVCEEWBN7","17","E","22062103E201","2067395011")</f>
        <v>0</v>
      </c>
    </row>
    <row r="1472" spans="1:9" x14ac:dyDescent="0.2">
      <c r="A1472" s="46" t="s">
        <v>32</v>
      </c>
      <c r="B1472" s="46" t="s">
        <v>32</v>
      </c>
      <c r="C1472" s="46" t="s">
        <v>32</v>
      </c>
      <c r="D1472" s="46" t="s">
        <v>32</v>
      </c>
      <c r="E1472" s="46" t="s">
        <v>32</v>
      </c>
      <c r="F1472" s="47">
        <f>[1]!BexGetData("DP_2","DL719O2RYNC0Y217V0FVT1R77","17","E","22062103E201","2067396021")</f>
        <v>12972</v>
      </c>
      <c r="G1472" s="48">
        <f>[1]!BexGetData("DP_2","DL719O2RYNEBZX0HTMQQ0BY0J","17","E","22062103E201","2067396021")</f>
        <v>12972</v>
      </c>
      <c r="H1472" s="48">
        <f>[1]!BexGetData("DP_2","DL719O2RYNGN1RZRS91K7M4TV","17","E","22062103E201","2067396021")</f>
        <v>12972</v>
      </c>
      <c r="I1472" s="48">
        <f>[1]!BexGetData("DP_2","DL719O2RYNIY3MZ1QVCEEWBN7","17","E","22062103E201","2067396021")</f>
        <v>0</v>
      </c>
    </row>
    <row r="1473" spans="1:9" x14ac:dyDescent="0.2">
      <c r="A1473" s="46" t="s">
        <v>32</v>
      </c>
      <c r="B1473" s="46" t="s">
        <v>32</v>
      </c>
      <c r="C1473" s="46" t="s">
        <v>32</v>
      </c>
      <c r="D1473" s="46" t="s">
        <v>32</v>
      </c>
      <c r="E1473" s="46" t="s">
        <v>32</v>
      </c>
      <c r="F1473" s="47">
        <f>[1]!BexGetData("DP_2","DL719O2RYNC0Y217V0FVT1R77","17","E","22062103E201","2067399031")</f>
        <v>1102</v>
      </c>
      <c r="G1473" s="48">
        <f>[1]!BexGetData("DP_2","DL719O2RYNEBZX0HTMQQ0BY0J","17","E","22062103E201","2067399031")</f>
        <v>1102</v>
      </c>
      <c r="H1473" s="48">
        <f>[1]!BexGetData("DP_2","DL719O2RYNGN1RZRS91K7M4TV","17","E","22062103E201","2067399031")</f>
        <v>1102</v>
      </c>
      <c r="I1473" s="48">
        <f>[1]!BexGetData("DP_2","DL719O2RYNIY3MZ1QVCEEWBN7","17","E","22062103E201","2067399031")</f>
        <v>0</v>
      </c>
    </row>
    <row r="1474" spans="1:9" x14ac:dyDescent="0.2">
      <c r="A1474" s="46" t="s">
        <v>32</v>
      </c>
      <c r="B1474" s="46" t="s">
        <v>32</v>
      </c>
      <c r="C1474" s="46" t="s">
        <v>32</v>
      </c>
      <c r="D1474" s="46" t="s">
        <v>32</v>
      </c>
      <c r="E1474" s="46" t="s">
        <v>32</v>
      </c>
      <c r="F1474" s="47">
        <f>[1]!BexGetData("DP_2","DL719O2RYNC0Y217V0FVT1R77","17","E","22062103E201","2067541012")</f>
        <v>8872638.8000000007</v>
      </c>
      <c r="G1474" s="48">
        <f>[1]!BexGetData("DP_2","DL719O2RYNEBZX0HTMQQ0BY0J","17","E","22062103E201","2067541012")</f>
        <v>8872638.8000000007</v>
      </c>
      <c r="H1474" s="48">
        <f>[1]!BexGetData("DP_2","DL719O2RYNGN1RZRS91K7M4TV","17","E","22062103E201","2067541012")</f>
        <v>8872638.8000000007</v>
      </c>
      <c r="I1474" s="48">
        <f>[1]!BexGetData("DP_2","DL719O2RYNIY3MZ1QVCEEWBN7","17","E","22062103E201","2067541012")</f>
        <v>0</v>
      </c>
    </row>
    <row r="1475" spans="1:9" x14ac:dyDescent="0.2">
      <c r="A1475" s="46" t="s">
        <v>32</v>
      </c>
      <c r="B1475" s="46" t="s">
        <v>32</v>
      </c>
      <c r="C1475" s="46" t="s">
        <v>32</v>
      </c>
      <c r="D1475" s="46" t="s">
        <v>32</v>
      </c>
      <c r="E1475" s="46" t="s">
        <v>32</v>
      </c>
      <c r="F1475" s="47">
        <f>[1]!BexGetData("DP_2","DL719O2RYNC0Y217V0FVT1R77","17","E","22062103E201","2067549012")</f>
        <v>161940</v>
      </c>
      <c r="G1475" s="48">
        <f>[1]!BexGetData("DP_2","DL719O2RYNEBZX0HTMQQ0BY0J","17","E","22062103E201","2067549012")</f>
        <v>161940</v>
      </c>
      <c r="H1475" s="48">
        <f>[1]!BexGetData("DP_2","DL719O2RYNGN1RZRS91K7M4TV","17","E","22062103E201","2067549012")</f>
        <v>161940</v>
      </c>
      <c r="I1475" s="48">
        <f>[1]!BexGetData("DP_2","DL719O2RYNIY3MZ1QVCEEWBN7","17","E","22062103E201","2067549012")</f>
        <v>0</v>
      </c>
    </row>
    <row r="1476" spans="1:9" x14ac:dyDescent="0.2">
      <c r="A1476" s="46" t="s">
        <v>32</v>
      </c>
      <c r="B1476" s="46" t="s">
        <v>32</v>
      </c>
      <c r="C1476" s="46" t="s">
        <v>32</v>
      </c>
      <c r="D1476" s="46" t="s">
        <v>32</v>
      </c>
      <c r="E1476" s="46" t="s">
        <v>32</v>
      </c>
      <c r="F1476" s="47">
        <f>[1]!BexGetData("DP_2","DL719O2RYNC0Y217V0FVT1R77","17","E","22062103E201","2067567012")</f>
        <v>96389.86</v>
      </c>
      <c r="G1476" s="48">
        <f>[1]!BexGetData("DP_2","DL719O2RYNEBZX0HTMQQ0BY0J","17","E","22062103E201","2067567012")</f>
        <v>96389.86</v>
      </c>
      <c r="H1476" s="48">
        <f>[1]!BexGetData("DP_2","DL719O2RYNGN1RZRS91K7M4TV","17","E","22062103E201","2067567012")</f>
        <v>76501.86</v>
      </c>
      <c r="I1476" s="48">
        <f>[1]!BexGetData("DP_2","DL719O2RYNIY3MZ1QVCEEWBN7","17","E","22062103E201","2067567012")</f>
        <v>0</v>
      </c>
    </row>
    <row r="1477" spans="1:9" x14ac:dyDescent="0.2">
      <c r="A1477" s="46" t="s">
        <v>32</v>
      </c>
      <c r="B1477" s="46" t="s">
        <v>32</v>
      </c>
      <c r="C1477" s="46" t="s">
        <v>32</v>
      </c>
      <c r="D1477" s="46" t="s">
        <v>32</v>
      </c>
      <c r="E1477" s="46" t="s">
        <v>32</v>
      </c>
      <c r="F1477" s="47">
        <f>[1]!BexGetData("DP_2","DL719O2RYNC0Y217V0FVT1R77","17","E","22062103E201","2067569012")</f>
        <v>0</v>
      </c>
      <c r="G1477" s="48">
        <f>[1]!BexGetData("DP_2","DL719O2RYNEBZX0HTMQQ0BY0J","17","E","22062103E201","2067569012")</f>
        <v>0</v>
      </c>
      <c r="H1477" s="48">
        <f>[1]!BexGetData("DP_2","DL719O2RYNGN1RZRS91K7M4TV","17","E","22062103E201","2067569012")</f>
        <v>0</v>
      </c>
      <c r="I1477" s="48">
        <f>[1]!BexGetData("DP_2","DL719O2RYNIY3MZ1QVCEEWBN7","17","E","22062103E201","2067569012")</f>
        <v>0</v>
      </c>
    </row>
    <row r="1478" spans="1:9" x14ac:dyDescent="0.2">
      <c r="A1478" s="46" t="s">
        <v>32</v>
      </c>
      <c r="B1478" s="46" t="s">
        <v>32</v>
      </c>
      <c r="C1478" s="46" t="s">
        <v>117</v>
      </c>
      <c r="D1478" s="46" t="s">
        <v>117</v>
      </c>
      <c r="E1478" s="46" t="s">
        <v>32</v>
      </c>
      <c r="F1478" s="47">
        <f>[1]!BexGetData("DP_2","DL719O2RYNC0Y217V0FVT1R77","17","E","22062106E201","2067113011")</f>
        <v>6558167.8300000001</v>
      </c>
      <c r="G1478" s="48">
        <f>[1]!BexGetData("DP_2","DL719O2RYNEBZX0HTMQQ0BY0J","17","E","22062106E201","2067113011")</f>
        <v>6558167.8300000001</v>
      </c>
      <c r="H1478" s="48">
        <f>[1]!BexGetData("DP_2","DL719O2RYNGN1RZRS91K7M4TV","17","E","22062106E201","2067113011")</f>
        <v>6558167.8300000001</v>
      </c>
      <c r="I1478" s="48">
        <f>[1]!BexGetData("DP_2","DL719O2RYNIY3MZ1QVCEEWBN7","17","E","22062106E201","2067113011")</f>
        <v>2.0000000000000001E-9</v>
      </c>
    </row>
    <row r="1479" spans="1:9" x14ac:dyDescent="0.2">
      <c r="A1479" s="46" t="s">
        <v>32</v>
      </c>
      <c r="B1479" s="46" t="s">
        <v>32</v>
      </c>
      <c r="C1479" s="46" t="s">
        <v>32</v>
      </c>
      <c r="D1479" s="46" t="s">
        <v>32</v>
      </c>
      <c r="E1479" s="46" t="s">
        <v>32</v>
      </c>
      <c r="F1479" s="47">
        <f>[1]!BexGetData("DP_2","DL719O2RYNC0Y217V0FVT1R77","17","E","22062106E201","2067113021")</f>
        <v>1692955.87</v>
      </c>
      <c r="G1479" s="48">
        <f>[1]!BexGetData("DP_2","DL719O2RYNEBZX0HTMQQ0BY0J","17","E","22062106E201","2067113021")</f>
        <v>1692955.87</v>
      </c>
      <c r="H1479" s="48">
        <f>[1]!BexGetData("DP_2","DL719O2RYNGN1RZRS91K7M4TV","17","E","22062106E201","2067113021")</f>
        <v>1692955.87</v>
      </c>
      <c r="I1479" s="48">
        <f>[1]!BexGetData("DP_2","DL719O2RYNIY3MZ1QVCEEWBN7","17","E","22062106E201","2067113021")</f>
        <v>0</v>
      </c>
    </row>
    <row r="1480" spans="1:9" x14ac:dyDescent="0.2">
      <c r="A1480" s="46" t="s">
        <v>32</v>
      </c>
      <c r="B1480" s="46" t="s">
        <v>32</v>
      </c>
      <c r="C1480" s="46" t="s">
        <v>32</v>
      </c>
      <c r="D1480" s="46" t="s">
        <v>32</v>
      </c>
      <c r="E1480" s="46" t="s">
        <v>32</v>
      </c>
      <c r="F1480" s="47">
        <f>[1]!BexGetData("DP_2","DL719O2RYNC0Y217V0FVT1R77","17","E","22062106E201","2067122011")</f>
        <v>343265.69</v>
      </c>
      <c r="G1480" s="48">
        <f>[1]!BexGetData("DP_2","DL719O2RYNEBZX0HTMQQ0BY0J","17","E","22062106E201","2067122011")</f>
        <v>343265.69</v>
      </c>
      <c r="H1480" s="48">
        <f>[1]!BexGetData("DP_2","DL719O2RYNGN1RZRS91K7M4TV","17","E","22062106E201","2067122011")</f>
        <v>343265.69</v>
      </c>
      <c r="I1480" s="48">
        <f>[1]!BexGetData("DP_2","DL719O2RYNIY3MZ1QVCEEWBN7","17","E","22062106E201","2067122011")</f>
        <v>0</v>
      </c>
    </row>
    <row r="1481" spans="1:9" x14ac:dyDescent="0.2">
      <c r="A1481" s="46" t="s">
        <v>32</v>
      </c>
      <c r="B1481" s="46" t="s">
        <v>32</v>
      </c>
      <c r="C1481" s="46" t="s">
        <v>32</v>
      </c>
      <c r="D1481" s="46" t="s">
        <v>32</v>
      </c>
      <c r="E1481" s="46" t="s">
        <v>32</v>
      </c>
      <c r="F1481" s="47">
        <f>[1]!BexGetData("DP_2","DL719O2RYNC0Y217V0FVT1R77","17","E","22062106E201","2067131011")</f>
        <v>1043389.87</v>
      </c>
      <c r="G1481" s="48">
        <f>[1]!BexGetData("DP_2","DL719O2RYNEBZX0HTMQQ0BY0J","17","E","22062106E201","2067131011")</f>
        <v>1043389.87</v>
      </c>
      <c r="H1481" s="48">
        <f>[1]!BexGetData("DP_2","DL719O2RYNGN1RZRS91K7M4TV","17","E","22062106E201","2067131011")</f>
        <v>1043389.87</v>
      </c>
      <c r="I1481" s="48">
        <f>[1]!BexGetData("DP_2","DL719O2RYNIY3MZ1QVCEEWBN7","17","E","22062106E201","2067131011")</f>
        <v>0</v>
      </c>
    </row>
    <row r="1482" spans="1:9" x14ac:dyDescent="0.2">
      <c r="A1482" s="46" t="s">
        <v>32</v>
      </c>
      <c r="B1482" s="46" t="s">
        <v>32</v>
      </c>
      <c r="C1482" s="46" t="s">
        <v>32</v>
      </c>
      <c r="D1482" s="46" t="s">
        <v>32</v>
      </c>
      <c r="E1482" s="46" t="s">
        <v>32</v>
      </c>
      <c r="F1482" s="47">
        <f>[1]!BexGetData("DP_2","DL719O2RYNC0Y217V0FVT1R77","17","E","22062106E201","2067131021")</f>
        <v>93240.44</v>
      </c>
      <c r="G1482" s="48">
        <f>[1]!BexGetData("DP_2","DL719O2RYNEBZX0HTMQQ0BY0J","17","E","22062106E201","2067131021")</f>
        <v>93240.44</v>
      </c>
      <c r="H1482" s="48">
        <f>[1]!BexGetData("DP_2","DL719O2RYNGN1RZRS91K7M4TV","17","E","22062106E201","2067131021")</f>
        <v>93240.44</v>
      </c>
      <c r="I1482" s="48">
        <f>[1]!BexGetData("DP_2","DL719O2RYNIY3MZ1QVCEEWBN7","17","E","22062106E201","2067131021")</f>
        <v>0</v>
      </c>
    </row>
    <row r="1483" spans="1:9" x14ac:dyDescent="0.2">
      <c r="A1483" s="46" t="s">
        <v>32</v>
      </c>
      <c r="B1483" s="46" t="s">
        <v>32</v>
      </c>
      <c r="C1483" s="46" t="s">
        <v>32</v>
      </c>
      <c r="D1483" s="46" t="s">
        <v>32</v>
      </c>
      <c r="E1483" s="46" t="s">
        <v>32</v>
      </c>
      <c r="F1483" s="47">
        <f>[1]!BexGetData("DP_2","DL719O2RYNC0Y217V0FVT1R77","17","E","22062106E201","2067132011")</f>
        <v>442613.37</v>
      </c>
      <c r="G1483" s="48">
        <f>[1]!BexGetData("DP_2","DL719O2RYNEBZX0HTMQQ0BY0J","17","E","22062106E201","2067132011")</f>
        <v>442613.37</v>
      </c>
      <c r="H1483" s="48">
        <f>[1]!BexGetData("DP_2","DL719O2RYNGN1RZRS91K7M4TV","17","E","22062106E201","2067132011")</f>
        <v>442613.37</v>
      </c>
      <c r="I1483" s="48">
        <f>[1]!BexGetData("DP_2","DL719O2RYNIY3MZ1QVCEEWBN7","17","E","22062106E201","2067132011")</f>
        <v>0</v>
      </c>
    </row>
    <row r="1484" spans="1:9" x14ac:dyDescent="0.2">
      <c r="A1484" s="46" t="s">
        <v>32</v>
      </c>
      <c r="B1484" s="46" t="s">
        <v>32</v>
      </c>
      <c r="C1484" s="46" t="s">
        <v>32</v>
      </c>
      <c r="D1484" s="46" t="s">
        <v>32</v>
      </c>
      <c r="E1484" s="46" t="s">
        <v>32</v>
      </c>
      <c r="F1484" s="47">
        <f>[1]!BexGetData("DP_2","DL719O2RYNC0Y217V0FVT1R77","17","E","22062106E201","2067132021")</f>
        <v>1850973.55</v>
      </c>
      <c r="G1484" s="48">
        <f>[1]!BexGetData("DP_2","DL719O2RYNEBZX0HTMQQ0BY0J","17","E","22062106E201","2067132021")</f>
        <v>1850973.55</v>
      </c>
      <c r="H1484" s="48">
        <f>[1]!BexGetData("DP_2","DL719O2RYNGN1RZRS91K7M4TV","17","E","22062106E201","2067132021")</f>
        <v>1850973.55</v>
      </c>
      <c r="I1484" s="48">
        <f>[1]!BexGetData("DP_2","DL719O2RYNIY3MZ1QVCEEWBN7","17","E","22062106E201","2067132021")</f>
        <v>0</v>
      </c>
    </row>
    <row r="1485" spans="1:9" x14ac:dyDescent="0.2">
      <c r="A1485" s="46" t="s">
        <v>32</v>
      </c>
      <c r="B1485" s="46" t="s">
        <v>32</v>
      </c>
      <c r="C1485" s="46" t="s">
        <v>32</v>
      </c>
      <c r="D1485" s="46" t="s">
        <v>32</v>
      </c>
      <c r="E1485" s="46" t="s">
        <v>32</v>
      </c>
      <c r="F1485" s="47">
        <f>[1]!BexGetData("DP_2","DL719O2RYNC0Y217V0FVT1R77","17","E","22062106E201","2067133011")</f>
        <v>1579115.27</v>
      </c>
      <c r="G1485" s="48">
        <f>[1]!BexGetData("DP_2","DL719O2RYNEBZX0HTMQQ0BY0J","17","E","22062106E201","2067133011")</f>
        <v>1579115.27</v>
      </c>
      <c r="H1485" s="48">
        <f>[1]!BexGetData("DP_2","DL719O2RYNGN1RZRS91K7M4TV","17","E","22062106E201","2067133011")</f>
        <v>1579115.27</v>
      </c>
      <c r="I1485" s="48">
        <f>[1]!BexGetData("DP_2","DL719O2RYNIY3MZ1QVCEEWBN7","17","E","22062106E201","2067133011")</f>
        <v>0</v>
      </c>
    </row>
    <row r="1486" spans="1:9" x14ac:dyDescent="0.2">
      <c r="A1486" s="46" t="s">
        <v>32</v>
      </c>
      <c r="B1486" s="46" t="s">
        <v>32</v>
      </c>
      <c r="C1486" s="46" t="s">
        <v>32</v>
      </c>
      <c r="D1486" s="46" t="s">
        <v>32</v>
      </c>
      <c r="E1486" s="46" t="s">
        <v>32</v>
      </c>
      <c r="F1486" s="47">
        <f>[1]!BexGetData("DP_2","DL719O2RYNC0Y217V0FVT1R77","17","E","22062106E201","2067134011")</f>
        <v>454139.33</v>
      </c>
      <c r="G1486" s="48">
        <f>[1]!BexGetData("DP_2","DL719O2RYNEBZX0HTMQQ0BY0J","17","E","22062106E201","2067134011")</f>
        <v>454139.33</v>
      </c>
      <c r="H1486" s="48">
        <f>[1]!BexGetData("DP_2","DL719O2RYNGN1RZRS91K7M4TV","17","E","22062106E201","2067134011")</f>
        <v>462183.18</v>
      </c>
      <c r="I1486" s="48">
        <f>[1]!BexGetData("DP_2","DL719O2RYNIY3MZ1QVCEEWBN7","17","E","22062106E201","2067134011")</f>
        <v>0</v>
      </c>
    </row>
    <row r="1487" spans="1:9" x14ac:dyDescent="0.2">
      <c r="A1487" s="46" t="s">
        <v>32</v>
      </c>
      <c r="B1487" s="46" t="s">
        <v>32</v>
      </c>
      <c r="C1487" s="46" t="s">
        <v>32</v>
      </c>
      <c r="D1487" s="46" t="s">
        <v>32</v>
      </c>
      <c r="E1487" s="46" t="s">
        <v>32</v>
      </c>
      <c r="F1487" s="47">
        <f>[1]!BexGetData("DP_2","DL719O2RYNC0Y217V0FVT1R77","17","E","22062106E201","2067134021")</f>
        <v>1083389.6599999999</v>
      </c>
      <c r="G1487" s="48">
        <f>[1]!BexGetData("DP_2","DL719O2RYNEBZX0HTMQQ0BY0J","17","E","22062106E201","2067134021")</f>
        <v>1083389.6599999999</v>
      </c>
      <c r="H1487" s="48">
        <f>[1]!BexGetData("DP_2","DL719O2RYNGN1RZRS91K7M4TV","17","E","22062106E201","2067134021")</f>
        <v>1083389.6599999999</v>
      </c>
      <c r="I1487" s="48">
        <f>[1]!BexGetData("DP_2","DL719O2RYNIY3MZ1QVCEEWBN7","17","E","22062106E201","2067134021")</f>
        <v>0</v>
      </c>
    </row>
    <row r="1488" spans="1:9" x14ac:dyDescent="0.2">
      <c r="A1488" s="46" t="s">
        <v>32</v>
      </c>
      <c r="B1488" s="46" t="s">
        <v>32</v>
      </c>
      <c r="C1488" s="46" t="s">
        <v>32</v>
      </c>
      <c r="D1488" s="46" t="s">
        <v>32</v>
      </c>
      <c r="E1488" s="46" t="s">
        <v>32</v>
      </c>
      <c r="F1488" s="47">
        <f>[1]!BexGetData("DP_2","DL719O2RYNC0Y217V0FVT1R77","17","E","22062106E201","2067141011")</f>
        <v>1721902.53</v>
      </c>
      <c r="G1488" s="48">
        <f>[1]!BexGetData("DP_2","DL719O2RYNEBZX0HTMQQ0BY0J","17","E","22062106E201","2067141011")</f>
        <v>1721902.53</v>
      </c>
      <c r="H1488" s="48">
        <f>[1]!BexGetData("DP_2","DL719O2RYNGN1RZRS91K7M4TV","17","E","22062106E201","2067141011")</f>
        <v>1721902.53</v>
      </c>
      <c r="I1488" s="48">
        <f>[1]!BexGetData("DP_2","DL719O2RYNIY3MZ1QVCEEWBN7","17","E","22062106E201","2067141011")</f>
        <v>0</v>
      </c>
    </row>
    <row r="1489" spans="1:9" x14ac:dyDescent="0.2">
      <c r="A1489" s="46" t="s">
        <v>32</v>
      </c>
      <c r="B1489" s="46" t="s">
        <v>32</v>
      </c>
      <c r="C1489" s="46" t="s">
        <v>32</v>
      </c>
      <c r="D1489" s="46" t="s">
        <v>32</v>
      </c>
      <c r="E1489" s="46" t="s">
        <v>32</v>
      </c>
      <c r="F1489" s="47">
        <f>[1]!BexGetData("DP_2","DL719O2RYNC0Y217V0FVT1R77","17","E","22062106E201","2067141021")</f>
        <v>555243.93999999994</v>
      </c>
      <c r="G1489" s="48">
        <f>[1]!BexGetData("DP_2","DL719O2RYNEBZX0HTMQQ0BY0J","17","E","22062106E201","2067141021")</f>
        <v>555243.93999999994</v>
      </c>
      <c r="H1489" s="48">
        <f>[1]!BexGetData("DP_2","DL719O2RYNGN1RZRS91K7M4TV","17","E","22062106E201","2067141021")</f>
        <v>555243.93999999994</v>
      </c>
      <c r="I1489" s="48">
        <f>[1]!BexGetData("DP_2","DL719O2RYNIY3MZ1QVCEEWBN7","17","E","22062106E201","2067141021")</f>
        <v>0</v>
      </c>
    </row>
    <row r="1490" spans="1:9" x14ac:dyDescent="0.2">
      <c r="A1490" s="46" t="s">
        <v>32</v>
      </c>
      <c r="B1490" s="46" t="s">
        <v>32</v>
      </c>
      <c r="C1490" s="46" t="s">
        <v>32</v>
      </c>
      <c r="D1490" s="46" t="s">
        <v>32</v>
      </c>
      <c r="E1490" s="46" t="s">
        <v>32</v>
      </c>
      <c r="F1490" s="47">
        <f>[1]!BexGetData("DP_2","DL719O2RYNC0Y217V0FVT1R77","17","E","22062106E201","2067143011")</f>
        <v>262742.31</v>
      </c>
      <c r="G1490" s="48">
        <f>[1]!BexGetData("DP_2","DL719O2RYNEBZX0HTMQQ0BY0J","17","E","22062106E201","2067143011")</f>
        <v>262742.31</v>
      </c>
      <c r="H1490" s="48">
        <f>[1]!BexGetData("DP_2","DL719O2RYNGN1RZRS91K7M4TV","17","E","22062106E201","2067143011")</f>
        <v>262742.31</v>
      </c>
      <c r="I1490" s="48">
        <f>[1]!BexGetData("DP_2","DL719O2RYNIY3MZ1QVCEEWBN7","17","E","22062106E201","2067143011")</f>
        <v>0</v>
      </c>
    </row>
    <row r="1491" spans="1:9" x14ac:dyDescent="0.2">
      <c r="A1491" s="46" t="s">
        <v>32</v>
      </c>
      <c r="B1491" s="46" t="s">
        <v>32</v>
      </c>
      <c r="C1491" s="46" t="s">
        <v>32</v>
      </c>
      <c r="D1491" s="46" t="s">
        <v>32</v>
      </c>
      <c r="E1491" s="46" t="s">
        <v>32</v>
      </c>
      <c r="F1491" s="47">
        <f>[1]!BexGetData("DP_2","DL719O2RYNC0Y217V0FVT1R77","17","E","22062106E201","2067151011")</f>
        <v>989862.72</v>
      </c>
      <c r="G1491" s="48">
        <f>[1]!BexGetData("DP_2","DL719O2RYNEBZX0HTMQQ0BY0J","17","E","22062106E201","2067151011")</f>
        <v>989862.72</v>
      </c>
      <c r="H1491" s="48">
        <f>[1]!BexGetData("DP_2","DL719O2RYNGN1RZRS91K7M4TV","17","E","22062106E201","2067151011")</f>
        <v>989862.72</v>
      </c>
      <c r="I1491" s="48">
        <f>[1]!BexGetData("DP_2","DL719O2RYNIY3MZ1QVCEEWBN7","17","E","22062106E201","2067151011")</f>
        <v>0</v>
      </c>
    </row>
    <row r="1492" spans="1:9" x14ac:dyDescent="0.2">
      <c r="A1492" s="46" t="s">
        <v>32</v>
      </c>
      <c r="B1492" s="46" t="s">
        <v>32</v>
      </c>
      <c r="C1492" s="46" t="s">
        <v>32</v>
      </c>
      <c r="D1492" s="46" t="s">
        <v>32</v>
      </c>
      <c r="E1492" s="46" t="s">
        <v>32</v>
      </c>
      <c r="F1492" s="47">
        <f>[1]!BexGetData("DP_2","DL719O2RYNC0Y217V0FVT1R77","17","E","22062106E201","2067154011")</f>
        <v>5175104.25</v>
      </c>
      <c r="G1492" s="48">
        <f>[1]!BexGetData("DP_2","DL719O2RYNEBZX0HTMQQ0BY0J","17","E","22062106E201","2067154011")</f>
        <v>5175104.25</v>
      </c>
      <c r="H1492" s="48">
        <f>[1]!BexGetData("DP_2","DL719O2RYNGN1RZRS91K7M4TV","17","E","22062106E201","2067154011")</f>
        <v>5152604.25</v>
      </c>
      <c r="I1492" s="48">
        <f>[1]!BexGetData("DP_2","DL719O2RYNIY3MZ1QVCEEWBN7","17","E","22062106E201","2067154011")</f>
        <v>-1.0000000000000001E-9</v>
      </c>
    </row>
    <row r="1493" spans="1:9" x14ac:dyDescent="0.2">
      <c r="A1493" s="46" t="s">
        <v>32</v>
      </c>
      <c r="B1493" s="46" t="s">
        <v>32</v>
      </c>
      <c r="C1493" s="46" t="s">
        <v>32</v>
      </c>
      <c r="D1493" s="46" t="s">
        <v>32</v>
      </c>
      <c r="E1493" s="46" t="s">
        <v>32</v>
      </c>
      <c r="F1493" s="47">
        <f>[1]!BexGetData("DP_2","DL719O2RYNC0Y217V0FVT1R77","17","E","22062106E201","2067211011")</f>
        <v>24468.61</v>
      </c>
      <c r="G1493" s="48">
        <f>[1]!BexGetData("DP_2","DL719O2RYNEBZX0HTMQQ0BY0J","17","E","22062106E201","2067211011")</f>
        <v>24468.61</v>
      </c>
      <c r="H1493" s="48">
        <f>[1]!BexGetData("DP_2","DL719O2RYNGN1RZRS91K7M4TV","17","E","22062106E201","2067211011")</f>
        <v>24468.61</v>
      </c>
      <c r="I1493" s="48">
        <f>[1]!BexGetData("DP_2","DL719O2RYNIY3MZ1QVCEEWBN7","17","E","22062106E201","2067211011")</f>
        <v>0</v>
      </c>
    </row>
    <row r="1494" spans="1:9" x14ac:dyDescent="0.2">
      <c r="A1494" s="46" t="s">
        <v>32</v>
      </c>
      <c r="B1494" s="46" t="s">
        <v>32</v>
      </c>
      <c r="C1494" s="46" t="s">
        <v>32</v>
      </c>
      <c r="D1494" s="46" t="s">
        <v>32</v>
      </c>
      <c r="E1494" s="46" t="s">
        <v>32</v>
      </c>
      <c r="F1494" s="47">
        <f>[1]!BexGetData("DP_2","DL719O2RYNC0Y217V0FVT1R77","17","E","22062106E201","2067211021")</f>
        <v>4653.92</v>
      </c>
      <c r="G1494" s="48">
        <f>[1]!BexGetData("DP_2","DL719O2RYNEBZX0HTMQQ0BY0J","17","E","22062106E201","2067211021")</f>
        <v>4653.92</v>
      </c>
      <c r="H1494" s="48">
        <f>[1]!BexGetData("DP_2","DL719O2RYNGN1RZRS91K7M4TV","17","E","22062106E201","2067211021")</f>
        <v>4653.92</v>
      </c>
      <c r="I1494" s="48">
        <f>[1]!BexGetData("DP_2","DL719O2RYNIY3MZ1QVCEEWBN7","17","E","22062106E201","2067211021")</f>
        <v>0</v>
      </c>
    </row>
    <row r="1495" spans="1:9" x14ac:dyDescent="0.2">
      <c r="A1495" s="46" t="s">
        <v>32</v>
      </c>
      <c r="B1495" s="46" t="s">
        <v>32</v>
      </c>
      <c r="C1495" s="46" t="s">
        <v>32</v>
      </c>
      <c r="D1495" s="46" t="s">
        <v>32</v>
      </c>
      <c r="E1495" s="46" t="s">
        <v>32</v>
      </c>
      <c r="F1495" s="47">
        <f>[1]!BexGetData("DP_2","DL719O2RYNC0Y217V0FVT1R77","17","E","22062106E201","2067214011")</f>
        <v>11136.77</v>
      </c>
      <c r="G1495" s="48">
        <f>[1]!BexGetData("DP_2","DL719O2RYNEBZX0HTMQQ0BY0J","17","E","22062106E201","2067214011")</f>
        <v>11136.77</v>
      </c>
      <c r="H1495" s="48">
        <f>[1]!BexGetData("DP_2","DL719O2RYNGN1RZRS91K7M4TV","17","E","22062106E201","2067214011")</f>
        <v>11136.77</v>
      </c>
      <c r="I1495" s="48">
        <f>[1]!BexGetData("DP_2","DL719O2RYNIY3MZ1QVCEEWBN7","17","E","22062106E201","2067214011")</f>
        <v>0</v>
      </c>
    </row>
    <row r="1496" spans="1:9" x14ac:dyDescent="0.2">
      <c r="A1496" s="46" t="s">
        <v>32</v>
      </c>
      <c r="B1496" s="46" t="s">
        <v>32</v>
      </c>
      <c r="C1496" s="46" t="s">
        <v>32</v>
      </c>
      <c r="D1496" s="46" t="s">
        <v>32</v>
      </c>
      <c r="E1496" s="46" t="s">
        <v>32</v>
      </c>
      <c r="F1496" s="47">
        <f>[1]!BexGetData("DP_2","DL719O2RYNC0Y217V0FVT1R77","17","E","22062106E201","2067215021")</f>
        <v>19760.599999999999</v>
      </c>
      <c r="G1496" s="48">
        <f>[1]!BexGetData("DP_2","DL719O2RYNEBZX0HTMQQ0BY0J","17","E","22062106E201","2067215021")</f>
        <v>19760.599999999999</v>
      </c>
      <c r="H1496" s="48">
        <f>[1]!BexGetData("DP_2","DL719O2RYNGN1RZRS91K7M4TV","17","E","22062106E201","2067215021")</f>
        <v>19760.599999999999</v>
      </c>
      <c r="I1496" s="48">
        <f>[1]!BexGetData("DP_2","DL719O2RYNIY3MZ1QVCEEWBN7","17","E","22062106E201","2067215021")</f>
        <v>0</v>
      </c>
    </row>
    <row r="1497" spans="1:9" x14ac:dyDescent="0.2">
      <c r="A1497" s="46" t="s">
        <v>32</v>
      </c>
      <c r="B1497" s="46" t="s">
        <v>32</v>
      </c>
      <c r="C1497" s="46" t="s">
        <v>32</v>
      </c>
      <c r="D1497" s="46" t="s">
        <v>32</v>
      </c>
      <c r="E1497" s="46" t="s">
        <v>32</v>
      </c>
      <c r="F1497" s="47">
        <f>[1]!BexGetData("DP_2","DL719O2RYNC0Y217V0FVT1R77","17","E","22062106E201","2067216011")</f>
        <v>56624.73</v>
      </c>
      <c r="G1497" s="48">
        <f>[1]!BexGetData("DP_2","DL719O2RYNEBZX0HTMQQ0BY0J","17","E","22062106E201","2067216011")</f>
        <v>56624.73</v>
      </c>
      <c r="H1497" s="48">
        <f>[1]!BexGetData("DP_2","DL719O2RYNGN1RZRS91K7M4TV","17","E","22062106E201","2067216011")</f>
        <v>56624.73</v>
      </c>
      <c r="I1497" s="48">
        <f>[1]!BexGetData("DP_2","DL719O2RYNIY3MZ1QVCEEWBN7","17","E","22062106E201","2067216011")</f>
        <v>0</v>
      </c>
    </row>
    <row r="1498" spans="1:9" x14ac:dyDescent="0.2">
      <c r="A1498" s="46" t="s">
        <v>32</v>
      </c>
      <c r="B1498" s="46" t="s">
        <v>32</v>
      </c>
      <c r="C1498" s="46" t="s">
        <v>32</v>
      </c>
      <c r="D1498" s="46" t="s">
        <v>32</v>
      </c>
      <c r="E1498" s="46" t="s">
        <v>32</v>
      </c>
      <c r="F1498" s="47">
        <f>[1]!BexGetData("DP_2","DL719O2RYNC0Y217V0FVT1R77","17","E","22062106E201","2067221011")</f>
        <v>14228</v>
      </c>
      <c r="G1498" s="48">
        <f>[1]!BexGetData("DP_2","DL719O2RYNEBZX0HTMQQ0BY0J","17","E","22062106E201","2067221011")</f>
        <v>14228</v>
      </c>
      <c r="H1498" s="48">
        <f>[1]!BexGetData("DP_2","DL719O2RYNGN1RZRS91K7M4TV","17","E","22062106E201","2067221011")</f>
        <v>14228</v>
      </c>
      <c r="I1498" s="48">
        <f>[1]!BexGetData("DP_2","DL719O2RYNIY3MZ1QVCEEWBN7","17","E","22062106E201","2067221011")</f>
        <v>0</v>
      </c>
    </row>
    <row r="1499" spans="1:9" x14ac:dyDescent="0.2">
      <c r="A1499" s="46" t="s">
        <v>32</v>
      </c>
      <c r="B1499" s="46" t="s">
        <v>32</v>
      </c>
      <c r="C1499" s="46" t="s">
        <v>32</v>
      </c>
      <c r="D1499" s="46" t="s">
        <v>32</v>
      </c>
      <c r="E1499" s="46" t="s">
        <v>32</v>
      </c>
      <c r="F1499" s="47">
        <f>[1]!BexGetData("DP_2","DL719O2RYNC0Y217V0FVT1R77","17","E","22062106E201","2067221021")</f>
        <v>15000</v>
      </c>
      <c r="G1499" s="48">
        <f>[1]!BexGetData("DP_2","DL719O2RYNEBZX0HTMQQ0BY0J","17","E","22062106E201","2067221021")</f>
        <v>15000</v>
      </c>
      <c r="H1499" s="48">
        <f>[1]!BexGetData("DP_2","DL719O2RYNGN1RZRS91K7M4TV","17","E","22062106E201","2067221021")</f>
        <v>15000</v>
      </c>
      <c r="I1499" s="48">
        <f>[1]!BexGetData("DP_2","DL719O2RYNIY3MZ1QVCEEWBN7","17","E","22062106E201","2067221021")</f>
        <v>0</v>
      </c>
    </row>
    <row r="1500" spans="1:9" x14ac:dyDescent="0.2">
      <c r="A1500" s="46" t="s">
        <v>32</v>
      </c>
      <c r="B1500" s="46" t="s">
        <v>32</v>
      </c>
      <c r="C1500" s="46" t="s">
        <v>32</v>
      </c>
      <c r="D1500" s="46" t="s">
        <v>32</v>
      </c>
      <c r="E1500" s="46" t="s">
        <v>32</v>
      </c>
      <c r="F1500" s="47">
        <f>[1]!BexGetData("DP_2","DL719O2RYNC0Y217V0FVT1R77","17","E","22062106E201","2067246011")</f>
        <v>5472.4</v>
      </c>
      <c r="G1500" s="48">
        <f>[1]!BexGetData("DP_2","DL719O2RYNEBZX0HTMQQ0BY0J","17","E","22062106E201","2067246011")</f>
        <v>5472.4</v>
      </c>
      <c r="H1500" s="48">
        <f>[1]!BexGetData("DP_2","DL719O2RYNGN1RZRS91K7M4TV","17","E","22062106E201","2067246011")</f>
        <v>5472.4</v>
      </c>
      <c r="I1500" s="48">
        <f>[1]!BexGetData("DP_2","DL719O2RYNIY3MZ1QVCEEWBN7","17","E","22062106E201","2067246011")</f>
        <v>0</v>
      </c>
    </row>
    <row r="1501" spans="1:9" x14ac:dyDescent="0.2">
      <c r="A1501" s="46" t="s">
        <v>32</v>
      </c>
      <c r="B1501" s="46" t="s">
        <v>32</v>
      </c>
      <c r="C1501" s="46" t="s">
        <v>32</v>
      </c>
      <c r="D1501" s="46" t="s">
        <v>32</v>
      </c>
      <c r="E1501" s="46" t="s">
        <v>32</v>
      </c>
      <c r="F1501" s="47">
        <f>[1]!BexGetData("DP_2","DL719O2RYNC0Y217V0FVT1R77","17","E","22062106E201","2067247011")</f>
        <v>619.85</v>
      </c>
      <c r="G1501" s="48">
        <f>[1]!BexGetData("DP_2","DL719O2RYNEBZX0HTMQQ0BY0J","17","E","22062106E201","2067247011")</f>
        <v>619.85</v>
      </c>
      <c r="H1501" s="48">
        <f>[1]!BexGetData("DP_2","DL719O2RYNGN1RZRS91K7M4TV","17","E","22062106E201","2067247011")</f>
        <v>619.85</v>
      </c>
      <c r="I1501" s="48">
        <f>[1]!BexGetData("DP_2","DL719O2RYNIY3MZ1QVCEEWBN7","17","E","22062106E201","2067247011")</f>
        <v>0</v>
      </c>
    </row>
    <row r="1502" spans="1:9" x14ac:dyDescent="0.2">
      <c r="A1502" s="46" t="s">
        <v>32</v>
      </c>
      <c r="B1502" s="46" t="s">
        <v>32</v>
      </c>
      <c r="C1502" s="46" t="s">
        <v>32</v>
      </c>
      <c r="D1502" s="46" t="s">
        <v>32</v>
      </c>
      <c r="E1502" s="46" t="s">
        <v>32</v>
      </c>
      <c r="F1502" s="47">
        <f>[1]!BexGetData("DP_2","DL719O2RYNC0Y217V0FVT1R77","17","E","22062106E201","2067249011")</f>
        <v>223.84</v>
      </c>
      <c r="G1502" s="48">
        <f>[1]!BexGetData("DP_2","DL719O2RYNEBZX0HTMQQ0BY0J","17","E","22062106E201","2067249011")</f>
        <v>223.84</v>
      </c>
      <c r="H1502" s="48">
        <f>[1]!BexGetData("DP_2","DL719O2RYNGN1RZRS91K7M4TV","17","E","22062106E201","2067249011")</f>
        <v>223.84</v>
      </c>
      <c r="I1502" s="48">
        <f>[1]!BexGetData("DP_2","DL719O2RYNIY3MZ1QVCEEWBN7","17","E","22062106E201","2067249011")</f>
        <v>0</v>
      </c>
    </row>
    <row r="1503" spans="1:9" x14ac:dyDescent="0.2">
      <c r="A1503" s="46" t="s">
        <v>32</v>
      </c>
      <c r="B1503" s="46" t="s">
        <v>32</v>
      </c>
      <c r="C1503" s="46" t="s">
        <v>32</v>
      </c>
      <c r="D1503" s="46" t="s">
        <v>32</v>
      </c>
      <c r="E1503" s="46" t="s">
        <v>32</v>
      </c>
      <c r="F1503" s="47">
        <f>[1]!BexGetData("DP_2","DL719O2RYNC0Y217V0FVT1R77","17","E","22062106E201","2067256011")</f>
        <v>1028.78</v>
      </c>
      <c r="G1503" s="48">
        <f>[1]!BexGetData("DP_2","DL719O2RYNEBZX0HTMQQ0BY0J","17","E","22062106E201","2067256011")</f>
        <v>1028.78</v>
      </c>
      <c r="H1503" s="48">
        <f>[1]!BexGetData("DP_2","DL719O2RYNGN1RZRS91K7M4TV","17","E","22062106E201","2067256011")</f>
        <v>1028.78</v>
      </c>
      <c r="I1503" s="48">
        <f>[1]!BexGetData("DP_2","DL719O2RYNIY3MZ1QVCEEWBN7","17","E","22062106E201","2067256011")</f>
        <v>0</v>
      </c>
    </row>
    <row r="1504" spans="1:9" x14ac:dyDescent="0.2">
      <c r="A1504" s="46" t="s">
        <v>32</v>
      </c>
      <c r="B1504" s="46" t="s">
        <v>32</v>
      </c>
      <c r="C1504" s="46" t="s">
        <v>32</v>
      </c>
      <c r="D1504" s="46" t="s">
        <v>32</v>
      </c>
      <c r="E1504" s="46" t="s">
        <v>32</v>
      </c>
      <c r="F1504" s="47">
        <f>[1]!BexGetData("DP_2","DL719O2RYNC0Y217V0FVT1R77","17","E","22062106E201","2067292011")</f>
        <v>262</v>
      </c>
      <c r="G1504" s="48">
        <f>[1]!BexGetData("DP_2","DL719O2RYNEBZX0HTMQQ0BY0J","17","E","22062106E201","2067292011")</f>
        <v>262</v>
      </c>
      <c r="H1504" s="48">
        <f>[1]!BexGetData("DP_2","DL719O2RYNGN1RZRS91K7M4TV","17","E","22062106E201","2067292011")</f>
        <v>262</v>
      </c>
      <c r="I1504" s="48">
        <f>[1]!BexGetData("DP_2","DL719O2RYNIY3MZ1QVCEEWBN7","17","E","22062106E201","2067292011")</f>
        <v>0</v>
      </c>
    </row>
    <row r="1505" spans="1:9" x14ac:dyDescent="0.2">
      <c r="A1505" s="46" t="s">
        <v>32</v>
      </c>
      <c r="B1505" s="46" t="s">
        <v>32</v>
      </c>
      <c r="C1505" s="46" t="s">
        <v>32</v>
      </c>
      <c r="D1505" s="46" t="s">
        <v>32</v>
      </c>
      <c r="E1505" s="46" t="s">
        <v>32</v>
      </c>
      <c r="F1505" s="47">
        <f>[1]!BexGetData("DP_2","DL719O2RYNC0Y217V0FVT1R77","17","E","22062106E201","2067311011")</f>
        <v>1764923.06</v>
      </c>
      <c r="G1505" s="48">
        <f>[1]!BexGetData("DP_2","DL719O2RYNEBZX0HTMQQ0BY0J","17","E","22062106E201","2067311011")</f>
        <v>1764923.06</v>
      </c>
      <c r="H1505" s="48">
        <f>[1]!BexGetData("DP_2","DL719O2RYNGN1RZRS91K7M4TV","17","E","22062106E201","2067311011")</f>
        <v>1600747.06</v>
      </c>
      <c r="I1505" s="48">
        <f>[1]!BexGetData("DP_2","DL719O2RYNIY3MZ1QVCEEWBN7","17","E","22062106E201","2067311011")</f>
        <v>0</v>
      </c>
    </row>
    <row r="1506" spans="1:9" x14ac:dyDescent="0.2">
      <c r="A1506" s="46" t="s">
        <v>32</v>
      </c>
      <c r="B1506" s="46" t="s">
        <v>32</v>
      </c>
      <c r="C1506" s="46" t="s">
        <v>32</v>
      </c>
      <c r="D1506" s="46" t="s">
        <v>32</v>
      </c>
      <c r="E1506" s="46" t="s">
        <v>32</v>
      </c>
      <c r="F1506" s="47">
        <f>[1]!BexGetData("DP_2","DL719O2RYNC0Y217V0FVT1R77","17","E","22062106E201","2067313011")</f>
        <v>406032</v>
      </c>
      <c r="G1506" s="48">
        <f>[1]!BexGetData("DP_2","DL719O2RYNEBZX0HTMQQ0BY0J","17","E","22062106E201","2067313011")</f>
        <v>406032</v>
      </c>
      <c r="H1506" s="48">
        <f>[1]!BexGetData("DP_2","DL719O2RYNGN1RZRS91K7M4TV","17","E","22062106E201","2067313011")</f>
        <v>406032</v>
      </c>
      <c r="I1506" s="48">
        <f>[1]!BexGetData("DP_2","DL719O2RYNIY3MZ1QVCEEWBN7","17","E","22062106E201","2067313011")</f>
        <v>0</v>
      </c>
    </row>
    <row r="1507" spans="1:9" x14ac:dyDescent="0.2">
      <c r="A1507" s="46" t="s">
        <v>32</v>
      </c>
      <c r="B1507" s="46" t="s">
        <v>32</v>
      </c>
      <c r="C1507" s="46" t="s">
        <v>32</v>
      </c>
      <c r="D1507" s="46" t="s">
        <v>32</v>
      </c>
      <c r="E1507" s="46" t="s">
        <v>32</v>
      </c>
      <c r="F1507" s="47">
        <f>[1]!BexGetData("DP_2","DL719O2RYNC0Y217V0FVT1R77","17","E","22062106E201","2067314011")</f>
        <v>19857.16</v>
      </c>
      <c r="G1507" s="48">
        <f>[1]!BexGetData("DP_2","DL719O2RYNEBZX0HTMQQ0BY0J","17","E","22062106E201","2067314011")</f>
        <v>19857.16</v>
      </c>
      <c r="H1507" s="48">
        <f>[1]!BexGetData("DP_2","DL719O2RYNGN1RZRS91K7M4TV","17","E","22062106E201","2067314011")</f>
        <v>19857.16</v>
      </c>
      <c r="I1507" s="48">
        <f>[1]!BexGetData("DP_2","DL719O2RYNIY3MZ1QVCEEWBN7","17","E","22062106E201","2067314011")</f>
        <v>0</v>
      </c>
    </row>
    <row r="1508" spans="1:9" x14ac:dyDescent="0.2">
      <c r="A1508" s="46" t="s">
        <v>32</v>
      </c>
      <c r="B1508" s="46" t="s">
        <v>32</v>
      </c>
      <c r="C1508" s="46" t="s">
        <v>32</v>
      </c>
      <c r="D1508" s="46" t="s">
        <v>32</v>
      </c>
      <c r="E1508" s="46" t="s">
        <v>32</v>
      </c>
      <c r="F1508" s="47">
        <f>[1]!BexGetData("DP_2","DL719O2RYNC0Y217V0FVT1R77","17","E","22062106E201","2067315011")</f>
        <v>0</v>
      </c>
      <c r="G1508" s="48">
        <f>[1]!BexGetData("DP_2","DL719O2RYNEBZX0HTMQQ0BY0J","17","E","22062106E201","2067315011")</f>
        <v>0</v>
      </c>
      <c r="H1508" s="48">
        <f>[1]!BexGetData("DP_2","DL719O2RYNGN1RZRS91K7M4TV","17","E","22062106E201","2067315011")</f>
        <v>0</v>
      </c>
      <c r="I1508" s="48">
        <f>[1]!BexGetData("DP_2","DL719O2RYNIY3MZ1QVCEEWBN7","17","E","22062106E201","2067315011")</f>
        <v>0</v>
      </c>
    </row>
    <row r="1509" spans="1:9" x14ac:dyDescent="0.2">
      <c r="A1509" s="46" t="s">
        <v>32</v>
      </c>
      <c r="B1509" s="46" t="s">
        <v>32</v>
      </c>
      <c r="C1509" s="46" t="s">
        <v>32</v>
      </c>
      <c r="D1509" s="46" t="s">
        <v>32</v>
      </c>
      <c r="E1509" s="46" t="s">
        <v>32</v>
      </c>
      <c r="F1509" s="47">
        <f>[1]!BexGetData("DP_2","DL719O2RYNC0Y217V0FVT1R77","17","E","22062106E201","2067331011")</f>
        <v>6000</v>
      </c>
      <c r="G1509" s="48">
        <f>[1]!BexGetData("DP_2","DL719O2RYNEBZX0HTMQQ0BY0J","17","E","22062106E201","2067331011")</f>
        <v>6000</v>
      </c>
      <c r="H1509" s="48">
        <f>[1]!BexGetData("DP_2","DL719O2RYNGN1RZRS91K7M4TV","17","E","22062106E201","2067331011")</f>
        <v>6000</v>
      </c>
      <c r="I1509" s="48">
        <f>[1]!BexGetData("DP_2","DL719O2RYNIY3MZ1QVCEEWBN7","17","E","22062106E201","2067331011")</f>
        <v>0</v>
      </c>
    </row>
    <row r="1510" spans="1:9" x14ac:dyDescent="0.2">
      <c r="A1510" s="46" t="s">
        <v>32</v>
      </c>
      <c r="B1510" s="46" t="s">
        <v>32</v>
      </c>
      <c r="C1510" s="46" t="s">
        <v>32</v>
      </c>
      <c r="D1510" s="46" t="s">
        <v>32</v>
      </c>
      <c r="E1510" s="46" t="s">
        <v>32</v>
      </c>
      <c r="F1510" s="47">
        <f>[1]!BexGetData("DP_2","DL719O2RYNC0Y217V0FVT1R77","17","E","22062106E201","2067332011")</f>
        <v>81200</v>
      </c>
      <c r="G1510" s="48">
        <f>[1]!BexGetData("DP_2","DL719O2RYNEBZX0HTMQQ0BY0J","17","E","22062106E201","2067332011")</f>
        <v>81200</v>
      </c>
      <c r="H1510" s="48">
        <f>[1]!BexGetData("DP_2","DL719O2RYNGN1RZRS91K7M4TV","17","E","22062106E201","2067332011")</f>
        <v>81200</v>
      </c>
      <c r="I1510" s="48">
        <f>[1]!BexGetData("DP_2","DL719O2RYNIY3MZ1QVCEEWBN7","17","E","22062106E201","2067332011")</f>
        <v>0</v>
      </c>
    </row>
    <row r="1511" spans="1:9" x14ac:dyDescent="0.2">
      <c r="A1511" s="46" t="s">
        <v>32</v>
      </c>
      <c r="B1511" s="46" t="s">
        <v>32</v>
      </c>
      <c r="C1511" s="46" t="s">
        <v>32</v>
      </c>
      <c r="D1511" s="46" t="s">
        <v>32</v>
      </c>
      <c r="E1511" s="46" t="s">
        <v>32</v>
      </c>
      <c r="F1511" s="47">
        <f>[1]!BexGetData("DP_2","DL719O2RYNC0Y217V0FVT1R77","17","E","22062106E201","2067336011")</f>
        <v>33931.74</v>
      </c>
      <c r="G1511" s="48">
        <f>[1]!BexGetData("DP_2","DL719O2RYNEBZX0HTMQQ0BY0J","17","E","22062106E201","2067336011")</f>
        <v>33931.74</v>
      </c>
      <c r="H1511" s="48">
        <f>[1]!BexGetData("DP_2","DL719O2RYNGN1RZRS91K7M4TV","17","E","22062106E201","2067336011")</f>
        <v>20011.740000000002</v>
      </c>
      <c r="I1511" s="48">
        <f>[1]!BexGetData("DP_2","DL719O2RYNIY3MZ1QVCEEWBN7","17","E","22062106E201","2067336011")</f>
        <v>0</v>
      </c>
    </row>
    <row r="1512" spans="1:9" x14ac:dyDescent="0.2">
      <c r="A1512" s="46" t="s">
        <v>32</v>
      </c>
      <c r="B1512" s="46" t="s">
        <v>32</v>
      </c>
      <c r="C1512" s="46" t="s">
        <v>32</v>
      </c>
      <c r="D1512" s="46" t="s">
        <v>32</v>
      </c>
      <c r="E1512" s="46" t="s">
        <v>32</v>
      </c>
      <c r="F1512" s="47">
        <f>[1]!BexGetData("DP_2","DL719O2RYNC0Y217V0FVT1R77","17","E","22062106E201","2067351091")</f>
        <v>464000</v>
      </c>
      <c r="G1512" s="48">
        <f>[1]!BexGetData("DP_2","DL719O2RYNEBZX0HTMQQ0BY0J","17","E","22062106E201","2067351091")</f>
        <v>464000</v>
      </c>
      <c r="H1512" s="48">
        <f>[1]!BexGetData("DP_2","DL719O2RYNGN1RZRS91K7M4TV","17","E","22062106E201","2067351091")</f>
        <v>464000</v>
      </c>
      <c r="I1512" s="48">
        <f>[1]!BexGetData("DP_2","DL719O2RYNIY3MZ1QVCEEWBN7","17","E","22062106E201","2067351091")</f>
        <v>0</v>
      </c>
    </row>
    <row r="1513" spans="1:9" x14ac:dyDescent="0.2">
      <c r="A1513" s="46" t="s">
        <v>32</v>
      </c>
      <c r="B1513" s="46" t="s">
        <v>32</v>
      </c>
      <c r="C1513" s="46" t="s">
        <v>32</v>
      </c>
      <c r="D1513" s="46" t="s">
        <v>32</v>
      </c>
      <c r="E1513" s="46" t="s">
        <v>32</v>
      </c>
      <c r="F1513" s="47">
        <f>[1]!BexGetData("DP_2","DL719O2RYNC0Y217V0FVT1R77","17","E","22062106E201","2067392011")</f>
        <v>1868</v>
      </c>
      <c r="G1513" s="48">
        <f>[1]!BexGetData("DP_2","DL719O2RYNEBZX0HTMQQ0BY0J","17","E","22062106E201","2067392011")</f>
        <v>1868</v>
      </c>
      <c r="H1513" s="48">
        <f>[1]!BexGetData("DP_2","DL719O2RYNGN1RZRS91K7M4TV","17","E","22062106E201","2067392011")</f>
        <v>1868</v>
      </c>
      <c r="I1513" s="48">
        <f>[1]!BexGetData("DP_2","DL719O2RYNIY3MZ1QVCEEWBN7","17","E","22062106E201","2067392011")</f>
        <v>0</v>
      </c>
    </row>
    <row r="1514" spans="1:9" x14ac:dyDescent="0.2">
      <c r="A1514" s="46" t="s">
        <v>32</v>
      </c>
      <c r="B1514" s="46" t="s">
        <v>32</v>
      </c>
      <c r="C1514" s="46" t="s">
        <v>32</v>
      </c>
      <c r="D1514" s="46" t="s">
        <v>32</v>
      </c>
      <c r="E1514" s="46" t="s">
        <v>32</v>
      </c>
      <c r="F1514" s="47">
        <f>[1]!BexGetData("DP_2","DL719O2RYNC0Y217V0FVT1R77","17","E","22062106E201","2067512012")</f>
        <v>134560</v>
      </c>
      <c r="G1514" s="48">
        <f>[1]!BexGetData("DP_2","DL719O2RYNEBZX0HTMQQ0BY0J","17","E","22062106E201","2067512012")</f>
        <v>134560</v>
      </c>
      <c r="H1514" s="48">
        <f>[1]!BexGetData("DP_2","DL719O2RYNGN1RZRS91K7M4TV","17","E","22062106E201","2067512012")</f>
        <v>0</v>
      </c>
      <c r="I1514" s="48">
        <f>[1]!BexGetData("DP_2","DL719O2RYNIY3MZ1QVCEEWBN7","17","E","22062106E201","2067512012")</f>
        <v>0</v>
      </c>
    </row>
    <row r="1515" spans="1:9" x14ac:dyDescent="0.2">
      <c r="A1515" s="46" t="s">
        <v>32</v>
      </c>
      <c r="B1515" s="46" t="s">
        <v>32</v>
      </c>
      <c r="C1515" s="46" t="s">
        <v>118</v>
      </c>
      <c r="D1515" s="46" t="s">
        <v>118</v>
      </c>
      <c r="E1515" s="46" t="s">
        <v>32</v>
      </c>
      <c r="F1515" s="47">
        <f>[1]!BexGetData("DP_2","DL719O2RYNC0Y217V0FVT1R77","17","E","22073081E208","2067113011")</f>
        <v>0</v>
      </c>
      <c r="G1515" s="48">
        <f>[1]!BexGetData("DP_2","DL719O2RYNEBZX0HTMQQ0BY0J","17","E","22073081E208","2067113011")</f>
        <v>0</v>
      </c>
      <c r="H1515" s="48">
        <f>[1]!BexGetData("DP_2","DL719O2RYNGN1RZRS91K7M4TV","17","E","22073081E208","2067113011")</f>
        <v>0</v>
      </c>
      <c r="I1515" s="48">
        <f>[1]!BexGetData("DP_2","DL719O2RYNIY3MZ1QVCEEWBN7","17","E","22073081E208","2067113011")</f>
        <v>0</v>
      </c>
    </row>
    <row r="1516" spans="1:9" x14ac:dyDescent="0.2">
      <c r="A1516" s="46" t="s">
        <v>32</v>
      </c>
      <c r="B1516" s="46" t="s">
        <v>32</v>
      </c>
      <c r="C1516" s="46" t="s">
        <v>32</v>
      </c>
      <c r="D1516" s="46" t="s">
        <v>32</v>
      </c>
      <c r="E1516" s="46" t="s">
        <v>32</v>
      </c>
      <c r="F1516" s="47">
        <f>[1]!BexGetData("DP_2","DL719O2RYNC0Y217V0FVT1R77","17","E","22073081E208","2067113021")</f>
        <v>80094.539999999994</v>
      </c>
      <c r="G1516" s="48">
        <f>[1]!BexGetData("DP_2","DL719O2RYNEBZX0HTMQQ0BY0J","17","E","22073081E208","2067113021")</f>
        <v>80094.539999999994</v>
      </c>
      <c r="H1516" s="48">
        <f>[1]!BexGetData("DP_2","DL719O2RYNGN1RZRS91K7M4TV","17","E","22073081E208","2067113021")</f>
        <v>80094.539999999994</v>
      </c>
      <c r="I1516" s="48">
        <f>[1]!BexGetData("DP_2","DL719O2RYNIY3MZ1QVCEEWBN7","17","E","22073081E208","2067113021")</f>
        <v>0</v>
      </c>
    </row>
    <row r="1517" spans="1:9" x14ac:dyDescent="0.2">
      <c r="A1517" s="46" t="s">
        <v>32</v>
      </c>
      <c r="B1517" s="46" t="s">
        <v>32</v>
      </c>
      <c r="C1517" s="46" t="s">
        <v>32</v>
      </c>
      <c r="D1517" s="46" t="s">
        <v>32</v>
      </c>
      <c r="E1517" s="46" t="s">
        <v>32</v>
      </c>
      <c r="F1517" s="47">
        <f>[1]!BexGetData("DP_2","DL719O2RYNC0Y217V0FVT1R77","17","E","22073081E208","2067122011")</f>
        <v>210100.15</v>
      </c>
      <c r="G1517" s="48">
        <f>[1]!BexGetData("DP_2","DL719O2RYNEBZX0HTMQQ0BY0J","17","E","22073081E208","2067122011")</f>
        <v>210100.15</v>
      </c>
      <c r="H1517" s="48">
        <f>[1]!BexGetData("DP_2","DL719O2RYNGN1RZRS91K7M4TV","17","E","22073081E208","2067122011")</f>
        <v>210100.15</v>
      </c>
      <c r="I1517" s="48">
        <f>[1]!BexGetData("DP_2","DL719O2RYNIY3MZ1QVCEEWBN7","17","E","22073081E208","2067122011")</f>
        <v>0</v>
      </c>
    </row>
    <row r="1518" spans="1:9" x14ac:dyDescent="0.2">
      <c r="A1518" s="46" t="s">
        <v>32</v>
      </c>
      <c r="B1518" s="46" t="s">
        <v>32</v>
      </c>
      <c r="C1518" s="46" t="s">
        <v>32</v>
      </c>
      <c r="D1518" s="46" t="s">
        <v>32</v>
      </c>
      <c r="E1518" s="46" t="s">
        <v>32</v>
      </c>
      <c r="F1518" s="47">
        <f>[1]!BexGetData("DP_2","DL719O2RYNC0Y217V0FVT1R77","17","E","22073081E208","2067131011")</f>
        <v>0</v>
      </c>
      <c r="G1518" s="48">
        <f>[1]!BexGetData("DP_2","DL719O2RYNEBZX0HTMQQ0BY0J","17","E","22073081E208","2067131011")</f>
        <v>0</v>
      </c>
      <c r="H1518" s="48">
        <f>[1]!BexGetData("DP_2","DL719O2RYNGN1RZRS91K7M4TV","17","E","22073081E208","2067131011")</f>
        <v>0</v>
      </c>
      <c r="I1518" s="48">
        <f>[1]!BexGetData("DP_2","DL719O2RYNIY3MZ1QVCEEWBN7","17","E","22073081E208","2067131011")</f>
        <v>0</v>
      </c>
    </row>
    <row r="1519" spans="1:9" x14ac:dyDescent="0.2">
      <c r="A1519" s="46" t="s">
        <v>32</v>
      </c>
      <c r="B1519" s="46" t="s">
        <v>32</v>
      </c>
      <c r="C1519" s="46" t="s">
        <v>32</v>
      </c>
      <c r="D1519" s="46" t="s">
        <v>32</v>
      </c>
      <c r="E1519" s="46" t="s">
        <v>32</v>
      </c>
      <c r="F1519" s="47">
        <f>[1]!BexGetData("DP_2","DL719O2RYNC0Y217V0FVT1R77","17","E","22073081E208","2067131021")</f>
        <v>0</v>
      </c>
      <c r="G1519" s="48">
        <f>[1]!BexGetData("DP_2","DL719O2RYNEBZX0HTMQQ0BY0J","17","E","22073081E208","2067131021")</f>
        <v>0</v>
      </c>
      <c r="H1519" s="48">
        <f>[1]!BexGetData("DP_2","DL719O2RYNGN1RZRS91K7M4TV","17","E","22073081E208","2067131021")</f>
        <v>0</v>
      </c>
      <c r="I1519" s="48">
        <f>[1]!BexGetData("DP_2","DL719O2RYNIY3MZ1QVCEEWBN7","17","E","22073081E208","2067131021")</f>
        <v>0</v>
      </c>
    </row>
    <row r="1520" spans="1:9" x14ac:dyDescent="0.2">
      <c r="A1520" s="46" t="s">
        <v>32</v>
      </c>
      <c r="B1520" s="46" t="s">
        <v>32</v>
      </c>
      <c r="C1520" s="46" t="s">
        <v>32</v>
      </c>
      <c r="D1520" s="46" t="s">
        <v>32</v>
      </c>
      <c r="E1520" s="46" t="s">
        <v>32</v>
      </c>
      <c r="F1520" s="47">
        <f>[1]!BexGetData("DP_2","DL719O2RYNC0Y217V0FVT1R77","17","E","22073081E208","2067132011")</f>
        <v>2288.4</v>
      </c>
      <c r="G1520" s="48">
        <f>[1]!BexGetData("DP_2","DL719O2RYNEBZX0HTMQQ0BY0J","17","E","22073081E208","2067132011")</f>
        <v>2288.4</v>
      </c>
      <c r="H1520" s="48">
        <f>[1]!BexGetData("DP_2","DL719O2RYNGN1RZRS91K7M4TV","17","E","22073081E208","2067132011")</f>
        <v>2288.4</v>
      </c>
      <c r="I1520" s="48">
        <f>[1]!BexGetData("DP_2","DL719O2RYNIY3MZ1QVCEEWBN7","17","E","22073081E208","2067132011")</f>
        <v>0</v>
      </c>
    </row>
    <row r="1521" spans="1:9" x14ac:dyDescent="0.2">
      <c r="A1521" s="46" t="s">
        <v>32</v>
      </c>
      <c r="B1521" s="46" t="s">
        <v>32</v>
      </c>
      <c r="C1521" s="46" t="s">
        <v>32</v>
      </c>
      <c r="D1521" s="46" t="s">
        <v>32</v>
      </c>
      <c r="E1521" s="46" t="s">
        <v>32</v>
      </c>
      <c r="F1521" s="47">
        <f>[1]!BexGetData("DP_2","DL719O2RYNC0Y217V0FVT1R77","17","E","22073081E208","2067132021")</f>
        <v>23012.77</v>
      </c>
      <c r="G1521" s="48">
        <f>[1]!BexGetData("DP_2","DL719O2RYNEBZX0HTMQQ0BY0J","17","E","22073081E208","2067132021")</f>
        <v>23012.77</v>
      </c>
      <c r="H1521" s="48">
        <f>[1]!BexGetData("DP_2","DL719O2RYNGN1RZRS91K7M4TV","17","E","22073081E208","2067132021")</f>
        <v>23012.77</v>
      </c>
      <c r="I1521" s="48">
        <f>[1]!BexGetData("DP_2","DL719O2RYNIY3MZ1QVCEEWBN7","17","E","22073081E208","2067132021")</f>
        <v>0</v>
      </c>
    </row>
    <row r="1522" spans="1:9" x14ac:dyDescent="0.2">
      <c r="A1522" s="46" t="s">
        <v>32</v>
      </c>
      <c r="B1522" s="46" t="s">
        <v>32</v>
      </c>
      <c r="C1522" s="46" t="s">
        <v>32</v>
      </c>
      <c r="D1522" s="46" t="s">
        <v>32</v>
      </c>
      <c r="E1522" s="46" t="s">
        <v>32</v>
      </c>
      <c r="F1522" s="47">
        <f>[1]!BexGetData("DP_2","DL719O2RYNC0Y217V0FVT1R77","17","E","22073081E208","2067134011")</f>
        <v>355341.26</v>
      </c>
      <c r="G1522" s="48">
        <f>[1]!BexGetData("DP_2","DL719O2RYNEBZX0HTMQQ0BY0J","17","E","22073081E208","2067134011")</f>
        <v>355341.26</v>
      </c>
      <c r="H1522" s="48">
        <f>[1]!BexGetData("DP_2","DL719O2RYNGN1RZRS91K7M4TV","17","E","22073081E208","2067134011")</f>
        <v>361986.82</v>
      </c>
      <c r="I1522" s="48">
        <f>[1]!BexGetData("DP_2","DL719O2RYNIY3MZ1QVCEEWBN7","17","E","22073081E208","2067134011")</f>
        <v>0</v>
      </c>
    </row>
    <row r="1523" spans="1:9" x14ac:dyDescent="0.2">
      <c r="A1523" s="46" t="s">
        <v>32</v>
      </c>
      <c r="B1523" s="46" t="s">
        <v>32</v>
      </c>
      <c r="C1523" s="46" t="s">
        <v>32</v>
      </c>
      <c r="D1523" s="46" t="s">
        <v>32</v>
      </c>
      <c r="E1523" s="46" t="s">
        <v>32</v>
      </c>
      <c r="F1523" s="47">
        <f>[1]!BexGetData("DP_2","DL719O2RYNC0Y217V0FVT1R77","17","E","22073081E208","2067134021")</f>
        <v>148672.57999999999</v>
      </c>
      <c r="G1523" s="48">
        <f>[1]!BexGetData("DP_2","DL719O2RYNEBZX0HTMQQ0BY0J","17","E","22073081E208","2067134021")</f>
        <v>148672.57999999999</v>
      </c>
      <c r="H1523" s="48">
        <f>[1]!BexGetData("DP_2","DL719O2RYNGN1RZRS91K7M4TV","17","E","22073081E208","2067134021")</f>
        <v>148672.57999999999</v>
      </c>
      <c r="I1523" s="48">
        <f>[1]!BexGetData("DP_2","DL719O2RYNIY3MZ1QVCEEWBN7","17","E","22073081E208","2067134021")</f>
        <v>0</v>
      </c>
    </row>
    <row r="1524" spans="1:9" x14ac:dyDescent="0.2">
      <c r="A1524" s="46" t="s">
        <v>32</v>
      </c>
      <c r="B1524" s="46" t="s">
        <v>32</v>
      </c>
      <c r="C1524" s="46" t="s">
        <v>32</v>
      </c>
      <c r="D1524" s="46" t="s">
        <v>32</v>
      </c>
      <c r="E1524" s="46" t="s">
        <v>32</v>
      </c>
      <c r="F1524" s="47">
        <f>[1]!BexGetData("DP_2","DL719O2RYNC0Y217V0FVT1R77","17","E","22073081E208","2067141011")</f>
        <v>42182.16</v>
      </c>
      <c r="G1524" s="48">
        <f>[1]!BexGetData("DP_2","DL719O2RYNEBZX0HTMQQ0BY0J","17","E","22073081E208","2067141011")</f>
        <v>42182.16</v>
      </c>
      <c r="H1524" s="48">
        <f>[1]!BexGetData("DP_2","DL719O2RYNGN1RZRS91K7M4TV","17","E","22073081E208","2067141011")</f>
        <v>42182.16</v>
      </c>
      <c r="I1524" s="48">
        <f>[1]!BexGetData("DP_2","DL719O2RYNIY3MZ1QVCEEWBN7","17","E","22073081E208","2067141011")</f>
        <v>0</v>
      </c>
    </row>
    <row r="1525" spans="1:9" x14ac:dyDescent="0.2">
      <c r="A1525" s="46" t="s">
        <v>32</v>
      </c>
      <c r="B1525" s="46" t="s">
        <v>32</v>
      </c>
      <c r="C1525" s="46" t="s">
        <v>32</v>
      </c>
      <c r="D1525" s="46" t="s">
        <v>32</v>
      </c>
      <c r="E1525" s="46" t="s">
        <v>32</v>
      </c>
      <c r="F1525" s="47">
        <f>[1]!BexGetData("DP_2","DL719O2RYNC0Y217V0FVT1R77","17","E","22073081E208","2067141021")</f>
        <v>12439.64</v>
      </c>
      <c r="G1525" s="48">
        <f>[1]!BexGetData("DP_2","DL719O2RYNEBZX0HTMQQ0BY0J","17","E","22073081E208","2067141021")</f>
        <v>12439.64</v>
      </c>
      <c r="H1525" s="48">
        <f>[1]!BexGetData("DP_2","DL719O2RYNGN1RZRS91K7M4TV","17","E","22073081E208","2067141021")</f>
        <v>12439.64</v>
      </c>
      <c r="I1525" s="48">
        <f>[1]!BexGetData("DP_2","DL719O2RYNIY3MZ1QVCEEWBN7","17","E","22073081E208","2067141021")</f>
        <v>0</v>
      </c>
    </row>
    <row r="1526" spans="1:9" x14ac:dyDescent="0.2">
      <c r="A1526" s="46" t="s">
        <v>32</v>
      </c>
      <c r="B1526" s="46" t="s">
        <v>32</v>
      </c>
      <c r="C1526" s="46" t="s">
        <v>32</v>
      </c>
      <c r="D1526" s="46" t="s">
        <v>32</v>
      </c>
      <c r="E1526" s="46" t="s">
        <v>32</v>
      </c>
      <c r="F1526" s="47">
        <f>[1]!BexGetData("DP_2","DL719O2RYNC0Y217V0FVT1R77","17","E","22073081E208","2067143011")</f>
        <v>5819.68</v>
      </c>
      <c r="G1526" s="48">
        <f>[1]!BexGetData("DP_2","DL719O2RYNEBZX0HTMQQ0BY0J","17","E","22073081E208","2067143011")</f>
        <v>5819.68</v>
      </c>
      <c r="H1526" s="48">
        <f>[1]!BexGetData("DP_2","DL719O2RYNGN1RZRS91K7M4TV","17","E","22073081E208","2067143011")</f>
        <v>5819.68</v>
      </c>
      <c r="I1526" s="48">
        <f>[1]!BexGetData("DP_2","DL719O2RYNIY3MZ1QVCEEWBN7","17","E","22073081E208","2067143011")</f>
        <v>0</v>
      </c>
    </row>
    <row r="1527" spans="1:9" x14ac:dyDescent="0.2">
      <c r="A1527" s="46" t="s">
        <v>32</v>
      </c>
      <c r="B1527" s="46" t="s">
        <v>32</v>
      </c>
      <c r="C1527" s="46" t="s">
        <v>32</v>
      </c>
      <c r="D1527" s="46" t="s">
        <v>32</v>
      </c>
      <c r="E1527" s="46" t="s">
        <v>32</v>
      </c>
      <c r="F1527" s="47">
        <f>[1]!BexGetData("DP_2","DL719O2RYNC0Y217V0FVT1R77","17","E","22073081E208","2067151011")</f>
        <v>9612.9599999999991</v>
      </c>
      <c r="G1527" s="48">
        <f>[1]!BexGetData("DP_2","DL719O2RYNEBZX0HTMQQ0BY0J","17","E","22073081E208","2067151011")</f>
        <v>9612.9599999999991</v>
      </c>
      <c r="H1527" s="48">
        <f>[1]!BexGetData("DP_2","DL719O2RYNGN1RZRS91K7M4TV","17","E","22073081E208","2067151011")</f>
        <v>9612.9599999999991</v>
      </c>
      <c r="I1527" s="48">
        <f>[1]!BexGetData("DP_2","DL719O2RYNIY3MZ1QVCEEWBN7","17","E","22073081E208","2067151011")</f>
        <v>0</v>
      </c>
    </row>
    <row r="1528" spans="1:9" x14ac:dyDescent="0.2">
      <c r="A1528" s="46" t="s">
        <v>32</v>
      </c>
      <c r="B1528" s="46" t="s">
        <v>32</v>
      </c>
      <c r="C1528" s="46" t="s">
        <v>32</v>
      </c>
      <c r="D1528" s="46" t="s">
        <v>32</v>
      </c>
      <c r="E1528" s="46" t="s">
        <v>32</v>
      </c>
      <c r="F1528" s="47">
        <f>[1]!BexGetData("DP_2","DL719O2RYNC0Y217V0FVT1R77","17","E","22073081E208","2067154011")</f>
        <v>18473.080000000002</v>
      </c>
      <c r="G1528" s="48">
        <f>[1]!BexGetData("DP_2","DL719O2RYNEBZX0HTMQQ0BY0J","17","E","22073081E208","2067154011")</f>
        <v>18473.080000000002</v>
      </c>
      <c r="H1528" s="48">
        <f>[1]!BexGetData("DP_2","DL719O2RYNGN1RZRS91K7M4TV","17","E","22073081E208","2067154011")</f>
        <v>18473.080000000002</v>
      </c>
      <c r="I1528" s="48">
        <f>[1]!BexGetData("DP_2","DL719O2RYNIY3MZ1QVCEEWBN7","17","E","22073081E208","2067154011")</f>
        <v>0</v>
      </c>
    </row>
    <row r="1529" spans="1:9" x14ac:dyDescent="0.2">
      <c r="A1529" s="46" t="s">
        <v>32</v>
      </c>
      <c r="B1529" s="46" t="s">
        <v>32</v>
      </c>
      <c r="C1529" s="46" t="s">
        <v>32</v>
      </c>
      <c r="D1529" s="46" t="s">
        <v>32</v>
      </c>
      <c r="E1529" s="46" t="s">
        <v>32</v>
      </c>
      <c r="F1529" s="47">
        <f>[1]!BexGetData("DP_2","DL719O2RYNC0Y217V0FVT1R77","17","E","22073081E208","2067211011")</f>
        <v>86322.15</v>
      </c>
      <c r="G1529" s="48">
        <f>[1]!BexGetData("DP_2","DL719O2RYNEBZX0HTMQQ0BY0J","17","E","22073081E208","2067211011")</f>
        <v>86322.15</v>
      </c>
      <c r="H1529" s="48">
        <f>[1]!BexGetData("DP_2","DL719O2RYNGN1RZRS91K7M4TV","17","E","22073081E208","2067211011")</f>
        <v>86322.15</v>
      </c>
      <c r="I1529" s="48">
        <f>[1]!BexGetData("DP_2","DL719O2RYNIY3MZ1QVCEEWBN7","17","E","22073081E208","2067211011")</f>
        <v>0</v>
      </c>
    </row>
    <row r="1530" spans="1:9" x14ac:dyDescent="0.2">
      <c r="A1530" s="46" t="s">
        <v>32</v>
      </c>
      <c r="B1530" s="46" t="s">
        <v>32</v>
      </c>
      <c r="C1530" s="46" t="s">
        <v>32</v>
      </c>
      <c r="D1530" s="46" t="s">
        <v>32</v>
      </c>
      <c r="E1530" s="46" t="s">
        <v>32</v>
      </c>
      <c r="F1530" s="47">
        <f>[1]!BexGetData("DP_2","DL719O2RYNC0Y217V0FVT1R77","17","E","22073081E208","2067211021")</f>
        <v>13168.6</v>
      </c>
      <c r="G1530" s="48">
        <f>[1]!BexGetData("DP_2","DL719O2RYNEBZX0HTMQQ0BY0J","17","E","22073081E208","2067211021")</f>
        <v>13168.6</v>
      </c>
      <c r="H1530" s="48">
        <f>[1]!BexGetData("DP_2","DL719O2RYNGN1RZRS91K7M4TV","17","E","22073081E208","2067211021")</f>
        <v>13168.6</v>
      </c>
      <c r="I1530" s="48">
        <f>[1]!BexGetData("DP_2","DL719O2RYNIY3MZ1QVCEEWBN7","17","E","22073081E208","2067211021")</f>
        <v>0</v>
      </c>
    </row>
    <row r="1531" spans="1:9" x14ac:dyDescent="0.2">
      <c r="A1531" s="46" t="s">
        <v>32</v>
      </c>
      <c r="B1531" s="46" t="s">
        <v>32</v>
      </c>
      <c r="C1531" s="46" t="s">
        <v>32</v>
      </c>
      <c r="D1531" s="46" t="s">
        <v>32</v>
      </c>
      <c r="E1531" s="46" t="s">
        <v>32</v>
      </c>
      <c r="F1531" s="47">
        <f>[1]!BexGetData("DP_2","DL719O2RYNC0Y217V0FVT1R77","17","E","22073081E208","2067211031")</f>
        <v>730.1</v>
      </c>
      <c r="G1531" s="48">
        <f>[1]!BexGetData("DP_2","DL719O2RYNEBZX0HTMQQ0BY0J","17","E","22073081E208","2067211031")</f>
        <v>730.1</v>
      </c>
      <c r="H1531" s="48">
        <f>[1]!BexGetData("DP_2","DL719O2RYNGN1RZRS91K7M4TV","17","E","22073081E208","2067211031")</f>
        <v>730.1</v>
      </c>
      <c r="I1531" s="48">
        <f>[1]!BexGetData("DP_2","DL719O2RYNIY3MZ1QVCEEWBN7","17","E","22073081E208","2067211031")</f>
        <v>0</v>
      </c>
    </row>
    <row r="1532" spans="1:9" x14ac:dyDescent="0.2">
      <c r="A1532" s="46" t="s">
        <v>32</v>
      </c>
      <c r="B1532" s="46" t="s">
        <v>32</v>
      </c>
      <c r="C1532" s="46" t="s">
        <v>32</v>
      </c>
      <c r="D1532" s="46" t="s">
        <v>32</v>
      </c>
      <c r="E1532" s="46" t="s">
        <v>32</v>
      </c>
      <c r="F1532" s="47">
        <f>[1]!BexGetData("DP_2","DL719O2RYNC0Y217V0FVT1R77","17","E","22073081E208","2067214011")</f>
        <v>54055.59</v>
      </c>
      <c r="G1532" s="48">
        <f>[1]!BexGetData("DP_2","DL719O2RYNEBZX0HTMQQ0BY0J","17","E","22073081E208","2067214011")</f>
        <v>54055.59</v>
      </c>
      <c r="H1532" s="48">
        <f>[1]!BexGetData("DP_2","DL719O2RYNGN1RZRS91K7M4TV","17","E","22073081E208","2067214011")</f>
        <v>54055.59</v>
      </c>
      <c r="I1532" s="48">
        <f>[1]!BexGetData("DP_2","DL719O2RYNIY3MZ1QVCEEWBN7","17","E","22073081E208","2067214011")</f>
        <v>0</v>
      </c>
    </row>
    <row r="1533" spans="1:9" x14ac:dyDescent="0.2">
      <c r="A1533" s="46" t="s">
        <v>32</v>
      </c>
      <c r="B1533" s="46" t="s">
        <v>32</v>
      </c>
      <c r="C1533" s="46" t="s">
        <v>32</v>
      </c>
      <c r="D1533" s="46" t="s">
        <v>32</v>
      </c>
      <c r="E1533" s="46" t="s">
        <v>32</v>
      </c>
      <c r="F1533" s="47">
        <f>[1]!BexGetData("DP_2","DL719O2RYNC0Y217V0FVT1R77","17","E","22073081E208","2067214021")</f>
        <v>1990</v>
      </c>
      <c r="G1533" s="48">
        <f>[1]!BexGetData("DP_2","DL719O2RYNEBZX0HTMQQ0BY0J","17","E","22073081E208","2067214021")</f>
        <v>1990</v>
      </c>
      <c r="H1533" s="48">
        <f>[1]!BexGetData("DP_2","DL719O2RYNGN1RZRS91K7M4TV","17","E","22073081E208","2067214021")</f>
        <v>1990</v>
      </c>
      <c r="I1533" s="48">
        <f>[1]!BexGetData("DP_2","DL719O2RYNIY3MZ1QVCEEWBN7","17","E","22073081E208","2067214021")</f>
        <v>0</v>
      </c>
    </row>
    <row r="1534" spans="1:9" x14ac:dyDescent="0.2">
      <c r="A1534" s="46" t="s">
        <v>32</v>
      </c>
      <c r="B1534" s="46" t="s">
        <v>32</v>
      </c>
      <c r="C1534" s="46" t="s">
        <v>32</v>
      </c>
      <c r="D1534" s="46" t="s">
        <v>32</v>
      </c>
      <c r="E1534" s="46" t="s">
        <v>32</v>
      </c>
      <c r="F1534" s="47">
        <f>[1]!BexGetData("DP_2","DL719O2RYNC0Y217V0FVT1R77","17","E","22073081E208","2067216011")</f>
        <v>79906.23</v>
      </c>
      <c r="G1534" s="48">
        <f>[1]!BexGetData("DP_2","DL719O2RYNEBZX0HTMQQ0BY0J","17","E","22073081E208","2067216011")</f>
        <v>79906.23</v>
      </c>
      <c r="H1534" s="48">
        <f>[1]!BexGetData("DP_2","DL719O2RYNGN1RZRS91K7M4TV","17","E","22073081E208","2067216011")</f>
        <v>79906.23</v>
      </c>
      <c r="I1534" s="48">
        <f>[1]!BexGetData("DP_2","DL719O2RYNIY3MZ1QVCEEWBN7","17","E","22073081E208","2067216011")</f>
        <v>0</v>
      </c>
    </row>
    <row r="1535" spans="1:9" x14ac:dyDescent="0.2">
      <c r="A1535" s="46" t="s">
        <v>32</v>
      </c>
      <c r="B1535" s="46" t="s">
        <v>32</v>
      </c>
      <c r="C1535" s="46" t="s">
        <v>32</v>
      </c>
      <c r="D1535" s="46" t="s">
        <v>32</v>
      </c>
      <c r="E1535" s="46" t="s">
        <v>32</v>
      </c>
      <c r="F1535" s="47">
        <f>[1]!BexGetData("DP_2","DL719O2RYNC0Y217V0FVT1R77","17","E","22073081E208","2067244011")</f>
        <v>3915</v>
      </c>
      <c r="G1535" s="48">
        <f>[1]!BexGetData("DP_2","DL719O2RYNEBZX0HTMQQ0BY0J","17","E","22073081E208","2067244011")</f>
        <v>3915</v>
      </c>
      <c r="H1535" s="48">
        <f>[1]!BexGetData("DP_2","DL719O2RYNGN1RZRS91K7M4TV","17","E","22073081E208","2067244011")</f>
        <v>3915</v>
      </c>
      <c r="I1535" s="48">
        <f>[1]!BexGetData("DP_2","DL719O2RYNIY3MZ1QVCEEWBN7","17","E","22073081E208","2067244011")</f>
        <v>0</v>
      </c>
    </row>
    <row r="1536" spans="1:9" x14ac:dyDescent="0.2">
      <c r="A1536" s="46" t="s">
        <v>32</v>
      </c>
      <c r="B1536" s="46" t="s">
        <v>32</v>
      </c>
      <c r="C1536" s="46" t="s">
        <v>32</v>
      </c>
      <c r="D1536" s="46" t="s">
        <v>32</v>
      </c>
      <c r="E1536" s="46" t="s">
        <v>32</v>
      </c>
      <c r="F1536" s="47">
        <f>[1]!BexGetData("DP_2","DL719O2RYNC0Y217V0FVT1R77","17","E","22073081E208","2067246011")</f>
        <v>17937.86</v>
      </c>
      <c r="G1536" s="48">
        <f>[1]!BexGetData("DP_2","DL719O2RYNEBZX0HTMQQ0BY0J","17","E","22073081E208","2067246011")</f>
        <v>17937.86</v>
      </c>
      <c r="H1536" s="48">
        <f>[1]!BexGetData("DP_2","DL719O2RYNGN1RZRS91K7M4TV","17","E","22073081E208","2067246011")</f>
        <v>17937.86</v>
      </c>
      <c r="I1536" s="48">
        <f>[1]!BexGetData("DP_2","DL719O2RYNIY3MZ1QVCEEWBN7","17","E","22073081E208","2067246011")</f>
        <v>0</v>
      </c>
    </row>
    <row r="1537" spans="1:9" x14ac:dyDescent="0.2">
      <c r="A1537" s="46" t="s">
        <v>32</v>
      </c>
      <c r="B1537" s="46" t="s">
        <v>32</v>
      </c>
      <c r="C1537" s="46" t="s">
        <v>32</v>
      </c>
      <c r="D1537" s="46" t="s">
        <v>32</v>
      </c>
      <c r="E1537" s="46" t="s">
        <v>32</v>
      </c>
      <c r="F1537" s="47">
        <f>[1]!BexGetData("DP_2","DL719O2RYNC0Y217V0FVT1R77","17","E","22073081E208","2067247011")</f>
        <v>26618.1</v>
      </c>
      <c r="G1537" s="48">
        <f>[1]!BexGetData("DP_2","DL719O2RYNEBZX0HTMQQ0BY0J","17","E","22073081E208","2067247011")</f>
        <v>26618.1</v>
      </c>
      <c r="H1537" s="48">
        <f>[1]!BexGetData("DP_2","DL719O2RYNGN1RZRS91K7M4TV","17","E","22073081E208","2067247011")</f>
        <v>26618.1</v>
      </c>
      <c r="I1537" s="48">
        <f>[1]!BexGetData("DP_2","DL719O2RYNIY3MZ1QVCEEWBN7","17","E","22073081E208","2067247011")</f>
        <v>0</v>
      </c>
    </row>
    <row r="1538" spans="1:9" x14ac:dyDescent="0.2">
      <c r="A1538" s="46" t="s">
        <v>32</v>
      </c>
      <c r="B1538" s="46" t="s">
        <v>32</v>
      </c>
      <c r="C1538" s="46" t="s">
        <v>32</v>
      </c>
      <c r="D1538" s="46" t="s">
        <v>32</v>
      </c>
      <c r="E1538" s="46" t="s">
        <v>32</v>
      </c>
      <c r="F1538" s="47">
        <f>[1]!BexGetData("DP_2","DL719O2RYNC0Y217V0FVT1R77","17","E","22073081E208","2067249011")</f>
        <v>72022.83</v>
      </c>
      <c r="G1538" s="48">
        <f>[1]!BexGetData("DP_2","DL719O2RYNEBZX0HTMQQ0BY0J","17","E","22073081E208","2067249011")</f>
        <v>72022.83</v>
      </c>
      <c r="H1538" s="48">
        <f>[1]!BexGetData("DP_2","DL719O2RYNGN1RZRS91K7M4TV","17","E","22073081E208","2067249011")</f>
        <v>72022.83</v>
      </c>
      <c r="I1538" s="48">
        <f>[1]!BexGetData("DP_2","DL719O2RYNIY3MZ1QVCEEWBN7","17","E","22073081E208","2067249011")</f>
        <v>0</v>
      </c>
    </row>
    <row r="1539" spans="1:9" x14ac:dyDescent="0.2">
      <c r="A1539" s="46" t="s">
        <v>32</v>
      </c>
      <c r="B1539" s="46" t="s">
        <v>32</v>
      </c>
      <c r="C1539" s="46" t="s">
        <v>32</v>
      </c>
      <c r="D1539" s="46" t="s">
        <v>32</v>
      </c>
      <c r="E1539" s="46" t="s">
        <v>32</v>
      </c>
      <c r="F1539" s="47">
        <f>[1]!BexGetData("DP_2","DL719O2RYNC0Y217V0FVT1R77","17","E","22073081E208","2067256011")</f>
        <v>15636.43</v>
      </c>
      <c r="G1539" s="48">
        <f>[1]!BexGetData("DP_2","DL719O2RYNEBZX0HTMQQ0BY0J","17","E","22073081E208","2067256011")</f>
        <v>15636.43</v>
      </c>
      <c r="H1539" s="48">
        <f>[1]!BexGetData("DP_2","DL719O2RYNGN1RZRS91K7M4TV","17","E","22073081E208","2067256011")</f>
        <v>15636.43</v>
      </c>
      <c r="I1539" s="48">
        <f>[1]!BexGetData("DP_2","DL719O2RYNIY3MZ1QVCEEWBN7","17","E","22073081E208","2067256011")</f>
        <v>0</v>
      </c>
    </row>
    <row r="1540" spans="1:9" x14ac:dyDescent="0.2">
      <c r="A1540" s="46" t="s">
        <v>32</v>
      </c>
      <c r="B1540" s="46" t="s">
        <v>32</v>
      </c>
      <c r="C1540" s="46" t="s">
        <v>32</v>
      </c>
      <c r="D1540" s="46" t="s">
        <v>32</v>
      </c>
      <c r="E1540" s="46" t="s">
        <v>32</v>
      </c>
      <c r="F1540" s="47">
        <f>[1]!BexGetData("DP_2","DL719O2RYNC0Y217V0FVT1R77","17","E","22073081E208","2067261021")</f>
        <v>0</v>
      </c>
      <c r="G1540" s="48">
        <f>[1]!BexGetData("DP_2","DL719O2RYNEBZX0HTMQQ0BY0J","17","E","22073081E208","2067261021")</f>
        <v>0</v>
      </c>
      <c r="H1540" s="48">
        <f>[1]!BexGetData("DP_2","DL719O2RYNGN1RZRS91K7M4TV","17","E","22073081E208","2067261021")</f>
        <v>0</v>
      </c>
      <c r="I1540" s="48">
        <f>[1]!BexGetData("DP_2","DL719O2RYNIY3MZ1QVCEEWBN7","17","E","22073081E208","2067261021")</f>
        <v>0</v>
      </c>
    </row>
    <row r="1541" spans="1:9" x14ac:dyDescent="0.2">
      <c r="A1541" s="46" t="s">
        <v>32</v>
      </c>
      <c r="B1541" s="46" t="s">
        <v>32</v>
      </c>
      <c r="C1541" s="46" t="s">
        <v>32</v>
      </c>
      <c r="D1541" s="46" t="s">
        <v>32</v>
      </c>
      <c r="E1541" s="46" t="s">
        <v>32</v>
      </c>
      <c r="F1541" s="47">
        <f>[1]!BexGetData("DP_2","DL719O2RYNC0Y217V0FVT1R77","17","E","22073081E208","2067272011")</f>
        <v>633.01</v>
      </c>
      <c r="G1541" s="48">
        <f>[1]!BexGetData("DP_2","DL719O2RYNEBZX0HTMQQ0BY0J","17","E","22073081E208","2067272011")</f>
        <v>633.01</v>
      </c>
      <c r="H1541" s="48">
        <f>[1]!BexGetData("DP_2","DL719O2RYNGN1RZRS91K7M4TV","17","E","22073081E208","2067272011")</f>
        <v>633.01</v>
      </c>
      <c r="I1541" s="48">
        <f>[1]!BexGetData("DP_2","DL719O2RYNIY3MZ1QVCEEWBN7","17","E","22073081E208","2067272011")</f>
        <v>0</v>
      </c>
    </row>
    <row r="1542" spans="1:9" x14ac:dyDescent="0.2">
      <c r="A1542" s="46" t="s">
        <v>32</v>
      </c>
      <c r="B1542" s="46" t="s">
        <v>32</v>
      </c>
      <c r="C1542" s="46" t="s">
        <v>32</v>
      </c>
      <c r="D1542" s="46" t="s">
        <v>32</v>
      </c>
      <c r="E1542" s="46" t="s">
        <v>32</v>
      </c>
      <c r="F1542" s="47">
        <f>[1]!BexGetData("DP_2","DL719O2RYNC0Y217V0FVT1R77","17","E","22073081E208","2067274011")</f>
        <v>405</v>
      </c>
      <c r="G1542" s="48">
        <f>[1]!BexGetData("DP_2","DL719O2RYNEBZX0HTMQQ0BY0J","17","E","22073081E208","2067274011")</f>
        <v>405</v>
      </c>
      <c r="H1542" s="48">
        <f>[1]!BexGetData("DP_2","DL719O2RYNGN1RZRS91K7M4TV","17","E","22073081E208","2067274011")</f>
        <v>405</v>
      </c>
      <c r="I1542" s="48">
        <f>[1]!BexGetData("DP_2","DL719O2RYNIY3MZ1QVCEEWBN7","17","E","22073081E208","2067274011")</f>
        <v>0</v>
      </c>
    </row>
    <row r="1543" spans="1:9" x14ac:dyDescent="0.2">
      <c r="A1543" s="46" t="s">
        <v>32</v>
      </c>
      <c r="B1543" s="46" t="s">
        <v>32</v>
      </c>
      <c r="C1543" s="46" t="s">
        <v>32</v>
      </c>
      <c r="D1543" s="46" t="s">
        <v>32</v>
      </c>
      <c r="E1543" s="46" t="s">
        <v>32</v>
      </c>
      <c r="F1543" s="47">
        <f>[1]!BexGetData("DP_2","DL719O2RYNC0Y217V0FVT1R77","17","E","22073081E208","2067291011")</f>
        <v>23433.32</v>
      </c>
      <c r="G1543" s="48">
        <f>[1]!BexGetData("DP_2","DL719O2RYNEBZX0HTMQQ0BY0J","17","E","22073081E208","2067291011")</f>
        <v>23433.32</v>
      </c>
      <c r="H1543" s="48">
        <f>[1]!BexGetData("DP_2","DL719O2RYNGN1RZRS91K7M4TV","17","E","22073081E208","2067291011")</f>
        <v>23433.32</v>
      </c>
      <c r="I1543" s="48">
        <f>[1]!BexGetData("DP_2","DL719O2RYNIY3MZ1QVCEEWBN7","17","E","22073081E208","2067291011")</f>
        <v>0</v>
      </c>
    </row>
    <row r="1544" spans="1:9" x14ac:dyDescent="0.2">
      <c r="A1544" s="46" t="s">
        <v>32</v>
      </c>
      <c r="B1544" s="46" t="s">
        <v>32</v>
      </c>
      <c r="C1544" s="46" t="s">
        <v>32</v>
      </c>
      <c r="D1544" s="46" t="s">
        <v>32</v>
      </c>
      <c r="E1544" s="46" t="s">
        <v>32</v>
      </c>
      <c r="F1544" s="47">
        <f>[1]!BexGetData("DP_2","DL719O2RYNC0Y217V0FVT1R77","17","E","22073081E208","2067292011")</f>
        <v>7367.48</v>
      </c>
      <c r="G1544" s="48">
        <f>[1]!BexGetData("DP_2","DL719O2RYNEBZX0HTMQQ0BY0J","17","E","22073081E208","2067292011")</f>
        <v>7367.48</v>
      </c>
      <c r="H1544" s="48">
        <f>[1]!BexGetData("DP_2","DL719O2RYNGN1RZRS91K7M4TV","17","E","22073081E208","2067292011")</f>
        <v>7367.48</v>
      </c>
      <c r="I1544" s="48">
        <f>[1]!BexGetData("DP_2","DL719O2RYNIY3MZ1QVCEEWBN7","17","E","22073081E208","2067292011")</f>
        <v>0</v>
      </c>
    </row>
    <row r="1545" spans="1:9" x14ac:dyDescent="0.2">
      <c r="A1545" s="46" t="s">
        <v>32</v>
      </c>
      <c r="B1545" s="46" t="s">
        <v>32</v>
      </c>
      <c r="C1545" s="46" t="s">
        <v>32</v>
      </c>
      <c r="D1545" s="46" t="s">
        <v>32</v>
      </c>
      <c r="E1545" s="46" t="s">
        <v>32</v>
      </c>
      <c r="F1545" s="47">
        <f>[1]!BexGetData("DP_2","DL719O2RYNC0Y217V0FVT1R77","17","E","22073081E208","2067293061")</f>
        <v>355.98</v>
      </c>
      <c r="G1545" s="48">
        <f>[1]!BexGetData("DP_2","DL719O2RYNEBZX0HTMQQ0BY0J","17","E","22073081E208","2067293061")</f>
        <v>355.98</v>
      </c>
      <c r="H1545" s="48">
        <f>[1]!BexGetData("DP_2","DL719O2RYNGN1RZRS91K7M4TV","17","E","22073081E208","2067293061")</f>
        <v>355.98</v>
      </c>
      <c r="I1545" s="48">
        <f>[1]!BexGetData("DP_2","DL719O2RYNIY3MZ1QVCEEWBN7","17","E","22073081E208","2067293061")</f>
        <v>0</v>
      </c>
    </row>
    <row r="1546" spans="1:9" x14ac:dyDescent="0.2">
      <c r="A1546" s="46" t="s">
        <v>32</v>
      </c>
      <c r="B1546" s="46" t="s">
        <v>32</v>
      </c>
      <c r="C1546" s="46" t="s">
        <v>32</v>
      </c>
      <c r="D1546" s="46" t="s">
        <v>32</v>
      </c>
      <c r="E1546" s="46" t="s">
        <v>32</v>
      </c>
      <c r="F1546" s="47">
        <f>[1]!BexGetData("DP_2","DL719O2RYNC0Y217V0FVT1R77","17","E","22073081E208","2067296011")</f>
        <v>0</v>
      </c>
      <c r="G1546" s="48">
        <f>[1]!BexGetData("DP_2","DL719O2RYNEBZX0HTMQQ0BY0J","17","E","22073081E208","2067296011")</f>
        <v>0</v>
      </c>
      <c r="H1546" s="48">
        <f>[1]!BexGetData("DP_2","DL719O2RYNGN1RZRS91K7M4TV","17","E","22073081E208","2067296011")</f>
        <v>0</v>
      </c>
      <c r="I1546" s="48">
        <f>[1]!BexGetData("DP_2","DL719O2RYNIY3MZ1QVCEEWBN7","17","E","22073081E208","2067296011")</f>
        <v>0</v>
      </c>
    </row>
    <row r="1547" spans="1:9" x14ac:dyDescent="0.2">
      <c r="A1547" s="46" t="s">
        <v>32</v>
      </c>
      <c r="B1547" s="46" t="s">
        <v>32</v>
      </c>
      <c r="C1547" s="46" t="s">
        <v>32</v>
      </c>
      <c r="D1547" s="46" t="s">
        <v>32</v>
      </c>
      <c r="E1547" s="46" t="s">
        <v>32</v>
      </c>
      <c r="F1547" s="47">
        <f>[1]!BexGetData("DP_2","DL719O2RYNC0Y217V0FVT1R77","17","E","22073081E208","2067311011")</f>
        <v>96456.51</v>
      </c>
      <c r="G1547" s="48">
        <f>[1]!BexGetData("DP_2","DL719O2RYNEBZX0HTMQQ0BY0J","17","E","22073081E208","2067311011")</f>
        <v>96456.51</v>
      </c>
      <c r="H1547" s="48">
        <f>[1]!BexGetData("DP_2","DL719O2RYNGN1RZRS91K7M4TV","17","E","22073081E208","2067311011")</f>
        <v>86963.51</v>
      </c>
      <c r="I1547" s="48">
        <f>[1]!BexGetData("DP_2","DL719O2RYNIY3MZ1QVCEEWBN7","17","E","22073081E208","2067311011")</f>
        <v>0</v>
      </c>
    </row>
    <row r="1548" spans="1:9" x14ac:dyDescent="0.2">
      <c r="A1548" s="46" t="s">
        <v>32</v>
      </c>
      <c r="B1548" s="46" t="s">
        <v>32</v>
      </c>
      <c r="C1548" s="46" t="s">
        <v>32</v>
      </c>
      <c r="D1548" s="46" t="s">
        <v>32</v>
      </c>
      <c r="E1548" s="46" t="s">
        <v>32</v>
      </c>
      <c r="F1548" s="47">
        <f>[1]!BexGetData("DP_2","DL719O2RYNC0Y217V0FVT1R77","17","E","22073081E208","2067313011")</f>
        <v>649</v>
      </c>
      <c r="G1548" s="48">
        <f>[1]!BexGetData("DP_2","DL719O2RYNEBZX0HTMQQ0BY0J","17","E","22073081E208","2067313011")</f>
        <v>649</v>
      </c>
      <c r="H1548" s="48">
        <f>[1]!BexGetData("DP_2","DL719O2RYNGN1RZRS91K7M4TV","17","E","22073081E208","2067313011")</f>
        <v>649</v>
      </c>
      <c r="I1548" s="48">
        <f>[1]!BexGetData("DP_2","DL719O2RYNIY3MZ1QVCEEWBN7","17","E","22073081E208","2067313011")</f>
        <v>0</v>
      </c>
    </row>
    <row r="1549" spans="1:9" x14ac:dyDescent="0.2">
      <c r="A1549" s="46" t="s">
        <v>32</v>
      </c>
      <c r="B1549" s="46" t="s">
        <v>32</v>
      </c>
      <c r="C1549" s="46" t="s">
        <v>32</v>
      </c>
      <c r="D1549" s="46" t="s">
        <v>32</v>
      </c>
      <c r="E1549" s="46" t="s">
        <v>32</v>
      </c>
      <c r="F1549" s="47">
        <f>[1]!BexGetData("DP_2","DL719O2RYNC0Y217V0FVT1R77","17","E","22073081E208","2067314011")</f>
        <v>23206.99</v>
      </c>
      <c r="G1549" s="48">
        <f>[1]!BexGetData("DP_2","DL719O2RYNEBZX0HTMQQ0BY0J","17","E","22073081E208","2067314011")</f>
        <v>23206.99</v>
      </c>
      <c r="H1549" s="48">
        <f>[1]!BexGetData("DP_2","DL719O2RYNGN1RZRS91K7M4TV","17","E","22073081E208","2067314011")</f>
        <v>23206.99</v>
      </c>
      <c r="I1549" s="48">
        <f>[1]!BexGetData("DP_2","DL719O2RYNIY3MZ1QVCEEWBN7","17","E","22073081E208","2067314011")</f>
        <v>0</v>
      </c>
    </row>
    <row r="1550" spans="1:9" x14ac:dyDescent="0.2">
      <c r="A1550" s="46" t="s">
        <v>32</v>
      </c>
      <c r="B1550" s="46" t="s">
        <v>32</v>
      </c>
      <c r="C1550" s="46" t="s">
        <v>32</v>
      </c>
      <c r="D1550" s="46" t="s">
        <v>32</v>
      </c>
      <c r="E1550" s="46" t="s">
        <v>32</v>
      </c>
      <c r="F1550" s="47">
        <f>[1]!BexGetData("DP_2","DL719O2RYNC0Y217V0FVT1R77","17","E","22073081E208","2067318011")</f>
        <v>749.84</v>
      </c>
      <c r="G1550" s="48">
        <f>[1]!BexGetData("DP_2","DL719O2RYNEBZX0HTMQQ0BY0J","17","E","22073081E208","2067318011")</f>
        <v>749.84</v>
      </c>
      <c r="H1550" s="48">
        <f>[1]!BexGetData("DP_2","DL719O2RYNGN1RZRS91K7M4TV","17","E","22073081E208","2067318011")</f>
        <v>749.84</v>
      </c>
      <c r="I1550" s="48">
        <f>[1]!BexGetData("DP_2","DL719O2RYNIY3MZ1QVCEEWBN7","17","E","22073081E208","2067318011")</f>
        <v>0</v>
      </c>
    </row>
    <row r="1551" spans="1:9" x14ac:dyDescent="0.2">
      <c r="A1551" s="46" t="s">
        <v>32</v>
      </c>
      <c r="B1551" s="46" t="s">
        <v>32</v>
      </c>
      <c r="C1551" s="46" t="s">
        <v>32</v>
      </c>
      <c r="D1551" s="46" t="s">
        <v>32</v>
      </c>
      <c r="E1551" s="46" t="s">
        <v>32</v>
      </c>
      <c r="F1551" s="47">
        <f>[1]!BexGetData("DP_2","DL719O2RYNC0Y217V0FVT1R77","17","E","22073081E208","2067322011")</f>
        <v>628202.64</v>
      </c>
      <c r="G1551" s="48">
        <f>[1]!BexGetData("DP_2","DL719O2RYNEBZX0HTMQQ0BY0J","17","E","22073081E208","2067322011")</f>
        <v>628202.64</v>
      </c>
      <c r="H1551" s="48">
        <f>[1]!BexGetData("DP_2","DL719O2RYNGN1RZRS91K7M4TV","17","E","22073081E208","2067322011")</f>
        <v>489002.64</v>
      </c>
      <c r="I1551" s="48">
        <f>[1]!BexGetData("DP_2","DL719O2RYNIY3MZ1QVCEEWBN7","17","E","22073081E208","2067322011")</f>
        <v>0</v>
      </c>
    </row>
    <row r="1552" spans="1:9" x14ac:dyDescent="0.2">
      <c r="A1552" s="46" t="s">
        <v>32</v>
      </c>
      <c r="B1552" s="46" t="s">
        <v>32</v>
      </c>
      <c r="C1552" s="46" t="s">
        <v>32</v>
      </c>
      <c r="D1552" s="46" t="s">
        <v>32</v>
      </c>
      <c r="E1552" s="46" t="s">
        <v>32</v>
      </c>
      <c r="F1552" s="47">
        <f>[1]!BexGetData("DP_2","DL719O2RYNC0Y217V0FVT1R77","17","E","22073081E208","2067329011")</f>
        <v>261</v>
      </c>
      <c r="G1552" s="48">
        <f>[1]!BexGetData("DP_2","DL719O2RYNEBZX0HTMQQ0BY0J","17","E","22073081E208","2067329011")</f>
        <v>261</v>
      </c>
      <c r="H1552" s="48">
        <f>[1]!BexGetData("DP_2","DL719O2RYNGN1RZRS91K7M4TV","17","E","22073081E208","2067329011")</f>
        <v>261</v>
      </c>
      <c r="I1552" s="48">
        <f>[1]!BexGetData("DP_2","DL719O2RYNIY3MZ1QVCEEWBN7","17","E","22073081E208","2067329011")</f>
        <v>0</v>
      </c>
    </row>
    <row r="1553" spans="1:9" x14ac:dyDescent="0.2">
      <c r="A1553" s="46" t="s">
        <v>32</v>
      </c>
      <c r="B1553" s="46" t="s">
        <v>32</v>
      </c>
      <c r="C1553" s="46" t="s">
        <v>32</v>
      </c>
      <c r="D1553" s="46" t="s">
        <v>32</v>
      </c>
      <c r="E1553" s="46" t="s">
        <v>32</v>
      </c>
      <c r="F1553" s="47">
        <f>[1]!BexGetData("DP_2","DL719O2RYNC0Y217V0FVT1R77","17","E","22073081E208","2067333011")</f>
        <v>0</v>
      </c>
      <c r="G1553" s="48">
        <f>[1]!BexGetData("DP_2","DL719O2RYNEBZX0HTMQQ0BY0J","17","E","22073081E208","2067333011")</f>
        <v>0</v>
      </c>
      <c r="H1553" s="48">
        <f>[1]!BexGetData("DP_2","DL719O2RYNGN1RZRS91K7M4TV","17","E","22073081E208","2067333011")</f>
        <v>0</v>
      </c>
      <c r="I1553" s="48">
        <f>[1]!BexGetData("DP_2","DL719O2RYNIY3MZ1QVCEEWBN7","17","E","22073081E208","2067333011")</f>
        <v>0</v>
      </c>
    </row>
    <row r="1554" spans="1:9" x14ac:dyDescent="0.2">
      <c r="A1554" s="46" t="s">
        <v>32</v>
      </c>
      <c r="B1554" s="46" t="s">
        <v>32</v>
      </c>
      <c r="C1554" s="46" t="s">
        <v>32</v>
      </c>
      <c r="D1554" s="46" t="s">
        <v>32</v>
      </c>
      <c r="E1554" s="46" t="s">
        <v>32</v>
      </c>
      <c r="F1554" s="47">
        <f>[1]!BexGetData("DP_2","DL719O2RYNC0Y217V0FVT1R77","17","E","22073081E208","2067336011")</f>
        <v>68962.44</v>
      </c>
      <c r="G1554" s="48">
        <f>[1]!BexGetData("DP_2","DL719O2RYNEBZX0HTMQQ0BY0J","17","E","22073081E208","2067336011")</f>
        <v>68962.44</v>
      </c>
      <c r="H1554" s="48">
        <f>[1]!BexGetData("DP_2","DL719O2RYNGN1RZRS91K7M4TV","17","E","22073081E208","2067336011")</f>
        <v>21235.51</v>
      </c>
      <c r="I1554" s="48">
        <f>[1]!BexGetData("DP_2","DL719O2RYNIY3MZ1QVCEEWBN7","17","E","22073081E208","2067336011")</f>
        <v>0</v>
      </c>
    </row>
    <row r="1555" spans="1:9" x14ac:dyDescent="0.2">
      <c r="A1555" s="46" t="s">
        <v>32</v>
      </c>
      <c r="B1555" s="46" t="s">
        <v>32</v>
      </c>
      <c r="C1555" s="46" t="s">
        <v>32</v>
      </c>
      <c r="D1555" s="46" t="s">
        <v>32</v>
      </c>
      <c r="E1555" s="46" t="s">
        <v>32</v>
      </c>
      <c r="F1555" s="47">
        <f>[1]!BexGetData("DP_2","DL719O2RYNC0Y217V0FVT1R77","17","E","22073081E208","2067339011")</f>
        <v>4070.44</v>
      </c>
      <c r="G1555" s="48">
        <f>[1]!BexGetData("DP_2","DL719O2RYNEBZX0HTMQQ0BY0J","17","E","22073081E208","2067339011")</f>
        <v>4070.44</v>
      </c>
      <c r="H1555" s="48">
        <f>[1]!BexGetData("DP_2","DL719O2RYNGN1RZRS91K7M4TV","17","E","22073081E208","2067339011")</f>
        <v>4070.44</v>
      </c>
      <c r="I1555" s="48">
        <f>[1]!BexGetData("DP_2","DL719O2RYNIY3MZ1QVCEEWBN7","17","E","22073081E208","2067339011")</f>
        <v>0</v>
      </c>
    </row>
    <row r="1556" spans="1:9" x14ac:dyDescent="0.2">
      <c r="A1556" s="46" t="s">
        <v>32</v>
      </c>
      <c r="B1556" s="46" t="s">
        <v>32</v>
      </c>
      <c r="C1556" s="46" t="s">
        <v>32</v>
      </c>
      <c r="D1556" s="46" t="s">
        <v>32</v>
      </c>
      <c r="E1556" s="46" t="s">
        <v>32</v>
      </c>
      <c r="F1556" s="47">
        <f>[1]!BexGetData("DP_2","DL719O2RYNC0Y217V0FVT1R77","17","E","22073081E208","2067351011")</f>
        <v>1740</v>
      </c>
      <c r="G1556" s="48">
        <f>[1]!BexGetData("DP_2","DL719O2RYNEBZX0HTMQQ0BY0J","17","E","22073081E208","2067351011")</f>
        <v>1740</v>
      </c>
      <c r="H1556" s="48">
        <f>[1]!BexGetData("DP_2","DL719O2RYNGN1RZRS91K7M4TV","17","E","22073081E208","2067351011")</f>
        <v>0</v>
      </c>
      <c r="I1556" s="48">
        <f>[1]!BexGetData("DP_2","DL719O2RYNIY3MZ1QVCEEWBN7","17","E","22073081E208","2067351011")</f>
        <v>0</v>
      </c>
    </row>
    <row r="1557" spans="1:9" x14ac:dyDescent="0.2">
      <c r="A1557" s="46" t="s">
        <v>32</v>
      </c>
      <c r="B1557" s="46" t="s">
        <v>32</v>
      </c>
      <c r="C1557" s="46" t="s">
        <v>32</v>
      </c>
      <c r="D1557" s="46" t="s">
        <v>32</v>
      </c>
      <c r="E1557" s="46" t="s">
        <v>32</v>
      </c>
      <c r="F1557" s="47">
        <f>[1]!BexGetData("DP_2","DL719O2RYNC0Y217V0FVT1R77","17","E","22073081E208","2067353011")</f>
        <v>63565</v>
      </c>
      <c r="G1557" s="48">
        <f>[1]!BexGetData("DP_2","DL719O2RYNEBZX0HTMQQ0BY0J","17","E","22073081E208","2067353011")</f>
        <v>63565</v>
      </c>
      <c r="H1557" s="48">
        <f>[1]!BexGetData("DP_2","DL719O2RYNGN1RZRS91K7M4TV","17","E","22073081E208","2067353011")</f>
        <v>51480</v>
      </c>
      <c r="I1557" s="48">
        <f>[1]!BexGetData("DP_2","DL719O2RYNIY3MZ1QVCEEWBN7","17","E","22073081E208","2067353011")</f>
        <v>0</v>
      </c>
    </row>
    <row r="1558" spans="1:9" x14ac:dyDescent="0.2">
      <c r="A1558" s="46" t="s">
        <v>32</v>
      </c>
      <c r="B1558" s="46" t="s">
        <v>32</v>
      </c>
      <c r="C1558" s="46" t="s">
        <v>32</v>
      </c>
      <c r="D1558" s="46" t="s">
        <v>32</v>
      </c>
      <c r="E1558" s="46" t="s">
        <v>32</v>
      </c>
      <c r="F1558" s="47">
        <f>[1]!BexGetData("DP_2","DL719O2RYNC0Y217V0FVT1R77","17","E","22073081E208","2067355011")</f>
        <v>20331</v>
      </c>
      <c r="G1558" s="48">
        <f>[1]!BexGetData("DP_2","DL719O2RYNEBZX0HTMQQ0BY0J","17","E","22073081E208","2067355011")</f>
        <v>20331</v>
      </c>
      <c r="H1558" s="48">
        <f>[1]!BexGetData("DP_2","DL719O2RYNGN1RZRS91K7M4TV","17","E","22073081E208","2067355011")</f>
        <v>20331</v>
      </c>
      <c r="I1558" s="48">
        <f>[1]!BexGetData("DP_2","DL719O2RYNIY3MZ1QVCEEWBN7","17","E","22073081E208","2067355011")</f>
        <v>0</v>
      </c>
    </row>
    <row r="1559" spans="1:9" x14ac:dyDescent="0.2">
      <c r="A1559" s="46" t="s">
        <v>32</v>
      </c>
      <c r="B1559" s="46" t="s">
        <v>32</v>
      </c>
      <c r="C1559" s="46" t="s">
        <v>32</v>
      </c>
      <c r="D1559" s="46" t="s">
        <v>32</v>
      </c>
      <c r="E1559" s="46" t="s">
        <v>32</v>
      </c>
      <c r="F1559" s="47">
        <f>[1]!BexGetData("DP_2","DL719O2RYNC0Y217V0FVT1R77","17","E","22073081E208","2067511012")</f>
        <v>0</v>
      </c>
      <c r="G1559" s="48">
        <f>[1]!BexGetData("DP_2","DL719O2RYNEBZX0HTMQQ0BY0J","17","E","22073081E208","2067511012")</f>
        <v>0</v>
      </c>
      <c r="H1559" s="48">
        <f>[1]!BexGetData("DP_2","DL719O2RYNGN1RZRS91K7M4TV","17","E","22073081E208","2067511012")</f>
        <v>0</v>
      </c>
      <c r="I1559" s="48">
        <f>[1]!BexGetData("DP_2","DL719O2RYNIY3MZ1QVCEEWBN7","17","E","22073081E208","2067511012")</f>
        <v>0</v>
      </c>
    </row>
    <row r="1560" spans="1:9" x14ac:dyDescent="0.2">
      <c r="A1560" s="46" t="s">
        <v>32</v>
      </c>
      <c r="B1560" s="46" t="s">
        <v>32</v>
      </c>
      <c r="C1560" s="46" t="s">
        <v>32</v>
      </c>
      <c r="D1560" s="46" t="s">
        <v>32</v>
      </c>
      <c r="E1560" s="46" t="s">
        <v>32</v>
      </c>
      <c r="F1560" s="47">
        <f>[1]!BexGetData("DP_2","DL719O2RYNC0Y217V0FVT1R77","17","E","22073081E208","2067616012")</f>
        <v>0</v>
      </c>
      <c r="G1560" s="48">
        <f>[1]!BexGetData("DP_2","DL719O2RYNEBZX0HTMQQ0BY0J","17","E","22073081E208","2067616012")</f>
        <v>0</v>
      </c>
      <c r="H1560" s="48">
        <f>[1]!BexGetData("DP_2","DL719O2RYNGN1RZRS91K7M4TV","17","E","22073081E208","2067616012")</f>
        <v>0</v>
      </c>
      <c r="I1560" s="48">
        <f>[1]!BexGetData("DP_2","DL719O2RYNIY3MZ1QVCEEWBN7","17","E","22073081E208","2067616012")</f>
        <v>0</v>
      </c>
    </row>
    <row r="1561" spans="1:9" x14ac:dyDescent="0.2">
      <c r="A1561" s="46" t="s">
        <v>32</v>
      </c>
      <c r="B1561" s="46" t="s">
        <v>32</v>
      </c>
      <c r="C1561" s="46" t="s">
        <v>119</v>
      </c>
      <c r="D1561" s="46" t="s">
        <v>119</v>
      </c>
      <c r="E1561" s="46" t="s">
        <v>32</v>
      </c>
      <c r="F1561" s="47">
        <f>[1]!BexGetData("DP_2","DL719O2RYNC0Y217V0FVT1R77","17","E","23022012E202","2067113011")</f>
        <v>2198564.7200000002</v>
      </c>
      <c r="G1561" s="48">
        <f>[1]!BexGetData("DP_2","DL719O2RYNEBZX0HTMQQ0BY0J","17","E","23022012E202","2067113011")</f>
        <v>2198564.7200000002</v>
      </c>
      <c r="H1561" s="48">
        <f>[1]!BexGetData("DP_2","DL719O2RYNGN1RZRS91K7M4TV","17","E","23022012E202","2067113011")</f>
        <v>2198564.7200000002</v>
      </c>
      <c r="I1561" s="48">
        <f>[1]!BexGetData("DP_2","DL719O2RYNIY3MZ1QVCEEWBN7","17","E","23022012E202","2067113011")</f>
        <v>0</v>
      </c>
    </row>
    <row r="1562" spans="1:9" x14ac:dyDescent="0.2">
      <c r="A1562" s="46" t="s">
        <v>32</v>
      </c>
      <c r="B1562" s="46" t="s">
        <v>32</v>
      </c>
      <c r="C1562" s="46" t="s">
        <v>32</v>
      </c>
      <c r="D1562" s="46" t="s">
        <v>32</v>
      </c>
      <c r="E1562" s="46" t="s">
        <v>32</v>
      </c>
      <c r="F1562" s="47">
        <f>[1]!BexGetData("DP_2","DL719O2RYNC0Y217V0FVT1R77","17","E","23022012E202","2067113021")</f>
        <v>884141.29</v>
      </c>
      <c r="G1562" s="48">
        <f>[1]!BexGetData("DP_2","DL719O2RYNEBZX0HTMQQ0BY0J","17","E","23022012E202","2067113021")</f>
        <v>884141.29</v>
      </c>
      <c r="H1562" s="48">
        <f>[1]!BexGetData("DP_2","DL719O2RYNGN1RZRS91K7M4TV","17","E","23022012E202","2067113021")</f>
        <v>884141.29</v>
      </c>
      <c r="I1562" s="48">
        <f>[1]!BexGetData("DP_2","DL719O2RYNIY3MZ1QVCEEWBN7","17","E","23022012E202","2067113021")</f>
        <v>0</v>
      </c>
    </row>
    <row r="1563" spans="1:9" x14ac:dyDescent="0.2">
      <c r="A1563" s="46" t="s">
        <v>32</v>
      </c>
      <c r="B1563" s="46" t="s">
        <v>32</v>
      </c>
      <c r="C1563" s="46" t="s">
        <v>32</v>
      </c>
      <c r="D1563" s="46" t="s">
        <v>32</v>
      </c>
      <c r="E1563" s="46" t="s">
        <v>32</v>
      </c>
      <c r="F1563" s="47">
        <f>[1]!BexGetData("DP_2","DL719O2RYNC0Y217V0FVT1R77","17","E","23022012E202","2067131011")</f>
        <v>241506.47</v>
      </c>
      <c r="G1563" s="48">
        <f>[1]!BexGetData("DP_2","DL719O2RYNEBZX0HTMQQ0BY0J","17","E","23022012E202","2067131011")</f>
        <v>241506.47</v>
      </c>
      <c r="H1563" s="48">
        <f>[1]!BexGetData("DP_2","DL719O2RYNGN1RZRS91K7M4TV","17","E","23022012E202","2067131011")</f>
        <v>241506.47</v>
      </c>
      <c r="I1563" s="48">
        <f>[1]!BexGetData("DP_2","DL719O2RYNIY3MZ1QVCEEWBN7","17","E","23022012E202","2067131011")</f>
        <v>0</v>
      </c>
    </row>
    <row r="1564" spans="1:9" x14ac:dyDescent="0.2">
      <c r="A1564" s="46" t="s">
        <v>32</v>
      </c>
      <c r="B1564" s="46" t="s">
        <v>32</v>
      </c>
      <c r="C1564" s="46" t="s">
        <v>32</v>
      </c>
      <c r="D1564" s="46" t="s">
        <v>32</v>
      </c>
      <c r="E1564" s="46" t="s">
        <v>32</v>
      </c>
      <c r="F1564" s="47">
        <f>[1]!BexGetData("DP_2","DL719O2RYNC0Y217V0FVT1R77","17","E","23022012E202","2067131021")</f>
        <v>80247.86</v>
      </c>
      <c r="G1564" s="48">
        <f>[1]!BexGetData("DP_2","DL719O2RYNEBZX0HTMQQ0BY0J","17","E","23022012E202","2067131021")</f>
        <v>80247.86</v>
      </c>
      <c r="H1564" s="48">
        <f>[1]!BexGetData("DP_2","DL719O2RYNGN1RZRS91K7M4TV","17","E","23022012E202","2067131021")</f>
        <v>80247.86</v>
      </c>
      <c r="I1564" s="48">
        <f>[1]!BexGetData("DP_2","DL719O2RYNIY3MZ1QVCEEWBN7","17","E","23022012E202","2067131021")</f>
        <v>0</v>
      </c>
    </row>
    <row r="1565" spans="1:9" x14ac:dyDescent="0.2">
      <c r="A1565" s="46" t="s">
        <v>32</v>
      </c>
      <c r="B1565" s="46" t="s">
        <v>32</v>
      </c>
      <c r="C1565" s="46" t="s">
        <v>32</v>
      </c>
      <c r="D1565" s="46" t="s">
        <v>32</v>
      </c>
      <c r="E1565" s="46" t="s">
        <v>32</v>
      </c>
      <c r="F1565" s="47">
        <f>[1]!BexGetData("DP_2","DL719O2RYNC0Y217V0FVT1R77","17","E","23022012E202","2067132011")</f>
        <v>140539.03</v>
      </c>
      <c r="G1565" s="48">
        <f>[1]!BexGetData("DP_2","DL719O2RYNEBZX0HTMQQ0BY0J","17","E","23022012E202","2067132011")</f>
        <v>140539.03</v>
      </c>
      <c r="H1565" s="48">
        <f>[1]!BexGetData("DP_2","DL719O2RYNGN1RZRS91K7M4TV","17","E","23022012E202","2067132011")</f>
        <v>140539.03</v>
      </c>
      <c r="I1565" s="48">
        <f>[1]!BexGetData("DP_2","DL719O2RYNIY3MZ1QVCEEWBN7","17","E","23022012E202","2067132011")</f>
        <v>0</v>
      </c>
    </row>
    <row r="1566" spans="1:9" x14ac:dyDescent="0.2">
      <c r="A1566" s="46" t="s">
        <v>32</v>
      </c>
      <c r="B1566" s="46" t="s">
        <v>32</v>
      </c>
      <c r="C1566" s="46" t="s">
        <v>32</v>
      </c>
      <c r="D1566" s="46" t="s">
        <v>32</v>
      </c>
      <c r="E1566" s="46" t="s">
        <v>32</v>
      </c>
      <c r="F1566" s="47">
        <f>[1]!BexGetData("DP_2","DL719O2RYNC0Y217V0FVT1R77","17","E","23022012E202","2067132021")</f>
        <v>668309.34</v>
      </c>
      <c r="G1566" s="48">
        <f>[1]!BexGetData("DP_2","DL719O2RYNEBZX0HTMQQ0BY0J","17","E","23022012E202","2067132021")</f>
        <v>668309.34</v>
      </c>
      <c r="H1566" s="48">
        <f>[1]!BexGetData("DP_2","DL719O2RYNGN1RZRS91K7M4TV","17","E","23022012E202","2067132021")</f>
        <v>668309.34</v>
      </c>
      <c r="I1566" s="48">
        <f>[1]!BexGetData("DP_2","DL719O2RYNIY3MZ1QVCEEWBN7","17","E","23022012E202","2067132021")</f>
        <v>0</v>
      </c>
    </row>
    <row r="1567" spans="1:9" x14ac:dyDescent="0.2">
      <c r="A1567" s="46" t="s">
        <v>32</v>
      </c>
      <c r="B1567" s="46" t="s">
        <v>32</v>
      </c>
      <c r="C1567" s="46" t="s">
        <v>32</v>
      </c>
      <c r="D1567" s="46" t="s">
        <v>32</v>
      </c>
      <c r="E1567" s="46" t="s">
        <v>32</v>
      </c>
      <c r="F1567" s="47">
        <f>[1]!BexGetData("DP_2","DL719O2RYNC0Y217V0FVT1R77","17","E","23022012E202","2067134011")</f>
        <v>309962.18</v>
      </c>
      <c r="G1567" s="48">
        <f>[1]!BexGetData("DP_2","DL719O2RYNEBZX0HTMQQ0BY0J","17","E","23022012E202","2067134011")</f>
        <v>309962.18</v>
      </c>
      <c r="H1567" s="48">
        <f>[1]!BexGetData("DP_2","DL719O2RYNGN1RZRS91K7M4TV","17","E","23022012E202","2067134011")</f>
        <v>313651.55</v>
      </c>
      <c r="I1567" s="48">
        <f>[1]!BexGetData("DP_2","DL719O2RYNIY3MZ1QVCEEWBN7","17","E","23022012E202","2067134011")</f>
        <v>0</v>
      </c>
    </row>
    <row r="1568" spans="1:9" x14ac:dyDescent="0.2">
      <c r="A1568" s="46" t="s">
        <v>32</v>
      </c>
      <c r="B1568" s="46" t="s">
        <v>32</v>
      </c>
      <c r="C1568" s="46" t="s">
        <v>32</v>
      </c>
      <c r="D1568" s="46" t="s">
        <v>32</v>
      </c>
      <c r="E1568" s="46" t="s">
        <v>32</v>
      </c>
      <c r="F1568" s="47">
        <f>[1]!BexGetData("DP_2","DL719O2RYNC0Y217V0FVT1R77","17","E","23022012E202","2067134021")</f>
        <v>644312.23</v>
      </c>
      <c r="G1568" s="48">
        <f>[1]!BexGetData("DP_2","DL719O2RYNEBZX0HTMQQ0BY0J","17","E","23022012E202","2067134021")</f>
        <v>644312.23</v>
      </c>
      <c r="H1568" s="48">
        <f>[1]!BexGetData("DP_2","DL719O2RYNGN1RZRS91K7M4TV","17","E","23022012E202","2067134021")</f>
        <v>644312.23</v>
      </c>
      <c r="I1568" s="48">
        <f>[1]!BexGetData("DP_2","DL719O2RYNIY3MZ1QVCEEWBN7","17","E","23022012E202","2067134021")</f>
        <v>0</v>
      </c>
    </row>
    <row r="1569" spans="1:9" x14ac:dyDescent="0.2">
      <c r="A1569" s="46" t="s">
        <v>32</v>
      </c>
      <c r="B1569" s="46" t="s">
        <v>32</v>
      </c>
      <c r="C1569" s="46" t="s">
        <v>32</v>
      </c>
      <c r="D1569" s="46" t="s">
        <v>32</v>
      </c>
      <c r="E1569" s="46" t="s">
        <v>32</v>
      </c>
      <c r="F1569" s="47">
        <f>[1]!BexGetData("DP_2","DL719O2RYNC0Y217V0FVT1R77","17","E","23022012E202","2067141011")</f>
        <v>565353.01</v>
      </c>
      <c r="G1569" s="48">
        <f>[1]!BexGetData("DP_2","DL719O2RYNEBZX0HTMQQ0BY0J","17","E","23022012E202","2067141011")</f>
        <v>565353.01</v>
      </c>
      <c r="H1569" s="48">
        <f>[1]!BexGetData("DP_2","DL719O2RYNGN1RZRS91K7M4TV","17","E","23022012E202","2067141011")</f>
        <v>565353.01</v>
      </c>
      <c r="I1569" s="48">
        <f>[1]!BexGetData("DP_2","DL719O2RYNIY3MZ1QVCEEWBN7","17","E","23022012E202","2067141011")</f>
        <v>0</v>
      </c>
    </row>
    <row r="1570" spans="1:9" x14ac:dyDescent="0.2">
      <c r="A1570" s="46" t="s">
        <v>32</v>
      </c>
      <c r="B1570" s="46" t="s">
        <v>32</v>
      </c>
      <c r="C1570" s="46" t="s">
        <v>32</v>
      </c>
      <c r="D1570" s="46" t="s">
        <v>32</v>
      </c>
      <c r="E1570" s="46" t="s">
        <v>32</v>
      </c>
      <c r="F1570" s="47">
        <f>[1]!BexGetData("DP_2","DL719O2RYNC0Y217V0FVT1R77","17","E","23022012E202","2067141021")</f>
        <v>181715.62</v>
      </c>
      <c r="G1570" s="48">
        <f>[1]!BexGetData("DP_2","DL719O2RYNEBZX0HTMQQ0BY0J","17","E","23022012E202","2067141021")</f>
        <v>181715.62</v>
      </c>
      <c r="H1570" s="48">
        <f>[1]!BexGetData("DP_2","DL719O2RYNGN1RZRS91K7M4TV","17","E","23022012E202","2067141021")</f>
        <v>181715.62</v>
      </c>
      <c r="I1570" s="48">
        <f>[1]!BexGetData("DP_2","DL719O2RYNIY3MZ1QVCEEWBN7","17","E","23022012E202","2067141021")</f>
        <v>0</v>
      </c>
    </row>
    <row r="1571" spans="1:9" x14ac:dyDescent="0.2">
      <c r="A1571" s="46" t="s">
        <v>32</v>
      </c>
      <c r="B1571" s="46" t="s">
        <v>32</v>
      </c>
      <c r="C1571" s="46" t="s">
        <v>32</v>
      </c>
      <c r="D1571" s="46" t="s">
        <v>32</v>
      </c>
      <c r="E1571" s="46" t="s">
        <v>32</v>
      </c>
      <c r="F1571" s="47">
        <f>[1]!BexGetData("DP_2","DL719O2RYNC0Y217V0FVT1R77","17","E","23022012E202","2067143011")</f>
        <v>86932.51</v>
      </c>
      <c r="G1571" s="48">
        <f>[1]!BexGetData("DP_2","DL719O2RYNEBZX0HTMQQ0BY0J","17","E","23022012E202","2067143011")</f>
        <v>86932.51</v>
      </c>
      <c r="H1571" s="48">
        <f>[1]!BexGetData("DP_2","DL719O2RYNGN1RZRS91K7M4TV","17","E","23022012E202","2067143011")</f>
        <v>86932.51</v>
      </c>
      <c r="I1571" s="48">
        <f>[1]!BexGetData("DP_2","DL719O2RYNIY3MZ1QVCEEWBN7","17","E","23022012E202","2067143011")</f>
        <v>0</v>
      </c>
    </row>
    <row r="1572" spans="1:9" x14ac:dyDescent="0.2">
      <c r="A1572" s="46" t="s">
        <v>32</v>
      </c>
      <c r="B1572" s="46" t="s">
        <v>32</v>
      </c>
      <c r="C1572" s="46" t="s">
        <v>32</v>
      </c>
      <c r="D1572" s="46" t="s">
        <v>32</v>
      </c>
      <c r="E1572" s="46" t="s">
        <v>32</v>
      </c>
      <c r="F1572" s="47">
        <f>[1]!BexGetData("DP_2","DL719O2RYNC0Y217V0FVT1R77","17","E","23022012E202","2067151011")</f>
        <v>370630.56</v>
      </c>
      <c r="G1572" s="48">
        <f>[1]!BexGetData("DP_2","DL719O2RYNEBZX0HTMQQ0BY0J","17","E","23022012E202","2067151011")</f>
        <v>370630.56</v>
      </c>
      <c r="H1572" s="48">
        <f>[1]!BexGetData("DP_2","DL719O2RYNGN1RZRS91K7M4TV","17","E","23022012E202","2067151011")</f>
        <v>370630.56</v>
      </c>
      <c r="I1572" s="48">
        <f>[1]!BexGetData("DP_2","DL719O2RYNIY3MZ1QVCEEWBN7","17","E","23022012E202","2067151011")</f>
        <v>0</v>
      </c>
    </row>
    <row r="1573" spans="1:9" x14ac:dyDescent="0.2">
      <c r="A1573" s="46" t="s">
        <v>32</v>
      </c>
      <c r="B1573" s="46" t="s">
        <v>32</v>
      </c>
      <c r="C1573" s="46" t="s">
        <v>32</v>
      </c>
      <c r="D1573" s="46" t="s">
        <v>32</v>
      </c>
      <c r="E1573" s="46" t="s">
        <v>32</v>
      </c>
      <c r="F1573" s="47">
        <f>[1]!BexGetData("DP_2","DL719O2RYNC0Y217V0FVT1R77","17","E","23022012E202","2067154011")</f>
        <v>1785531.4</v>
      </c>
      <c r="G1573" s="48">
        <f>[1]!BexGetData("DP_2","DL719O2RYNEBZX0HTMQQ0BY0J","17","E","23022012E202","2067154011")</f>
        <v>1785531.4</v>
      </c>
      <c r="H1573" s="48">
        <f>[1]!BexGetData("DP_2","DL719O2RYNGN1RZRS91K7M4TV","17","E","23022012E202","2067154011")</f>
        <v>1783581.4</v>
      </c>
      <c r="I1573" s="48">
        <f>[1]!BexGetData("DP_2","DL719O2RYNIY3MZ1QVCEEWBN7","17","E","23022012E202","2067154011")</f>
        <v>0</v>
      </c>
    </row>
    <row r="1574" spans="1:9" x14ac:dyDescent="0.2">
      <c r="A1574" s="46" t="s">
        <v>32</v>
      </c>
      <c r="B1574" s="46" t="s">
        <v>32</v>
      </c>
      <c r="C1574" s="46" t="s">
        <v>32</v>
      </c>
      <c r="D1574" s="46" t="s">
        <v>32</v>
      </c>
      <c r="E1574" s="46" t="s">
        <v>32</v>
      </c>
      <c r="F1574" s="47">
        <f>[1]!BexGetData("DP_2","DL719O2RYNC0Y217V0FVT1R77","17","E","23022012E202","2067211011")</f>
        <v>15870.94</v>
      </c>
      <c r="G1574" s="48">
        <f>[1]!BexGetData("DP_2","DL719O2RYNEBZX0HTMQQ0BY0J","17","E","23022012E202","2067211011")</f>
        <v>15870.94</v>
      </c>
      <c r="H1574" s="48">
        <f>[1]!BexGetData("DP_2","DL719O2RYNGN1RZRS91K7M4TV","17","E","23022012E202","2067211011")</f>
        <v>15870.94</v>
      </c>
      <c r="I1574" s="48">
        <f>[1]!BexGetData("DP_2","DL719O2RYNIY3MZ1QVCEEWBN7","17","E","23022012E202","2067211011")</f>
        <v>0</v>
      </c>
    </row>
    <row r="1575" spans="1:9" x14ac:dyDescent="0.2">
      <c r="A1575" s="46" t="s">
        <v>32</v>
      </c>
      <c r="B1575" s="46" t="s">
        <v>32</v>
      </c>
      <c r="C1575" s="46" t="s">
        <v>32</v>
      </c>
      <c r="D1575" s="46" t="s">
        <v>32</v>
      </c>
      <c r="E1575" s="46" t="s">
        <v>32</v>
      </c>
      <c r="F1575" s="47">
        <f>[1]!BexGetData("DP_2","DL719O2RYNC0Y217V0FVT1R77","17","E","23022012E202","2067211021")</f>
        <v>1074.1600000000001</v>
      </c>
      <c r="G1575" s="48">
        <f>[1]!BexGetData("DP_2","DL719O2RYNEBZX0HTMQQ0BY0J","17","E","23022012E202","2067211021")</f>
        <v>1074.1600000000001</v>
      </c>
      <c r="H1575" s="48">
        <f>[1]!BexGetData("DP_2","DL719O2RYNGN1RZRS91K7M4TV","17","E","23022012E202","2067211021")</f>
        <v>1074.1600000000001</v>
      </c>
      <c r="I1575" s="48">
        <f>[1]!BexGetData("DP_2","DL719O2RYNIY3MZ1QVCEEWBN7","17","E","23022012E202","2067211021")</f>
        <v>0</v>
      </c>
    </row>
    <row r="1576" spans="1:9" x14ac:dyDescent="0.2">
      <c r="A1576" s="46" t="s">
        <v>32</v>
      </c>
      <c r="B1576" s="46" t="s">
        <v>32</v>
      </c>
      <c r="C1576" s="46" t="s">
        <v>32</v>
      </c>
      <c r="D1576" s="46" t="s">
        <v>32</v>
      </c>
      <c r="E1576" s="46" t="s">
        <v>32</v>
      </c>
      <c r="F1576" s="47">
        <f>[1]!BexGetData("DP_2","DL719O2RYNC0Y217V0FVT1R77","17","E","23022012E202","2067214011")</f>
        <v>16851.88</v>
      </c>
      <c r="G1576" s="48">
        <f>[1]!BexGetData("DP_2","DL719O2RYNEBZX0HTMQQ0BY0J","17","E","23022012E202","2067214011")</f>
        <v>16851.88</v>
      </c>
      <c r="H1576" s="48">
        <f>[1]!BexGetData("DP_2","DL719O2RYNGN1RZRS91K7M4TV","17","E","23022012E202","2067214011")</f>
        <v>3520</v>
      </c>
      <c r="I1576" s="48">
        <f>[1]!BexGetData("DP_2","DL719O2RYNIY3MZ1QVCEEWBN7","17","E","23022012E202","2067214011")</f>
        <v>0</v>
      </c>
    </row>
    <row r="1577" spans="1:9" x14ac:dyDescent="0.2">
      <c r="A1577" s="46" t="s">
        <v>32</v>
      </c>
      <c r="B1577" s="46" t="s">
        <v>32</v>
      </c>
      <c r="C1577" s="46" t="s">
        <v>32</v>
      </c>
      <c r="D1577" s="46" t="s">
        <v>32</v>
      </c>
      <c r="E1577" s="46" t="s">
        <v>32</v>
      </c>
      <c r="F1577" s="47">
        <f>[1]!BexGetData("DP_2","DL719O2RYNC0Y217V0FVT1R77","17","E","23022012E202","2067215021")</f>
        <v>15660</v>
      </c>
      <c r="G1577" s="48">
        <f>[1]!BexGetData("DP_2","DL719O2RYNEBZX0HTMQQ0BY0J","17","E","23022012E202","2067215021")</f>
        <v>15660</v>
      </c>
      <c r="H1577" s="48">
        <f>[1]!BexGetData("DP_2","DL719O2RYNGN1RZRS91K7M4TV","17","E","23022012E202","2067215021")</f>
        <v>15660</v>
      </c>
      <c r="I1577" s="48">
        <f>[1]!BexGetData("DP_2","DL719O2RYNIY3MZ1QVCEEWBN7","17","E","23022012E202","2067215021")</f>
        <v>0</v>
      </c>
    </row>
    <row r="1578" spans="1:9" x14ac:dyDescent="0.2">
      <c r="A1578" s="46" t="s">
        <v>32</v>
      </c>
      <c r="B1578" s="46" t="s">
        <v>32</v>
      </c>
      <c r="C1578" s="46" t="s">
        <v>32</v>
      </c>
      <c r="D1578" s="46" t="s">
        <v>32</v>
      </c>
      <c r="E1578" s="46" t="s">
        <v>32</v>
      </c>
      <c r="F1578" s="47">
        <f>[1]!BexGetData("DP_2","DL719O2RYNC0Y217V0FVT1R77","17","E","23022012E202","2067216011")</f>
        <v>19738.5</v>
      </c>
      <c r="G1578" s="48">
        <f>[1]!BexGetData("DP_2","DL719O2RYNEBZX0HTMQQ0BY0J","17","E","23022012E202","2067216011")</f>
        <v>19738.5</v>
      </c>
      <c r="H1578" s="48">
        <f>[1]!BexGetData("DP_2","DL719O2RYNGN1RZRS91K7M4TV","17","E","23022012E202","2067216011")</f>
        <v>19738.5</v>
      </c>
      <c r="I1578" s="48">
        <f>[1]!BexGetData("DP_2","DL719O2RYNIY3MZ1QVCEEWBN7","17","E","23022012E202","2067216011")</f>
        <v>0</v>
      </c>
    </row>
    <row r="1579" spans="1:9" x14ac:dyDescent="0.2">
      <c r="A1579" s="46" t="s">
        <v>32</v>
      </c>
      <c r="B1579" s="46" t="s">
        <v>32</v>
      </c>
      <c r="C1579" s="46" t="s">
        <v>32</v>
      </c>
      <c r="D1579" s="46" t="s">
        <v>32</v>
      </c>
      <c r="E1579" s="46" t="s">
        <v>32</v>
      </c>
      <c r="F1579" s="47">
        <f>[1]!BexGetData("DP_2","DL719O2RYNC0Y217V0FVT1R77","17","E","23022012E202","2067217011")</f>
        <v>430.36</v>
      </c>
      <c r="G1579" s="48">
        <f>[1]!BexGetData("DP_2","DL719O2RYNEBZX0HTMQQ0BY0J","17","E","23022012E202","2067217011")</f>
        <v>430.36</v>
      </c>
      <c r="H1579" s="48">
        <f>[1]!BexGetData("DP_2","DL719O2RYNGN1RZRS91K7M4TV","17","E","23022012E202","2067217011")</f>
        <v>430.36</v>
      </c>
      <c r="I1579" s="48">
        <f>[1]!BexGetData("DP_2","DL719O2RYNIY3MZ1QVCEEWBN7","17","E","23022012E202","2067217011")</f>
        <v>0</v>
      </c>
    </row>
    <row r="1580" spans="1:9" x14ac:dyDescent="0.2">
      <c r="A1580" s="46" t="s">
        <v>32</v>
      </c>
      <c r="B1580" s="46" t="s">
        <v>32</v>
      </c>
      <c r="C1580" s="46" t="s">
        <v>32</v>
      </c>
      <c r="D1580" s="46" t="s">
        <v>32</v>
      </c>
      <c r="E1580" s="46" t="s">
        <v>32</v>
      </c>
      <c r="F1580" s="47">
        <f>[1]!BexGetData("DP_2","DL719O2RYNC0Y217V0FVT1R77","17","E","23022012E202","2067221021")</f>
        <v>4830</v>
      </c>
      <c r="G1580" s="48">
        <f>[1]!BexGetData("DP_2","DL719O2RYNEBZX0HTMQQ0BY0J","17","E","23022012E202","2067221021")</f>
        <v>4830</v>
      </c>
      <c r="H1580" s="48">
        <f>[1]!BexGetData("DP_2","DL719O2RYNGN1RZRS91K7M4TV","17","E","23022012E202","2067221021")</f>
        <v>4830</v>
      </c>
      <c r="I1580" s="48">
        <f>[1]!BexGetData("DP_2","DL719O2RYNIY3MZ1QVCEEWBN7","17","E","23022012E202","2067221021")</f>
        <v>0</v>
      </c>
    </row>
    <row r="1581" spans="1:9" x14ac:dyDescent="0.2">
      <c r="A1581" s="46" t="s">
        <v>32</v>
      </c>
      <c r="B1581" s="46" t="s">
        <v>32</v>
      </c>
      <c r="C1581" s="46" t="s">
        <v>32</v>
      </c>
      <c r="D1581" s="46" t="s">
        <v>32</v>
      </c>
      <c r="E1581" s="46" t="s">
        <v>32</v>
      </c>
      <c r="F1581" s="47">
        <f>[1]!BexGetData("DP_2","DL719O2RYNC0Y217V0FVT1R77","17","E","23022012E202","2067242011")</f>
        <v>20</v>
      </c>
      <c r="G1581" s="48">
        <f>[1]!BexGetData("DP_2","DL719O2RYNEBZX0HTMQQ0BY0J","17","E","23022012E202","2067242011")</f>
        <v>20</v>
      </c>
      <c r="H1581" s="48">
        <f>[1]!BexGetData("DP_2","DL719O2RYNGN1RZRS91K7M4TV","17","E","23022012E202","2067242011")</f>
        <v>0</v>
      </c>
      <c r="I1581" s="48">
        <f>[1]!BexGetData("DP_2","DL719O2RYNIY3MZ1QVCEEWBN7","17","E","23022012E202","2067242011")</f>
        <v>0</v>
      </c>
    </row>
    <row r="1582" spans="1:9" x14ac:dyDescent="0.2">
      <c r="A1582" s="46" t="s">
        <v>32</v>
      </c>
      <c r="B1582" s="46" t="s">
        <v>32</v>
      </c>
      <c r="C1582" s="46" t="s">
        <v>32</v>
      </c>
      <c r="D1582" s="46" t="s">
        <v>32</v>
      </c>
      <c r="E1582" s="46" t="s">
        <v>32</v>
      </c>
      <c r="F1582" s="47">
        <f>[1]!BexGetData("DP_2","DL719O2RYNC0Y217V0FVT1R77","17","E","23022012E202","2067246011")</f>
        <v>70.760000000000005</v>
      </c>
      <c r="G1582" s="48">
        <f>[1]!BexGetData("DP_2","DL719O2RYNEBZX0HTMQQ0BY0J","17","E","23022012E202","2067246011")</f>
        <v>70.760000000000005</v>
      </c>
      <c r="H1582" s="48">
        <f>[1]!BexGetData("DP_2","DL719O2RYNGN1RZRS91K7M4TV","17","E","23022012E202","2067246011")</f>
        <v>0</v>
      </c>
      <c r="I1582" s="48">
        <f>[1]!BexGetData("DP_2","DL719O2RYNIY3MZ1QVCEEWBN7","17","E","23022012E202","2067246011")</f>
        <v>0</v>
      </c>
    </row>
    <row r="1583" spans="1:9" x14ac:dyDescent="0.2">
      <c r="A1583" s="46" t="s">
        <v>32</v>
      </c>
      <c r="B1583" s="46" t="s">
        <v>32</v>
      </c>
      <c r="C1583" s="46" t="s">
        <v>32</v>
      </c>
      <c r="D1583" s="46" t="s">
        <v>32</v>
      </c>
      <c r="E1583" s="46" t="s">
        <v>32</v>
      </c>
      <c r="F1583" s="47">
        <f>[1]!BexGetData("DP_2","DL719O2RYNC0Y217V0FVT1R77","17","E","23022012E202","2067247011")</f>
        <v>6657.1</v>
      </c>
      <c r="G1583" s="48">
        <f>[1]!BexGetData("DP_2","DL719O2RYNEBZX0HTMQQ0BY0J","17","E","23022012E202","2067247011")</f>
        <v>6657.1</v>
      </c>
      <c r="H1583" s="48">
        <f>[1]!BexGetData("DP_2","DL719O2RYNGN1RZRS91K7M4TV","17","E","23022012E202","2067247011")</f>
        <v>184.02</v>
      </c>
      <c r="I1583" s="48">
        <f>[1]!BexGetData("DP_2","DL719O2RYNIY3MZ1QVCEEWBN7","17","E","23022012E202","2067247011")</f>
        <v>0</v>
      </c>
    </row>
    <row r="1584" spans="1:9" x14ac:dyDescent="0.2">
      <c r="A1584" s="46" t="s">
        <v>32</v>
      </c>
      <c r="B1584" s="46" t="s">
        <v>32</v>
      </c>
      <c r="C1584" s="46" t="s">
        <v>32</v>
      </c>
      <c r="D1584" s="46" t="s">
        <v>32</v>
      </c>
      <c r="E1584" s="46" t="s">
        <v>32</v>
      </c>
      <c r="F1584" s="47">
        <f>[1]!BexGetData("DP_2","DL719O2RYNC0Y217V0FVT1R77","17","E","23022012E202","2067249011")</f>
        <v>9645.84</v>
      </c>
      <c r="G1584" s="48">
        <f>[1]!BexGetData("DP_2","DL719O2RYNEBZX0HTMQQ0BY0J","17","E","23022012E202","2067249011")</f>
        <v>9645.84</v>
      </c>
      <c r="H1584" s="48">
        <f>[1]!BexGetData("DP_2","DL719O2RYNGN1RZRS91K7M4TV","17","E","23022012E202","2067249011")</f>
        <v>9396</v>
      </c>
      <c r="I1584" s="48">
        <f>[1]!BexGetData("DP_2","DL719O2RYNIY3MZ1QVCEEWBN7","17","E","23022012E202","2067249011")</f>
        <v>0</v>
      </c>
    </row>
    <row r="1585" spans="1:9" x14ac:dyDescent="0.2">
      <c r="A1585" s="46" t="s">
        <v>32</v>
      </c>
      <c r="B1585" s="46" t="s">
        <v>32</v>
      </c>
      <c r="C1585" s="46" t="s">
        <v>32</v>
      </c>
      <c r="D1585" s="46" t="s">
        <v>32</v>
      </c>
      <c r="E1585" s="46" t="s">
        <v>32</v>
      </c>
      <c r="F1585" s="47">
        <f>[1]!BexGetData("DP_2","DL719O2RYNC0Y217V0FVT1R77","17","E","23022012E202","2067251011")</f>
        <v>0</v>
      </c>
      <c r="G1585" s="48">
        <f>[1]!BexGetData("DP_2","DL719O2RYNEBZX0HTMQQ0BY0J","17","E","23022012E202","2067251011")</f>
        <v>0</v>
      </c>
      <c r="H1585" s="48">
        <f>[1]!BexGetData("DP_2","DL719O2RYNGN1RZRS91K7M4TV","17","E","23022012E202","2067251011")</f>
        <v>0</v>
      </c>
      <c r="I1585" s="48">
        <f>[1]!BexGetData("DP_2","DL719O2RYNIY3MZ1QVCEEWBN7","17","E","23022012E202","2067251011")</f>
        <v>0</v>
      </c>
    </row>
    <row r="1586" spans="1:9" x14ac:dyDescent="0.2">
      <c r="A1586" s="46" t="s">
        <v>32</v>
      </c>
      <c r="B1586" s="46" t="s">
        <v>32</v>
      </c>
      <c r="C1586" s="46" t="s">
        <v>32</v>
      </c>
      <c r="D1586" s="46" t="s">
        <v>32</v>
      </c>
      <c r="E1586" s="46" t="s">
        <v>32</v>
      </c>
      <c r="F1586" s="47">
        <f>[1]!BexGetData("DP_2","DL719O2RYNC0Y217V0FVT1R77","17","E","23022012E202","2067253011")</f>
        <v>109110.76</v>
      </c>
      <c r="G1586" s="48">
        <f>[1]!BexGetData("DP_2","DL719O2RYNEBZX0HTMQQ0BY0J","17","E","23022012E202","2067253011")</f>
        <v>109110.76</v>
      </c>
      <c r="H1586" s="48">
        <f>[1]!BexGetData("DP_2","DL719O2RYNGN1RZRS91K7M4TV","17","E","23022012E202","2067253011")</f>
        <v>87938.76</v>
      </c>
      <c r="I1586" s="48">
        <f>[1]!BexGetData("DP_2","DL719O2RYNIY3MZ1QVCEEWBN7","17","E","23022012E202","2067253011")</f>
        <v>0</v>
      </c>
    </row>
    <row r="1587" spans="1:9" x14ac:dyDescent="0.2">
      <c r="A1587" s="46" t="s">
        <v>32</v>
      </c>
      <c r="B1587" s="46" t="s">
        <v>32</v>
      </c>
      <c r="C1587" s="46" t="s">
        <v>32</v>
      </c>
      <c r="D1587" s="46" t="s">
        <v>32</v>
      </c>
      <c r="E1587" s="46" t="s">
        <v>32</v>
      </c>
      <c r="F1587" s="47">
        <f>[1]!BexGetData("DP_2","DL719O2RYNC0Y217V0FVT1R77","17","E","23022012E202","2067253021")</f>
        <v>79115.61</v>
      </c>
      <c r="G1587" s="48">
        <f>[1]!BexGetData("DP_2","DL719O2RYNEBZX0HTMQQ0BY0J","17","E","23022012E202","2067253021")</f>
        <v>79115.61</v>
      </c>
      <c r="H1587" s="48">
        <f>[1]!BexGetData("DP_2","DL719O2RYNGN1RZRS91K7M4TV","17","E","23022012E202","2067253021")</f>
        <v>79115.61</v>
      </c>
      <c r="I1587" s="48">
        <f>[1]!BexGetData("DP_2","DL719O2RYNIY3MZ1QVCEEWBN7","17","E","23022012E202","2067253021")</f>
        <v>0</v>
      </c>
    </row>
    <row r="1588" spans="1:9" x14ac:dyDescent="0.2">
      <c r="A1588" s="46" t="s">
        <v>32</v>
      </c>
      <c r="B1588" s="46" t="s">
        <v>32</v>
      </c>
      <c r="C1588" s="46" t="s">
        <v>32</v>
      </c>
      <c r="D1588" s="46" t="s">
        <v>32</v>
      </c>
      <c r="E1588" s="46" t="s">
        <v>32</v>
      </c>
      <c r="F1588" s="47">
        <f>[1]!BexGetData("DP_2","DL719O2RYNC0Y217V0FVT1R77","17","E","23022012E202","2067254011")</f>
        <v>58467.47</v>
      </c>
      <c r="G1588" s="48">
        <f>[1]!BexGetData("DP_2","DL719O2RYNEBZX0HTMQQ0BY0J","17","E","23022012E202","2067254011")</f>
        <v>58467.47</v>
      </c>
      <c r="H1588" s="48">
        <f>[1]!BexGetData("DP_2","DL719O2RYNGN1RZRS91K7M4TV","17","E","23022012E202","2067254011")</f>
        <v>47290.87</v>
      </c>
      <c r="I1588" s="48">
        <f>[1]!BexGetData("DP_2","DL719O2RYNIY3MZ1QVCEEWBN7","17","E","23022012E202","2067254011")</f>
        <v>0</v>
      </c>
    </row>
    <row r="1589" spans="1:9" x14ac:dyDescent="0.2">
      <c r="A1589" s="46" t="s">
        <v>32</v>
      </c>
      <c r="B1589" s="46" t="s">
        <v>32</v>
      </c>
      <c r="C1589" s="46" t="s">
        <v>32</v>
      </c>
      <c r="D1589" s="46" t="s">
        <v>32</v>
      </c>
      <c r="E1589" s="46" t="s">
        <v>32</v>
      </c>
      <c r="F1589" s="47">
        <f>[1]!BexGetData("DP_2","DL719O2RYNC0Y217V0FVT1R77","17","E","23022012E202","2067254021")</f>
        <v>19553.23</v>
      </c>
      <c r="G1589" s="48">
        <f>[1]!BexGetData("DP_2","DL719O2RYNEBZX0HTMQQ0BY0J","17","E","23022012E202","2067254021")</f>
        <v>19553.23</v>
      </c>
      <c r="H1589" s="48">
        <f>[1]!BexGetData("DP_2","DL719O2RYNGN1RZRS91K7M4TV","17","E","23022012E202","2067254021")</f>
        <v>19553.23</v>
      </c>
      <c r="I1589" s="48">
        <f>[1]!BexGetData("DP_2","DL719O2RYNIY3MZ1QVCEEWBN7","17","E","23022012E202","2067254021")</f>
        <v>0</v>
      </c>
    </row>
    <row r="1590" spans="1:9" x14ac:dyDescent="0.2">
      <c r="A1590" s="46" t="s">
        <v>32</v>
      </c>
      <c r="B1590" s="46" t="s">
        <v>32</v>
      </c>
      <c r="C1590" s="46" t="s">
        <v>32</v>
      </c>
      <c r="D1590" s="46" t="s">
        <v>32</v>
      </c>
      <c r="E1590" s="46" t="s">
        <v>32</v>
      </c>
      <c r="F1590" s="47">
        <f>[1]!BexGetData("DP_2","DL719O2RYNC0Y217V0FVT1R77","17","E","23022012E202","2067255011")</f>
        <v>46163.360000000001</v>
      </c>
      <c r="G1590" s="48">
        <f>[1]!BexGetData("DP_2","DL719O2RYNEBZX0HTMQQ0BY0J","17","E","23022012E202","2067255011")</f>
        <v>46163.360000000001</v>
      </c>
      <c r="H1590" s="48">
        <f>[1]!BexGetData("DP_2","DL719O2RYNGN1RZRS91K7M4TV","17","E","23022012E202","2067255011")</f>
        <v>29642.639999999999</v>
      </c>
      <c r="I1590" s="48">
        <f>[1]!BexGetData("DP_2","DL719O2RYNIY3MZ1QVCEEWBN7","17","E","23022012E202","2067255011")</f>
        <v>0</v>
      </c>
    </row>
    <row r="1591" spans="1:9" x14ac:dyDescent="0.2">
      <c r="A1591" s="46" t="s">
        <v>32</v>
      </c>
      <c r="B1591" s="46" t="s">
        <v>32</v>
      </c>
      <c r="C1591" s="46" t="s">
        <v>32</v>
      </c>
      <c r="D1591" s="46" t="s">
        <v>32</v>
      </c>
      <c r="E1591" s="46" t="s">
        <v>32</v>
      </c>
      <c r="F1591" s="47">
        <f>[1]!BexGetData("DP_2","DL719O2RYNC0Y217V0FVT1R77","17","E","23022012E202","2067256011")</f>
        <v>484.94</v>
      </c>
      <c r="G1591" s="48">
        <f>[1]!BexGetData("DP_2","DL719O2RYNEBZX0HTMQQ0BY0J","17","E","23022012E202","2067256011")</f>
        <v>484.94</v>
      </c>
      <c r="H1591" s="48">
        <f>[1]!BexGetData("DP_2","DL719O2RYNGN1RZRS91K7M4TV","17","E","23022012E202","2067256011")</f>
        <v>0</v>
      </c>
      <c r="I1591" s="48">
        <f>[1]!BexGetData("DP_2","DL719O2RYNIY3MZ1QVCEEWBN7","17","E","23022012E202","2067256011")</f>
        <v>0</v>
      </c>
    </row>
    <row r="1592" spans="1:9" x14ac:dyDescent="0.2">
      <c r="A1592" s="46" t="s">
        <v>32</v>
      </c>
      <c r="B1592" s="46" t="s">
        <v>32</v>
      </c>
      <c r="C1592" s="46" t="s">
        <v>32</v>
      </c>
      <c r="D1592" s="46" t="s">
        <v>32</v>
      </c>
      <c r="E1592" s="46" t="s">
        <v>32</v>
      </c>
      <c r="F1592" s="47">
        <f>[1]!BexGetData("DP_2","DL719O2RYNC0Y217V0FVT1R77","17","E","23022012E202","2067261011")</f>
        <v>20437.95</v>
      </c>
      <c r="G1592" s="48">
        <f>[1]!BexGetData("DP_2","DL719O2RYNEBZX0HTMQQ0BY0J","17","E","23022012E202","2067261011")</f>
        <v>20437.95</v>
      </c>
      <c r="H1592" s="48">
        <f>[1]!BexGetData("DP_2","DL719O2RYNGN1RZRS91K7M4TV","17","E","23022012E202","2067261011")</f>
        <v>20437.95</v>
      </c>
      <c r="I1592" s="48">
        <f>[1]!BexGetData("DP_2","DL719O2RYNIY3MZ1QVCEEWBN7","17","E","23022012E202","2067261011")</f>
        <v>0</v>
      </c>
    </row>
    <row r="1593" spans="1:9" x14ac:dyDescent="0.2">
      <c r="A1593" s="46" t="s">
        <v>32</v>
      </c>
      <c r="B1593" s="46" t="s">
        <v>32</v>
      </c>
      <c r="C1593" s="46" t="s">
        <v>32</v>
      </c>
      <c r="D1593" s="46" t="s">
        <v>32</v>
      </c>
      <c r="E1593" s="46" t="s">
        <v>32</v>
      </c>
      <c r="F1593" s="47">
        <f>[1]!BexGetData("DP_2","DL719O2RYNC0Y217V0FVT1R77","17","E","23022012E202","2067261021")</f>
        <v>42011.7</v>
      </c>
      <c r="G1593" s="48">
        <f>[1]!BexGetData("DP_2","DL719O2RYNEBZX0HTMQQ0BY0J","17","E","23022012E202","2067261021")</f>
        <v>42011.7</v>
      </c>
      <c r="H1593" s="48">
        <f>[1]!BexGetData("DP_2","DL719O2RYNGN1RZRS91K7M4TV","17","E","23022012E202","2067261021")</f>
        <v>42011.7</v>
      </c>
      <c r="I1593" s="48">
        <f>[1]!BexGetData("DP_2","DL719O2RYNIY3MZ1QVCEEWBN7","17","E","23022012E202","2067261021")</f>
        <v>0</v>
      </c>
    </row>
    <row r="1594" spans="1:9" x14ac:dyDescent="0.2">
      <c r="A1594" s="46" t="s">
        <v>32</v>
      </c>
      <c r="B1594" s="46" t="s">
        <v>32</v>
      </c>
      <c r="C1594" s="46" t="s">
        <v>32</v>
      </c>
      <c r="D1594" s="46" t="s">
        <v>32</v>
      </c>
      <c r="E1594" s="46" t="s">
        <v>32</v>
      </c>
      <c r="F1594" s="47">
        <f>[1]!BexGetData("DP_2","DL719O2RYNC0Y217V0FVT1R77","17","E","23022012E202","2067272011")</f>
        <v>19230.48</v>
      </c>
      <c r="G1594" s="48">
        <f>[1]!BexGetData("DP_2","DL719O2RYNEBZX0HTMQQ0BY0J","17","E","23022012E202","2067272011")</f>
        <v>19230.48</v>
      </c>
      <c r="H1594" s="48">
        <f>[1]!BexGetData("DP_2","DL719O2RYNGN1RZRS91K7M4TV","17","E","23022012E202","2067272011")</f>
        <v>1308.48</v>
      </c>
      <c r="I1594" s="48">
        <f>[1]!BexGetData("DP_2","DL719O2RYNIY3MZ1QVCEEWBN7","17","E","23022012E202","2067272011")</f>
        <v>0</v>
      </c>
    </row>
    <row r="1595" spans="1:9" x14ac:dyDescent="0.2">
      <c r="A1595" s="46" t="s">
        <v>32</v>
      </c>
      <c r="B1595" s="46" t="s">
        <v>32</v>
      </c>
      <c r="C1595" s="46" t="s">
        <v>32</v>
      </c>
      <c r="D1595" s="46" t="s">
        <v>32</v>
      </c>
      <c r="E1595" s="46" t="s">
        <v>32</v>
      </c>
      <c r="F1595" s="47">
        <f>[1]!BexGetData("DP_2","DL719O2RYNC0Y217V0FVT1R77","17","E","23022012E202","2067291011")</f>
        <v>256.70999999999998</v>
      </c>
      <c r="G1595" s="48">
        <f>[1]!BexGetData("DP_2","DL719O2RYNEBZX0HTMQQ0BY0J","17","E","23022012E202","2067291011")</f>
        <v>256.70999999999998</v>
      </c>
      <c r="H1595" s="48">
        <f>[1]!BexGetData("DP_2","DL719O2RYNGN1RZRS91K7M4TV","17","E","23022012E202","2067291011")</f>
        <v>256.70999999999998</v>
      </c>
      <c r="I1595" s="48">
        <f>[1]!BexGetData("DP_2","DL719O2RYNIY3MZ1QVCEEWBN7","17","E","23022012E202","2067291011")</f>
        <v>0</v>
      </c>
    </row>
    <row r="1596" spans="1:9" x14ac:dyDescent="0.2">
      <c r="A1596" s="46" t="s">
        <v>32</v>
      </c>
      <c r="B1596" s="46" t="s">
        <v>32</v>
      </c>
      <c r="C1596" s="46" t="s">
        <v>32</v>
      </c>
      <c r="D1596" s="46" t="s">
        <v>32</v>
      </c>
      <c r="E1596" s="46" t="s">
        <v>32</v>
      </c>
      <c r="F1596" s="47">
        <f>[1]!BexGetData("DP_2","DL719O2RYNC0Y217V0FVT1R77","17","E","23022012E202","2067292011")</f>
        <v>1124</v>
      </c>
      <c r="G1596" s="48">
        <f>[1]!BexGetData("DP_2","DL719O2RYNEBZX0HTMQQ0BY0J","17","E","23022012E202","2067292011")</f>
        <v>1124</v>
      </c>
      <c r="H1596" s="48">
        <f>[1]!BexGetData("DP_2","DL719O2RYNGN1RZRS91K7M4TV","17","E","23022012E202","2067292011")</f>
        <v>1124</v>
      </c>
      <c r="I1596" s="48">
        <f>[1]!BexGetData("DP_2","DL719O2RYNIY3MZ1QVCEEWBN7","17","E","23022012E202","2067292011")</f>
        <v>0</v>
      </c>
    </row>
    <row r="1597" spans="1:9" x14ac:dyDescent="0.2">
      <c r="A1597" s="46" t="s">
        <v>32</v>
      </c>
      <c r="B1597" s="46" t="s">
        <v>32</v>
      </c>
      <c r="C1597" s="46" t="s">
        <v>32</v>
      </c>
      <c r="D1597" s="46" t="s">
        <v>32</v>
      </c>
      <c r="E1597" s="46" t="s">
        <v>32</v>
      </c>
      <c r="F1597" s="47">
        <f>[1]!BexGetData("DP_2","DL719O2RYNC0Y217V0FVT1R77","17","E","23022012E202","2067296011")</f>
        <v>0</v>
      </c>
      <c r="G1597" s="48">
        <f>[1]!BexGetData("DP_2","DL719O2RYNEBZX0HTMQQ0BY0J","17","E","23022012E202","2067296011")</f>
        <v>0</v>
      </c>
      <c r="H1597" s="48">
        <f>[1]!BexGetData("DP_2","DL719O2RYNGN1RZRS91K7M4TV","17","E","23022012E202","2067296011")</f>
        <v>0</v>
      </c>
      <c r="I1597" s="48">
        <f>[1]!BexGetData("DP_2","DL719O2RYNIY3MZ1QVCEEWBN7","17","E","23022012E202","2067296011")</f>
        <v>0</v>
      </c>
    </row>
    <row r="1598" spans="1:9" x14ac:dyDescent="0.2">
      <c r="A1598" s="46" t="s">
        <v>32</v>
      </c>
      <c r="B1598" s="46" t="s">
        <v>32</v>
      </c>
      <c r="C1598" s="46" t="s">
        <v>32</v>
      </c>
      <c r="D1598" s="46" t="s">
        <v>32</v>
      </c>
      <c r="E1598" s="46" t="s">
        <v>32</v>
      </c>
      <c r="F1598" s="47">
        <f>[1]!BexGetData("DP_2","DL719O2RYNC0Y217V0FVT1R77","17","E","23022012E202","2067311011")</f>
        <v>27686.57</v>
      </c>
      <c r="G1598" s="48">
        <f>[1]!BexGetData("DP_2","DL719O2RYNEBZX0HTMQQ0BY0J","17","E","23022012E202","2067311011")</f>
        <v>27686.57</v>
      </c>
      <c r="H1598" s="48">
        <f>[1]!BexGetData("DP_2","DL719O2RYNGN1RZRS91K7M4TV","17","E","23022012E202","2067311011")</f>
        <v>27686.57</v>
      </c>
      <c r="I1598" s="48">
        <f>[1]!BexGetData("DP_2","DL719O2RYNIY3MZ1QVCEEWBN7","17","E","23022012E202","2067311011")</f>
        <v>0</v>
      </c>
    </row>
    <row r="1599" spans="1:9" x14ac:dyDescent="0.2">
      <c r="A1599" s="46" t="s">
        <v>32</v>
      </c>
      <c r="B1599" s="46" t="s">
        <v>32</v>
      </c>
      <c r="C1599" s="46" t="s">
        <v>32</v>
      </c>
      <c r="D1599" s="46" t="s">
        <v>32</v>
      </c>
      <c r="E1599" s="46" t="s">
        <v>32</v>
      </c>
      <c r="F1599" s="47">
        <f>[1]!BexGetData("DP_2","DL719O2RYNC0Y217V0FVT1R77","17","E","23022012E202","2067312011")</f>
        <v>0</v>
      </c>
      <c r="G1599" s="48">
        <f>[1]!BexGetData("DP_2","DL719O2RYNEBZX0HTMQQ0BY0J","17","E","23022012E202","2067312011")</f>
        <v>0</v>
      </c>
      <c r="H1599" s="48">
        <f>[1]!BexGetData("DP_2","DL719O2RYNGN1RZRS91K7M4TV","17","E","23022012E202","2067312011")</f>
        <v>0</v>
      </c>
      <c r="I1599" s="48">
        <f>[1]!BexGetData("DP_2","DL719O2RYNIY3MZ1QVCEEWBN7","17","E","23022012E202","2067312011")</f>
        <v>0</v>
      </c>
    </row>
    <row r="1600" spans="1:9" x14ac:dyDescent="0.2">
      <c r="A1600" s="46" t="s">
        <v>32</v>
      </c>
      <c r="B1600" s="46" t="s">
        <v>32</v>
      </c>
      <c r="C1600" s="46" t="s">
        <v>32</v>
      </c>
      <c r="D1600" s="46" t="s">
        <v>32</v>
      </c>
      <c r="E1600" s="46" t="s">
        <v>32</v>
      </c>
      <c r="F1600" s="47">
        <f>[1]!BexGetData("DP_2","DL719O2RYNC0Y217V0FVT1R77","17","E","23022012E202","2067314011")</f>
        <v>11287.5</v>
      </c>
      <c r="G1600" s="48">
        <f>[1]!BexGetData("DP_2","DL719O2RYNEBZX0HTMQQ0BY0J","17","E","23022012E202","2067314011")</f>
        <v>11287.5</v>
      </c>
      <c r="H1600" s="48">
        <f>[1]!BexGetData("DP_2","DL719O2RYNGN1RZRS91K7M4TV","17","E","23022012E202","2067314011")</f>
        <v>11287.5</v>
      </c>
      <c r="I1600" s="48">
        <f>[1]!BexGetData("DP_2","DL719O2RYNIY3MZ1QVCEEWBN7","17","E","23022012E202","2067314011")</f>
        <v>0</v>
      </c>
    </row>
    <row r="1601" spans="1:9" x14ac:dyDescent="0.2">
      <c r="A1601" s="46" t="s">
        <v>32</v>
      </c>
      <c r="B1601" s="46" t="s">
        <v>32</v>
      </c>
      <c r="C1601" s="46" t="s">
        <v>32</v>
      </c>
      <c r="D1601" s="46" t="s">
        <v>32</v>
      </c>
      <c r="E1601" s="46" t="s">
        <v>32</v>
      </c>
      <c r="F1601" s="47">
        <f>[1]!BexGetData("DP_2","DL719O2RYNC0Y217V0FVT1R77","17","E","23022012E202","2067322011")</f>
        <v>328301.96000000002</v>
      </c>
      <c r="G1601" s="48">
        <f>[1]!BexGetData("DP_2","DL719O2RYNEBZX0HTMQQ0BY0J","17","E","23022012E202","2067322011")</f>
        <v>328301.96000000002</v>
      </c>
      <c r="H1601" s="48">
        <f>[1]!BexGetData("DP_2","DL719O2RYNGN1RZRS91K7M4TV","17","E","23022012E202","2067322011")</f>
        <v>300943.46000000002</v>
      </c>
      <c r="I1601" s="48">
        <f>[1]!BexGetData("DP_2","DL719O2RYNIY3MZ1QVCEEWBN7","17","E","23022012E202","2067322011")</f>
        <v>0</v>
      </c>
    </row>
    <row r="1602" spans="1:9" x14ac:dyDescent="0.2">
      <c r="A1602" s="46" t="s">
        <v>32</v>
      </c>
      <c r="B1602" s="46" t="s">
        <v>32</v>
      </c>
      <c r="C1602" s="46" t="s">
        <v>32</v>
      </c>
      <c r="D1602" s="46" t="s">
        <v>32</v>
      </c>
      <c r="E1602" s="46" t="s">
        <v>32</v>
      </c>
      <c r="F1602" s="47">
        <f>[1]!BexGetData("DP_2","DL719O2RYNC0Y217V0FVT1R77","17","E","23022012E202","2067329011")</f>
        <v>2360</v>
      </c>
      <c r="G1602" s="48">
        <f>[1]!BexGetData("DP_2","DL719O2RYNEBZX0HTMQQ0BY0J","17","E","23022012E202","2067329011")</f>
        <v>2360</v>
      </c>
      <c r="H1602" s="48">
        <f>[1]!BexGetData("DP_2","DL719O2RYNGN1RZRS91K7M4TV","17","E","23022012E202","2067329011")</f>
        <v>2360</v>
      </c>
      <c r="I1602" s="48">
        <f>[1]!BexGetData("DP_2","DL719O2RYNIY3MZ1QVCEEWBN7","17","E","23022012E202","2067329011")</f>
        <v>0</v>
      </c>
    </row>
    <row r="1603" spans="1:9" x14ac:dyDescent="0.2">
      <c r="A1603" s="46" t="s">
        <v>32</v>
      </c>
      <c r="B1603" s="46" t="s">
        <v>32</v>
      </c>
      <c r="C1603" s="46" t="s">
        <v>32</v>
      </c>
      <c r="D1603" s="46" t="s">
        <v>32</v>
      </c>
      <c r="E1603" s="46" t="s">
        <v>32</v>
      </c>
      <c r="F1603" s="47">
        <f>[1]!BexGetData("DP_2","DL719O2RYNC0Y217V0FVT1R77","17","E","23022012E202","2067336011")</f>
        <v>29004.23</v>
      </c>
      <c r="G1603" s="48">
        <f>[1]!BexGetData("DP_2","DL719O2RYNEBZX0HTMQQ0BY0J","17","E","23022012E202","2067336011")</f>
        <v>29004.23</v>
      </c>
      <c r="H1603" s="48">
        <f>[1]!BexGetData("DP_2","DL719O2RYNGN1RZRS91K7M4TV","17","E","23022012E202","2067336011")</f>
        <v>23104.18</v>
      </c>
      <c r="I1603" s="48">
        <f>[1]!BexGetData("DP_2","DL719O2RYNIY3MZ1QVCEEWBN7","17","E","23022012E202","2067336011")</f>
        <v>0</v>
      </c>
    </row>
    <row r="1604" spans="1:9" x14ac:dyDescent="0.2">
      <c r="A1604" s="46" t="s">
        <v>32</v>
      </c>
      <c r="B1604" s="46" t="s">
        <v>32</v>
      </c>
      <c r="C1604" s="46" t="s">
        <v>32</v>
      </c>
      <c r="D1604" s="46" t="s">
        <v>32</v>
      </c>
      <c r="E1604" s="46" t="s">
        <v>32</v>
      </c>
      <c r="F1604" s="47">
        <f>[1]!BexGetData("DP_2","DL719O2RYNC0Y217V0FVT1R77","17","E","23022012E202","2067351011")</f>
        <v>55052.67</v>
      </c>
      <c r="G1604" s="48">
        <f>[1]!BexGetData("DP_2","DL719O2RYNEBZX0HTMQQ0BY0J","17","E","23022012E202","2067351011")</f>
        <v>55052.67</v>
      </c>
      <c r="H1604" s="48">
        <f>[1]!BexGetData("DP_2","DL719O2RYNGN1RZRS91K7M4TV","17","E","23022012E202","2067351011")</f>
        <v>0</v>
      </c>
      <c r="I1604" s="48">
        <f>[1]!BexGetData("DP_2","DL719O2RYNIY3MZ1QVCEEWBN7","17","E","23022012E202","2067351011")</f>
        <v>0</v>
      </c>
    </row>
    <row r="1605" spans="1:9" x14ac:dyDescent="0.2">
      <c r="A1605" s="46" t="s">
        <v>32</v>
      </c>
      <c r="B1605" s="46" t="s">
        <v>32</v>
      </c>
      <c r="C1605" s="46" t="s">
        <v>32</v>
      </c>
      <c r="D1605" s="46" t="s">
        <v>32</v>
      </c>
      <c r="E1605" s="46" t="s">
        <v>32</v>
      </c>
      <c r="F1605" s="47">
        <f>[1]!BexGetData("DP_2","DL719O2RYNC0Y217V0FVT1R77","17","E","23022012E202","2067352011")</f>
        <v>522</v>
      </c>
      <c r="G1605" s="48">
        <f>[1]!BexGetData("DP_2","DL719O2RYNEBZX0HTMQQ0BY0J","17","E","23022012E202","2067352011")</f>
        <v>522</v>
      </c>
      <c r="H1605" s="48">
        <f>[1]!BexGetData("DP_2","DL719O2RYNGN1RZRS91K7M4TV","17","E","23022012E202","2067352011")</f>
        <v>522</v>
      </c>
      <c r="I1605" s="48">
        <f>[1]!BexGetData("DP_2","DL719O2RYNIY3MZ1QVCEEWBN7","17","E","23022012E202","2067352011")</f>
        <v>0</v>
      </c>
    </row>
    <row r="1606" spans="1:9" x14ac:dyDescent="0.2">
      <c r="A1606" s="46" t="s">
        <v>32</v>
      </c>
      <c r="B1606" s="46" t="s">
        <v>32</v>
      </c>
      <c r="C1606" s="46" t="s">
        <v>32</v>
      </c>
      <c r="D1606" s="46" t="s">
        <v>32</v>
      </c>
      <c r="E1606" s="46" t="s">
        <v>32</v>
      </c>
      <c r="F1606" s="47">
        <f>[1]!BexGetData("DP_2","DL719O2RYNC0Y217V0FVT1R77","17","E","23022012E202","2067354011")</f>
        <v>0</v>
      </c>
      <c r="G1606" s="48">
        <f>[1]!BexGetData("DP_2","DL719O2RYNEBZX0HTMQQ0BY0J","17","E","23022012E202","2067354011")</f>
        <v>0</v>
      </c>
      <c r="H1606" s="48">
        <f>[1]!BexGetData("DP_2","DL719O2RYNGN1RZRS91K7M4TV","17","E","23022012E202","2067354011")</f>
        <v>0</v>
      </c>
      <c r="I1606" s="48">
        <f>[1]!BexGetData("DP_2","DL719O2RYNIY3MZ1QVCEEWBN7","17","E","23022012E202","2067354011")</f>
        <v>0</v>
      </c>
    </row>
    <row r="1607" spans="1:9" x14ac:dyDescent="0.2">
      <c r="A1607" s="46" t="s">
        <v>32</v>
      </c>
      <c r="B1607" s="46" t="s">
        <v>32</v>
      </c>
      <c r="C1607" s="46" t="s">
        <v>32</v>
      </c>
      <c r="D1607" s="46" t="s">
        <v>32</v>
      </c>
      <c r="E1607" s="46" t="s">
        <v>32</v>
      </c>
      <c r="F1607" s="47">
        <f>[1]!BexGetData("DP_2","DL719O2RYNC0Y217V0FVT1R77","17","E","23022012E202","2067355011")</f>
        <v>0</v>
      </c>
      <c r="G1607" s="48">
        <f>[1]!BexGetData("DP_2","DL719O2RYNEBZX0HTMQQ0BY0J","17","E","23022012E202","2067355011")</f>
        <v>0</v>
      </c>
      <c r="H1607" s="48">
        <f>[1]!BexGetData("DP_2","DL719O2RYNGN1RZRS91K7M4TV","17","E","23022012E202","2067355011")</f>
        <v>0</v>
      </c>
      <c r="I1607" s="48">
        <f>[1]!BexGetData("DP_2","DL719O2RYNIY3MZ1QVCEEWBN7","17","E","23022012E202","2067355011")</f>
        <v>0</v>
      </c>
    </row>
    <row r="1608" spans="1:9" x14ac:dyDescent="0.2">
      <c r="A1608" s="46" t="s">
        <v>32</v>
      </c>
      <c r="B1608" s="46" t="s">
        <v>32</v>
      </c>
      <c r="C1608" s="46" t="s">
        <v>32</v>
      </c>
      <c r="D1608" s="46" t="s">
        <v>32</v>
      </c>
      <c r="E1608" s="46" t="s">
        <v>32</v>
      </c>
      <c r="F1608" s="47">
        <f>[1]!BexGetData("DP_2","DL719O2RYNC0Y217V0FVT1R77","17","E","23022012E202","2067358021")</f>
        <v>40263.599999999999</v>
      </c>
      <c r="G1608" s="48">
        <f>[1]!BexGetData("DP_2","DL719O2RYNEBZX0HTMQQ0BY0J","17","E","23022012E202","2067358021")</f>
        <v>40263.599999999999</v>
      </c>
      <c r="H1608" s="48">
        <f>[1]!BexGetData("DP_2","DL719O2RYNGN1RZRS91K7M4TV","17","E","23022012E202","2067358021")</f>
        <v>3619.2</v>
      </c>
      <c r="I1608" s="48">
        <f>[1]!BexGetData("DP_2","DL719O2RYNIY3MZ1QVCEEWBN7","17","E","23022012E202","2067358021")</f>
        <v>0</v>
      </c>
    </row>
    <row r="1609" spans="1:9" x14ac:dyDescent="0.2">
      <c r="A1609" s="46" t="s">
        <v>32</v>
      </c>
      <c r="B1609" s="46" t="s">
        <v>32</v>
      </c>
      <c r="C1609" s="46" t="s">
        <v>32</v>
      </c>
      <c r="D1609" s="46" t="s">
        <v>32</v>
      </c>
      <c r="E1609" s="46" t="s">
        <v>32</v>
      </c>
      <c r="F1609" s="47">
        <f>[1]!BexGetData("DP_2","DL719O2RYNC0Y217V0FVT1R77","17","E","23022012E202","2067361011")</f>
        <v>100</v>
      </c>
      <c r="G1609" s="48">
        <f>[1]!BexGetData("DP_2","DL719O2RYNEBZX0HTMQQ0BY0J","17","E","23022012E202","2067361011")</f>
        <v>100</v>
      </c>
      <c r="H1609" s="48">
        <f>[1]!BexGetData("DP_2","DL719O2RYNGN1RZRS91K7M4TV","17","E","23022012E202","2067361011")</f>
        <v>100</v>
      </c>
      <c r="I1609" s="48">
        <f>[1]!BexGetData("DP_2","DL719O2RYNIY3MZ1QVCEEWBN7","17","E","23022012E202","2067361011")</f>
        <v>0</v>
      </c>
    </row>
    <row r="1610" spans="1:9" x14ac:dyDescent="0.2">
      <c r="A1610" s="46" t="s">
        <v>32</v>
      </c>
      <c r="B1610" s="46" t="s">
        <v>32</v>
      </c>
      <c r="C1610" s="46" t="s">
        <v>32</v>
      </c>
      <c r="D1610" s="46" t="s">
        <v>32</v>
      </c>
      <c r="E1610" s="46" t="s">
        <v>32</v>
      </c>
      <c r="F1610" s="47">
        <f>[1]!BexGetData("DP_2","DL719O2RYNC0Y217V0FVT1R77","17","E","23022012E202","2067372011")</f>
        <v>2767</v>
      </c>
      <c r="G1610" s="48">
        <f>[1]!BexGetData("DP_2","DL719O2RYNEBZX0HTMQQ0BY0J","17","E","23022012E202","2067372011")</f>
        <v>2767</v>
      </c>
      <c r="H1610" s="48">
        <f>[1]!BexGetData("DP_2","DL719O2RYNGN1RZRS91K7M4TV","17","E","23022012E202","2067372011")</f>
        <v>2767</v>
      </c>
      <c r="I1610" s="48">
        <f>[1]!BexGetData("DP_2","DL719O2RYNIY3MZ1QVCEEWBN7","17","E","23022012E202","2067372011")</f>
        <v>0</v>
      </c>
    </row>
    <row r="1611" spans="1:9" x14ac:dyDescent="0.2">
      <c r="A1611" s="46" t="s">
        <v>32</v>
      </c>
      <c r="B1611" s="46" t="s">
        <v>32</v>
      </c>
      <c r="C1611" s="46" t="s">
        <v>32</v>
      </c>
      <c r="D1611" s="46" t="s">
        <v>32</v>
      </c>
      <c r="E1611" s="46" t="s">
        <v>32</v>
      </c>
      <c r="F1611" s="47">
        <f>[1]!BexGetData("DP_2","DL719O2RYNC0Y217V0FVT1R77","17","E","23022012E202","2067375011")</f>
        <v>1500</v>
      </c>
      <c r="G1611" s="48">
        <f>[1]!BexGetData("DP_2","DL719O2RYNEBZX0HTMQQ0BY0J","17","E","23022012E202","2067375011")</f>
        <v>1500</v>
      </c>
      <c r="H1611" s="48">
        <f>[1]!BexGetData("DP_2","DL719O2RYNGN1RZRS91K7M4TV","17","E","23022012E202","2067375011")</f>
        <v>1500</v>
      </c>
      <c r="I1611" s="48">
        <f>[1]!BexGetData("DP_2","DL719O2RYNIY3MZ1QVCEEWBN7","17","E","23022012E202","2067375011")</f>
        <v>0</v>
      </c>
    </row>
    <row r="1612" spans="1:9" x14ac:dyDescent="0.2">
      <c r="A1612" s="46" t="s">
        <v>32</v>
      </c>
      <c r="B1612" s="46" t="s">
        <v>32</v>
      </c>
      <c r="C1612" s="46" t="s">
        <v>32</v>
      </c>
      <c r="D1612" s="46" t="s">
        <v>32</v>
      </c>
      <c r="E1612" s="46" t="s">
        <v>32</v>
      </c>
      <c r="F1612" s="47">
        <f>[1]!BexGetData("DP_2","DL719O2RYNC0Y217V0FVT1R77","17","E","23022012E202","2067531012")</f>
        <v>22840.400000000001</v>
      </c>
      <c r="G1612" s="48">
        <f>[1]!BexGetData("DP_2","DL719O2RYNEBZX0HTMQQ0BY0J","17","E","23022012E202","2067531012")</f>
        <v>22840.400000000001</v>
      </c>
      <c r="H1612" s="48">
        <f>[1]!BexGetData("DP_2","DL719O2RYNGN1RZRS91K7M4TV","17","E","23022012E202","2067531012")</f>
        <v>22840.400000000001</v>
      </c>
      <c r="I1612" s="48">
        <f>[1]!BexGetData("DP_2","DL719O2RYNIY3MZ1QVCEEWBN7","17","E","23022012E202","2067531012")</f>
        <v>0</v>
      </c>
    </row>
    <row r="1613" spans="1:9" x14ac:dyDescent="0.2">
      <c r="A1613" s="46" t="s">
        <v>32</v>
      </c>
      <c r="B1613" s="46" t="s">
        <v>32</v>
      </c>
      <c r="C1613" s="46" t="s">
        <v>120</v>
      </c>
      <c r="D1613" s="46" t="s">
        <v>120</v>
      </c>
      <c r="E1613" s="46" t="s">
        <v>32</v>
      </c>
      <c r="F1613" s="47">
        <f>[1]!BexGetData("DP_2","DL719O2RYNC0Y217V0FVT1R77","17","E","24012063E203","2067113011")</f>
        <v>145157.93</v>
      </c>
      <c r="G1613" s="48">
        <f>[1]!BexGetData("DP_2","DL719O2RYNEBZX0HTMQQ0BY0J","17","E","24012063E203","2067113011")</f>
        <v>145157.93</v>
      </c>
      <c r="H1613" s="48">
        <f>[1]!BexGetData("DP_2","DL719O2RYNGN1RZRS91K7M4TV","17","E","24012063E203","2067113011")</f>
        <v>145157.93</v>
      </c>
      <c r="I1613" s="48">
        <f>[1]!BexGetData("DP_2","DL719O2RYNIY3MZ1QVCEEWBN7","17","E","24012063E203","2067113011")</f>
        <v>0</v>
      </c>
    </row>
    <row r="1614" spans="1:9" x14ac:dyDescent="0.2">
      <c r="A1614" s="46" t="s">
        <v>32</v>
      </c>
      <c r="B1614" s="46" t="s">
        <v>32</v>
      </c>
      <c r="C1614" s="46" t="s">
        <v>32</v>
      </c>
      <c r="D1614" s="46" t="s">
        <v>32</v>
      </c>
      <c r="E1614" s="46" t="s">
        <v>32</v>
      </c>
      <c r="F1614" s="47">
        <f>[1]!BexGetData("DP_2","DL719O2RYNC0Y217V0FVT1R77","17","E","24012063E203","2067113021")</f>
        <v>254992.82</v>
      </c>
      <c r="G1614" s="48">
        <f>[1]!BexGetData("DP_2","DL719O2RYNEBZX0HTMQQ0BY0J","17","E","24012063E203","2067113021")</f>
        <v>254992.82</v>
      </c>
      <c r="H1614" s="48">
        <f>[1]!BexGetData("DP_2","DL719O2RYNGN1RZRS91K7M4TV","17","E","24012063E203","2067113021")</f>
        <v>254992.82</v>
      </c>
      <c r="I1614" s="48">
        <f>[1]!BexGetData("DP_2","DL719O2RYNIY3MZ1QVCEEWBN7","17","E","24012063E203","2067113021")</f>
        <v>0</v>
      </c>
    </row>
    <row r="1615" spans="1:9" x14ac:dyDescent="0.2">
      <c r="A1615" s="46" t="s">
        <v>32</v>
      </c>
      <c r="B1615" s="46" t="s">
        <v>32</v>
      </c>
      <c r="C1615" s="46" t="s">
        <v>32</v>
      </c>
      <c r="D1615" s="46" t="s">
        <v>32</v>
      </c>
      <c r="E1615" s="46" t="s">
        <v>32</v>
      </c>
      <c r="F1615" s="47">
        <f>[1]!BexGetData("DP_2","DL719O2RYNC0Y217V0FVT1R77","17","E","24012063E203","2067122011")</f>
        <v>42000</v>
      </c>
      <c r="G1615" s="48">
        <f>[1]!BexGetData("DP_2","DL719O2RYNEBZX0HTMQQ0BY0J","17","E","24012063E203","2067122011")</f>
        <v>42000</v>
      </c>
      <c r="H1615" s="48">
        <f>[1]!BexGetData("DP_2","DL719O2RYNGN1RZRS91K7M4TV","17","E","24012063E203","2067122011")</f>
        <v>42000</v>
      </c>
      <c r="I1615" s="48">
        <f>[1]!BexGetData("DP_2","DL719O2RYNIY3MZ1QVCEEWBN7","17","E","24012063E203","2067122011")</f>
        <v>0</v>
      </c>
    </row>
    <row r="1616" spans="1:9" x14ac:dyDescent="0.2">
      <c r="A1616" s="46" t="s">
        <v>32</v>
      </c>
      <c r="B1616" s="46" t="s">
        <v>32</v>
      </c>
      <c r="C1616" s="46" t="s">
        <v>32</v>
      </c>
      <c r="D1616" s="46" t="s">
        <v>32</v>
      </c>
      <c r="E1616" s="46" t="s">
        <v>32</v>
      </c>
      <c r="F1616" s="47">
        <f>[1]!BexGetData("DP_2","DL719O2RYNC0Y217V0FVT1R77","17","E","24012063E203","2067131011")</f>
        <v>16713.84</v>
      </c>
      <c r="G1616" s="48">
        <f>[1]!BexGetData("DP_2","DL719O2RYNEBZX0HTMQQ0BY0J","17","E","24012063E203","2067131011")</f>
        <v>16713.84</v>
      </c>
      <c r="H1616" s="48">
        <f>[1]!BexGetData("DP_2","DL719O2RYNGN1RZRS91K7M4TV","17","E","24012063E203","2067131011")</f>
        <v>16713.84</v>
      </c>
      <c r="I1616" s="48">
        <f>[1]!BexGetData("DP_2","DL719O2RYNIY3MZ1QVCEEWBN7","17","E","24012063E203","2067131011")</f>
        <v>0</v>
      </c>
    </row>
    <row r="1617" spans="1:9" x14ac:dyDescent="0.2">
      <c r="A1617" s="46" t="s">
        <v>32</v>
      </c>
      <c r="B1617" s="46" t="s">
        <v>32</v>
      </c>
      <c r="C1617" s="46" t="s">
        <v>32</v>
      </c>
      <c r="D1617" s="46" t="s">
        <v>32</v>
      </c>
      <c r="E1617" s="46" t="s">
        <v>32</v>
      </c>
      <c r="F1617" s="47">
        <f>[1]!BexGetData("DP_2","DL719O2RYNC0Y217V0FVT1R77","17","E","24012063E203","2067131021")</f>
        <v>11338.59</v>
      </c>
      <c r="G1617" s="48">
        <f>[1]!BexGetData("DP_2","DL719O2RYNEBZX0HTMQQ0BY0J","17","E","24012063E203","2067131021")</f>
        <v>11338.59</v>
      </c>
      <c r="H1617" s="48">
        <f>[1]!BexGetData("DP_2","DL719O2RYNGN1RZRS91K7M4TV","17","E","24012063E203","2067131021")</f>
        <v>11338.59</v>
      </c>
      <c r="I1617" s="48">
        <f>[1]!BexGetData("DP_2","DL719O2RYNIY3MZ1QVCEEWBN7","17","E","24012063E203","2067131021")</f>
        <v>0</v>
      </c>
    </row>
    <row r="1618" spans="1:9" x14ac:dyDescent="0.2">
      <c r="A1618" s="46" t="s">
        <v>32</v>
      </c>
      <c r="B1618" s="46" t="s">
        <v>32</v>
      </c>
      <c r="C1618" s="46" t="s">
        <v>32</v>
      </c>
      <c r="D1618" s="46" t="s">
        <v>32</v>
      </c>
      <c r="E1618" s="46" t="s">
        <v>32</v>
      </c>
      <c r="F1618" s="47">
        <f>[1]!BexGetData("DP_2","DL719O2RYNC0Y217V0FVT1R77","17","E","24012063E203","2067132011")</f>
        <v>16166.1</v>
      </c>
      <c r="G1618" s="48">
        <f>[1]!BexGetData("DP_2","DL719O2RYNEBZX0HTMQQ0BY0J","17","E","24012063E203","2067132011")</f>
        <v>16166.1</v>
      </c>
      <c r="H1618" s="48">
        <f>[1]!BexGetData("DP_2","DL719O2RYNGN1RZRS91K7M4TV","17","E","24012063E203","2067132011")</f>
        <v>16166.1</v>
      </c>
      <c r="I1618" s="48">
        <f>[1]!BexGetData("DP_2","DL719O2RYNIY3MZ1QVCEEWBN7","17","E","24012063E203","2067132011")</f>
        <v>0</v>
      </c>
    </row>
    <row r="1619" spans="1:9" x14ac:dyDescent="0.2">
      <c r="A1619" s="46" t="s">
        <v>32</v>
      </c>
      <c r="B1619" s="46" t="s">
        <v>32</v>
      </c>
      <c r="C1619" s="46" t="s">
        <v>32</v>
      </c>
      <c r="D1619" s="46" t="s">
        <v>32</v>
      </c>
      <c r="E1619" s="46" t="s">
        <v>32</v>
      </c>
      <c r="F1619" s="47">
        <f>[1]!BexGetData("DP_2","DL719O2RYNC0Y217V0FVT1R77","17","E","24012063E203","2067132021")</f>
        <v>91425.57</v>
      </c>
      <c r="G1619" s="48">
        <f>[1]!BexGetData("DP_2","DL719O2RYNEBZX0HTMQQ0BY0J","17","E","24012063E203","2067132021")</f>
        <v>91425.57</v>
      </c>
      <c r="H1619" s="48">
        <f>[1]!BexGetData("DP_2","DL719O2RYNGN1RZRS91K7M4TV","17","E","24012063E203","2067132021")</f>
        <v>91425.57</v>
      </c>
      <c r="I1619" s="48">
        <f>[1]!BexGetData("DP_2","DL719O2RYNIY3MZ1QVCEEWBN7","17","E","24012063E203","2067132021")</f>
        <v>0</v>
      </c>
    </row>
    <row r="1620" spans="1:9" x14ac:dyDescent="0.2">
      <c r="A1620" s="46" t="s">
        <v>32</v>
      </c>
      <c r="B1620" s="46" t="s">
        <v>32</v>
      </c>
      <c r="C1620" s="46" t="s">
        <v>32</v>
      </c>
      <c r="D1620" s="46" t="s">
        <v>32</v>
      </c>
      <c r="E1620" s="46" t="s">
        <v>32</v>
      </c>
      <c r="F1620" s="47">
        <f>[1]!BexGetData("DP_2","DL719O2RYNC0Y217V0FVT1R77","17","E","24012063E203","2067134011")</f>
        <v>195377.81</v>
      </c>
      <c r="G1620" s="48">
        <f>[1]!BexGetData("DP_2","DL719O2RYNEBZX0HTMQQ0BY0J","17","E","24012063E203","2067134011")</f>
        <v>195377.81</v>
      </c>
      <c r="H1620" s="48">
        <f>[1]!BexGetData("DP_2","DL719O2RYNGN1RZRS91K7M4TV","17","E","24012063E203","2067134011")</f>
        <v>198437.48</v>
      </c>
      <c r="I1620" s="48">
        <f>[1]!BexGetData("DP_2","DL719O2RYNIY3MZ1QVCEEWBN7","17","E","24012063E203","2067134011")</f>
        <v>0</v>
      </c>
    </row>
    <row r="1621" spans="1:9" x14ac:dyDescent="0.2">
      <c r="A1621" s="46" t="s">
        <v>32</v>
      </c>
      <c r="B1621" s="46" t="s">
        <v>32</v>
      </c>
      <c r="C1621" s="46" t="s">
        <v>32</v>
      </c>
      <c r="D1621" s="46" t="s">
        <v>32</v>
      </c>
      <c r="E1621" s="46" t="s">
        <v>32</v>
      </c>
      <c r="F1621" s="47">
        <f>[1]!BexGetData("DP_2","DL719O2RYNC0Y217V0FVT1R77","17","E","24012063E203","2067134021")</f>
        <v>346474.26</v>
      </c>
      <c r="G1621" s="48">
        <f>[1]!BexGetData("DP_2","DL719O2RYNEBZX0HTMQQ0BY0J","17","E","24012063E203","2067134021")</f>
        <v>346474.26</v>
      </c>
      <c r="H1621" s="48">
        <f>[1]!BexGetData("DP_2","DL719O2RYNGN1RZRS91K7M4TV","17","E","24012063E203","2067134021")</f>
        <v>346474.26</v>
      </c>
      <c r="I1621" s="48">
        <f>[1]!BexGetData("DP_2","DL719O2RYNIY3MZ1QVCEEWBN7","17","E","24012063E203","2067134021")</f>
        <v>0</v>
      </c>
    </row>
    <row r="1622" spans="1:9" x14ac:dyDescent="0.2">
      <c r="A1622" s="46" t="s">
        <v>32</v>
      </c>
      <c r="B1622" s="46" t="s">
        <v>32</v>
      </c>
      <c r="C1622" s="46" t="s">
        <v>32</v>
      </c>
      <c r="D1622" s="46" t="s">
        <v>32</v>
      </c>
      <c r="E1622" s="46" t="s">
        <v>32</v>
      </c>
      <c r="F1622" s="47">
        <f>[1]!BexGetData("DP_2","DL719O2RYNC0Y217V0FVT1R77","17","E","24012063E203","2067141011")</f>
        <v>89229.42</v>
      </c>
      <c r="G1622" s="48">
        <f>[1]!BexGetData("DP_2","DL719O2RYNEBZX0HTMQQ0BY0J","17","E","24012063E203","2067141011")</f>
        <v>89229.42</v>
      </c>
      <c r="H1622" s="48">
        <f>[1]!BexGetData("DP_2","DL719O2RYNGN1RZRS91K7M4TV","17","E","24012063E203","2067141011")</f>
        <v>89229.42</v>
      </c>
      <c r="I1622" s="48">
        <f>[1]!BexGetData("DP_2","DL719O2RYNIY3MZ1QVCEEWBN7","17","E","24012063E203","2067141011")</f>
        <v>0</v>
      </c>
    </row>
    <row r="1623" spans="1:9" x14ac:dyDescent="0.2">
      <c r="A1623" s="46" t="s">
        <v>32</v>
      </c>
      <c r="B1623" s="46" t="s">
        <v>32</v>
      </c>
      <c r="C1623" s="46" t="s">
        <v>32</v>
      </c>
      <c r="D1623" s="46" t="s">
        <v>32</v>
      </c>
      <c r="E1623" s="46" t="s">
        <v>32</v>
      </c>
      <c r="F1623" s="47">
        <f>[1]!BexGetData("DP_2","DL719O2RYNC0Y217V0FVT1R77","17","E","24012063E203","2067141021")</f>
        <v>29346.02</v>
      </c>
      <c r="G1623" s="48">
        <f>[1]!BexGetData("DP_2","DL719O2RYNEBZX0HTMQQ0BY0J","17","E","24012063E203","2067141021")</f>
        <v>29346.02</v>
      </c>
      <c r="H1623" s="48">
        <f>[1]!BexGetData("DP_2","DL719O2RYNGN1RZRS91K7M4TV","17","E","24012063E203","2067141021")</f>
        <v>29346.02</v>
      </c>
      <c r="I1623" s="48">
        <f>[1]!BexGetData("DP_2","DL719O2RYNIY3MZ1QVCEEWBN7","17","E","24012063E203","2067141021")</f>
        <v>0</v>
      </c>
    </row>
    <row r="1624" spans="1:9" x14ac:dyDescent="0.2">
      <c r="A1624" s="46" t="s">
        <v>32</v>
      </c>
      <c r="B1624" s="46" t="s">
        <v>32</v>
      </c>
      <c r="C1624" s="46" t="s">
        <v>32</v>
      </c>
      <c r="D1624" s="46" t="s">
        <v>32</v>
      </c>
      <c r="E1624" s="46" t="s">
        <v>32</v>
      </c>
      <c r="F1624" s="47">
        <f>[1]!BexGetData("DP_2","DL719O2RYNC0Y217V0FVT1R77","17","E","24012063E203","2067143011")</f>
        <v>14651.12</v>
      </c>
      <c r="G1624" s="48">
        <f>[1]!BexGetData("DP_2","DL719O2RYNEBZX0HTMQQ0BY0J","17","E","24012063E203","2067143011")</f>
        <v>14651.12</v>
      </c>
      <c r="H1624" s="48">
        <f>[1]!BexGetData("DP_2","DL719O2RYNGN1RZRS91K7M4TV","17","E","24012063E203","2067143011")</f>
        <v>14651.12</v>
      </c>
      <c r="I1624" s="48">
        <f>[1]!BexGetData("DP_2","DL719O2RYNIY3MZ1QVCEEWBN7","17","E","24012063E203","2067143011")</f>
        <v>0</v>
      </c>
    </row>
    <row r="1625" spans="1:9" x14ac:dyDescent="0.2">
      <c r="A1625" s="46" t="s">
        <v>32</v>
      </c>
      <c r="B1625" s="46" t="s">
        <v>32</v>
      </c>
      <c r="C1625" s="46" t="s">
        <v>32</v>
      </c>
      <c r="D1625" s="46" t="s">
        <v>32</v>
      </c>
      <c r="E1625" s="46" t="s">
        <v>32</v>
      </c>
      <c r="F1625" s="47">
        <f>[1]!BexGetData("DP_2","DL719O2RYNC0Y217V0FVT1R77","17","E","24012063E203","2067151011")</f>
        <v>48152.88</v>
      </c>
      <c r="G1625" s="48">
        <f>[1]!BexGetData("DP_2","DL719O2RYNEBZX0HTMQQ0BY0J","17","E","24012063E203","2067151011")</f>
        <v>48152.88</v>
      </c>
      <c r="H1625" s="48">
        <f>[1]!BexGetData("DP_2","DL719O2RYNGN1RZRS91K7M4TV","17","E","24012063E203","2067151011")</f>
        <v>48152.88</v>
      </c>
      <c r="I1625" s="48">
        <f>[1]!BexGetData("DP_2","DL719O2RYNIY3MZ1QVCEEWBN7","17","E","24012063E203","2067151011")</f>
        <v>0</v>
      </c>
    </row>
    <row r="1626" spans="1:9" x14ac:dyDescent="0.2">
      <c r="A1626" s="46" t="s">
        <v>32</v>
      </c>
      <c r="B1626" s="46" t="s">
        <v>32</v>
      </c>
      <c r="C1626" s="46" t="s">
        <v>32</v>
      </c>
      <c r="D1626" s="46" t="s">
        <v>32</v>
      </c>
      <c r="E1626" s="46" t="s">
        <v>32</v>
      </c>
      <c r="F1626" s="47">
        <f>[1]!BexGetData("DP_2","DL719O2RYNC0Y217V0FVT1R77","17","E","24012063E203","2067154011")</f>
        <v>184309.03</v>
      </c>
      <c r="G1626" s="48">
        <f>[1]!BexGetData("DP_2","DL719O2RYNEBZX0HTMQQ0BY0J","17","E","24012063E203","2067154011")</f>
        <v>184309.03</v>
      </c>
      <c r="H1626" s="48">
        <f>[1]!BexGetData("DP_2","DL719O2RYNGN1RZRS91K7M4TV","17","E","24012063E203","2067154011")</f>
        <v>184309.03</v>
      </c>
      <c r="I1626" s="48">
        <f>[1]!BexGetData("DP_2","DL719O2RYNIY3MZ1QVCEEWBN7","17","E","24012063E203","2067154011")</f>
        <v>0</v>
      </c>
    </row>
    <row r="1627" spans="1:9" x14ac:dyDescent="0.2">
      <c r="A1627" s="46" t="s">
        <v>32</v>
      </c>
      <c r="B1627" s="46" t="s">
        <v>32</v>
      </c>
      <c r="C1627" s="46" t="s">
        <v>32</v>
      </c>
      <c r="D1627" s="46" t="s">
        <v>32</v>
      </c>
      <c r="E1627" s="46" t="s">
        <v>32</v>
      </c>
      <c r="F1627" s="47">
        <f>[1]!BexGetData("DP_2","DL719O2RYNC0Y217V0FVT1R77","17","E","24012063E203","2067211011")</f>
        <v>1070.68</v>
      </c>
      <c r="G1627" s="48">
        <f>[1]!BexGetData("DP_2","DL719O2RYNEBZX0HTMQQ0BY0J","17","E","24012063E203","2067211011")</f>
        <v>1070.68</v>
      </c>
      <c r="H1627" s="48">
        <f>[1]!BexGetData("DP_2","DL719O2RYNGN1RZRS91K7M4TV","17","E","24012063E203","2067211011")</f>
        <v>1070.68</v>
      </c>
      <c r="I1627" s="48">
        <f>[1]!BexGetData("DP_2","DL719O2RYNIY3MZ1QVCEEWBN7","17","E","24012063E203","2067211011")</f>
        <v>0</v>
      </c>
    </row>
    <row r="1628" spans="1:9" x14ac:dyDescent="0.2">
      <c r="A1628" s="46" t="s">
        <v>32</v>
      </c>
      <c r="B1628" s="46" t="s">
        <v>32</v>
      </c>
      <c r="C1628" s="46" t="s">
        <v>32</v>
      </c>
      <c r="D1628" s="46" t="s">
        <v>32</v>
      </c>
      <c r="E1628" s="46" t="s">
        <v>32</v>
      </c>
      <c r="F1628" s="47">
        <f>[1]!BexGetData("DP_2","DL719O2RYNC0Y217V0FVT1R77","17","E","24012063E203","2067214011")</f>
        <v>0</v>
      </c>
      <c r="G1628" s="48">
        <f>[1]!BexGetData("DP_2","DL719O2RYNEBZX0HTMQQ0BY0J","17","E","24012063E203","2067214011")</f>
        <v>0</v>
      </c>
      <c r="H1628" s="48">
        <f>[1]!BexGetData("DP_2","DL719O2RYNGN1RZRS91K7M4TV","17","E","24012063E203","2067214011")</f>
        <v>0</v>
      </c>
      <c r="I1628" s="48">
        <f>[1]!BexGetData("DP_2","DL719O2RYNIY3MZ1QVCEEWBN7","17","E","24012063E203","2067214011")</f>
        <v>0</v>
      </c>
    </row>
    <row r="1629" spans="1:9" x14ac:dyDescent="0.2">
      <c r="A1629" s="46" t="s">
        <v>32</v>
      </c>
      <c r="B1629" s="46" t="s">
        <v>32</v>
      </c>
      <c r="C1629" s="46" t="s">
        <v>32</v>
      </c>
      <c r="D1629" s="46" t="s">
        <v>32</v>
      </c>
      <c r="E1629" s="46" t="s">
        <v>32</v>
      </c>
      <c r="F1629" s="47">
        <f>[1]!BexGetData("DP_2","DL719O2RYNC0Y217V0FVT1R77","17","E","24012063E203","2067214021")</f>
        <v>678</v>
      </c>
      <c r="G1629" s="48">
        <f>[1]!BexGetData("DP_2","DL719O2RYNEBZX0HTMQQ0BY0J","17","E","24012063E203","2067214021")</f>
        <v>678</v>
      </c>
      <c r="H1629" s="48">
        <f>[1]!BexGetData("DP_2","DL719O2RYNGN1RZRS91K7M4TV","17","E","24012063E203","2067214021")</f>
        <v>678</v>
      </c>
      <c r="I1629" s="48">
        <f>[1]!BexGetData("DP_2","DL719O2RYNIY3MZ1QVCEEWBN7","17","E","24012063E203","2067214021")</f>
        <v>0</v>
      </c>
    </row>
    <row r="1630" spans="1:9" x14ac:dyDescent="0.2">
      <c r="A1630" s="46" t="s">
        <v>32</v>
      </c>
      <c r="B1630" s="46" t="s">
        <v>32</v>
      </c>
      <c r="C1630" s="46" t="s">
        <v>32</v>
      </c>
      <c r="D1630" s="46" t="s">
        <v>32</v>
      </c>
      <c r="E1630" s="46" t="s">
        <v>32</v>
      </c>
      <c r="F1630" s="47">
        <f>[1]!BexGetData("DP_2","DL719O2RYNC0Y217V0FVT1R77","17","E","24012063E203","2067215021")</f>
        <v>7744.16</v>
      </c>
      <c r="G1630" s="48">
        <f>[1]!BexGetData("DP_2","DL719O2RYNEBZX0HTMQQ0BY0J","17","E","24012063E203","2067215021")</f>
        <v>7744.16</v>
      </c>
      <c r="H1630" s="48">
        <f>[1]!BexGetData("DP_2","DL719O2RYNGN1RZRS91K7M4TV","17","E","24012063E203","2067215021")</f>
        <v>7744.16</v>
      </c>
      <c r="I1630" s="48">
        <f>[1]!BexGetData("DP_2","DL719O2RYNIY3MZ1QVCEEWBN7","17","E","24012063E203","2067215021")</f>
        <v>0</v>
      </c>
    </row>
    <row r="1631" spans="1:9" x14ac:dyDescent="0.2">
      <c r="A1631" s="46" t="s">
        <v>32</v>
      </c>
      <c r="B1631" s="46" t="s">
        <v>32</v>
      </c>
      <c r="C1631" s="46" t="s">
        <v>32</v>
      </c>
      <c r="D1631" s="46" t="s">
        <v>32</v>
      </c>
      <c r="E1631" s="46" t="s">
        <v>32</v>
      </c>
      <c r="F1631" s="47">
        <f>[1]!BexGetData("DP_2","DL719O2RYNC0Y217V0FVT1R77","17","E","24012063E203","2067216011")</f>
        <v>6041.47</v>
      </c>
      <c r="G1631" s="48">
        <f>[1]!BexGetData("DP_2","DL719O2RYNEBZX0HTMQQ0BY0J","17","E","24012063E203","2067216011")</f>
        <v>6041.47</v>
      </c>
      <c r="H1631" s="48">
        <f>[1]!BexGetData("DP_2","DL719O2RYNGN1RZRS91K7M4TV","17","E","24012063E203","2067216011")</f>
        <v>6041.47</v>
      </c>
      <c r="I1631" s="48">
        <f>[1]!BexGetData("DP_2","DL719O2RYNIY3MZ1QVCEEWBN7","17","E","24012063E203","2067216011")</f>
        <v>0</v>
      </c>
    </row>
    <row r="1632" spans="1:9" x14ac:dyDescent="0.2">
      <c r="A1632" s="46" t="s">
        <v>32</v>
      </c>
      <c r="B1632" s="46" t="s">
        <v>32</v>
      </c>
      <c r="C1632" s="46" t="s">
        <v>32</v>
      </c>
      <c r="D1632" s="46" t="s">
        <v>32</v>
      </c>
      <c r="E1632" s="46" t="s">
        <v>32</v>
      </c>
      <c r="F1632" s="47">
        <f>[1]!BexGetData("DP_2","DL719O2RYNC0Y217V0FVT1R77","17","E","24012063E203","2067221021")</f>
        <v>1008</v>
      </c>
      <c r="G1632" s="48">
        <f>[1]!BexGetData("DP_2","DL719O2RYNEBZX0HTMQQ0BY0J","17","E","24012063E203","2067221021")</f>
        <v>1008</v>
      </c>
      <c r="H1632" s="48">
        <f>[1]!BexGetData("DP_2","DL719O2RYNGN1RZRS91K7M4TV","17","E","24012063E203","2067221021")</f>
        <v>1008</v>
      </c>
      <c r="I1632" s="48">
        <f>[1]!BexGetData("DP_2","DL719O2RYNIY3MZ1QVCEEWBN7","17","E","24012063E203","2067221021")</f>
        <v>0</v>
      </c>
    </row>
    <row r="1633" spans="1:9" x14ac:dyDescent="0.2">
      <c r="A1633" s="46" t="s">
        <v>32</v>
      </c>
      <c r="B1633" s="46" t="s">
        <v>32</v>
      </c>
      <c r="C1633" s="46" t="s">
        <v>32</v>
      </c>
      <c r="D1633" s="46" t="s">
        <v>32</v>
      </c>
      <c r="E1633" s="46" t="s">
        <v>32</v>
      </c>
      <c r="F1633" s="47">
        <f>[1]!BexGetData("DP_2","DL719O2RYNC0Y217V0FVT1R77","17","E","24012063E203","2067246011")</f>
        <v>1179</v>
      </c>
      <c r="G1633" s="48">
        <f>[1]!BexGetData("DP_2","DL719O2RYNEBZX0HTMQQ0BY0J","17","E","24012063E203","2067246011")</f>
        <v>1179</v>
      </c>
      <c r="H1633" s="48">
        <f>[1]!BexGetData("DP_2","DL719O2RYNGN1RZRS91K7M4TV","17","E","24012063E203","2067246011")</f>
        <v>1179</v>
      </c>
      <c r="I1633" s="48">
        <f>[1]!BexGetData("DP_2","DL719O2RYNIY3MZ1QVCEEWBN7","17","E","24012063E203","2067246011")</f>
        <v>0</v>
      </c>
    </row>
    <row r="1634" spans="1:9" x14ac:dyDescent="0.2">
      <c r="A1634" s="46" t="s">
        <v>32</v>
      </c>
      <c r="B1634" s="46" t="s">
        <v>32</v>
      </c>
      <c r="C1634" s="46" t="s">
        <v>32</v>
      </c>
      <c r="D1634" s="46" t="s">
        <v>32</v>
      </c>
      <c r="E1634" s="46" t="s">
        <v>32</v>
      </c>
      <c r="F1634" s="47">
        <f>[1]!BexGetData("DP_2","DL719O2RYNC0Y217V0FVT1R77","17","E","24012063E203","2067247011")</f>
        <v>276.02999999999997</v>
      </c>
      <c r="G1634" s="48">
        <f>[1]!BexGetData("DP_2","DL719O2RYNEBZX0HTMQQ0BY0J","17","E","24012063E203","2067247011")</f>
        <v>276.02999999999997</v>
      </c>
      <c r="H1634" s="48">
        <f>[1]!BexGetData("DP_2","DL719O2RYNGN1RZRS91K7M4TV","17","E","24012063E203","2067247011")</f>
        <v>0</v>
      </c>
      <c r="I1634" s="48">
        <f>[1]!BexGetData("DP_2","DL719O2RYNIY3MZ1QVCEEWBN7","17","E","24012063E203","2067247011")</f>
        <v>0</v>
      </c>
    </row>
    <row r="1635" spans="1:9" x14ac:dyDescent="0.2">
      <c r="A1635" s="46" t="s">
        <v>32</v>
      </c>
      <c r="B1635" s="46" t="s">
        <v>32</v>
      </c>
      <c r="C1635" s="46" t="s">
        <v>32</v>
      </c>
      <c r="D1635" s="46" t="s">
        <v>32</v>
      </c>
      <c r="E1635" s="46" t="s">
        <v>32</v>
      </c>
      <c r="F1635" s="47">
        <f>[1]!BexGetData("DP_2","DL719O2RYNC0Y217V0FVT1R77","17","E","24012063E203","2067249011")</f>
        <v>3566.01</v>
      </c>
      <c r="G1635" s="48">
        <f>[1]!BexGetData("DP_2","DL719O2RYNEBZX0HTMQQ0BY0J","17","E","24012063E203","2067249011")</f>
        <v>3566.01</v>
      </c>
      <c r="H1635" s="48">
        <f>[1]!BexGetData("DP_2","DL719O2RYNGN1RZRS91K7M4TV","17","E","24012063E203","2067249011")</f>
        <v>0</v>
      </c>
      <c r="I1635" s="48">
        <f>[1]!BexGetData("DP_2","DL719O2RYNIY3MZ1QVCEEWBN7","17","E","24012063E203","2067249011")</f>
        <v>0</v>
      </c>
    </row>
    <row r="1636" spans="1:9" x14ac:dyDescent="0.2">
      <c r="A1636" s="46" t="s">
        <v>32</v>
      </c>
      <c r="B1636" s="46" t="s">
        <v>32</v>
      </c>
      <c r="C1636" s="46" t="s">
        <v>32</v>
      </c>
      <c r="D1636" s="46" t="s">
        <v>32</v>
      </c>
      <c r="E1636" s="46" t="s">
        <v>32</v>
      </c>
      <c r="F1636" s="47">
        <f>[1]!BexGetData("DP_2","DL719O2RYNC0Y217V0FVT1R77","17","E","24012063E203","2067271011")</f>
        <v>890</v>
      </c>
      <c r="G1636" s="48">
        <f>[1]!BexGetData("DP_2","DL719O2RYNEBZX0HTMQQ0BY0J","17","E","24012063E203","2067271011")</f>
        <v>890</v>
      </c>
      <c r="H1636" s="48">
        <f>[1]!BexGetData("DP_2","DL719O2RYNGN1RZRS91K7M4TV","17","E","24012063E203","2067271011")</f>
        <v>890</v>
      </c>
      <c r="I1636" s="48">
        <f>[1]!BexGetData("DP_2","DL719O2RYNIY3MZ1QVCEEWBN7","17","E","24012063E203","2067271011")</f>
        <v>0</v>
      </c>
    </row>
    <row r="1637" spans="1:9" x14ac:dyDescent="0.2">
      <c r="A1637" s="46" t="s">
        <v>32</v>
      </c>
      <c r="B1637" s="46" t="s">
        <v>32</v>
      </c>
      <c r="C1637" s="46" t="s">
        <v>32</v>
      </c>
      <c r="D1637" s="46" t="s">
        <v>32</v>
      </c>
      <c r="E1637" s="46" t="s">
        <v>32</v>
      </c>
      <c r="F1637" s="47">
        <f>[1]!BexGetData("DP_2","DL719O2RYNC0Y217V0FVT1R77","17","E","24012063E203","2067273011")</f>
        <v>1890.8</v>
      </c>
      <c r="G1637" s="48">
        <f>[1]!BexGetData("DP_2","DL719O2RYNEBZX0HTMQQ0BY0J","17","E","24012063E203","2067273011")</f>
        <v>1890.8</v>
      </c>
      <c r="H1637" s="48">
        <f>[1]!BexGetData("DP_2","DL719O2RYNGN1RZRS91K7M4TV","17","E","24012063E203","2067273011")</f>
        <v>1890.8</v>
      </c>
      <c r="I1637" s="48">
        <f>[1]!BexGetData("DP_2","DL719O2RYNIY3MZ1QVCEEWBN7","17","E","24012063E203","2067273011")</f>
        <v>0</v>
      </c>
    </row>
    <row r="1638" spans="1:9" x14ac:dyDescent="0.2">
      <c r="A1638" s="46" t="s">
        <v>32</v>
      </c>
      <c r="B1638" s="46" t="s">
        <v>32</v>
      </c>
      <c r="C1638" s="46" t="s">
        <v>32</v>
      </c>
      <c r="D1638" s="46" t="s">
        <v>32</v>
      </c>
      <c r="E1638" s="46" t="s">
        <v>32</v>
      </c>
      <c r="F1638" s="47">
        <f>[1]!BexGetData("DP_2","DL719O2RYNC0Y217V0FVT1R77","17","E","24012063E203","2067291011")</f>
        <v>153.02000000000001</v>
      </c>
      <c r="G1638" s="48">
        <f>[1]!BexGetData("DP_2","DL719O2RYNEBZX0HTMQQ0BY0J","17","E","24012063E203","2067291011")</f>
        <v>153.02000000000001</v>
      </c>
      <c r="H1638" s="48">
        <f>[1]!BexGetData("DP_2","DL719O2RYNGN1RZRS91K7M4TV","17","E","24012063E203","2067291011")</f>
        <v>0</v>
      </c>
      <c r="I1638" s="48">
        <f>[1]!BexGetData("DP_2","DL719O2RYNIY3MZ1QVCEEWBN7","17","E","24012063E203","2067291011")</f>
        <v>0</v>
      </c>
    </row>
    <row r="1639" spans="1:9" x14ac:dyDescent="0.2">
      <c r="A1639" s="46" t="s">
        <v>32</v>
      </c>
      <c r="B1639" s="46" t="s">
        <v>32</v>
      </c>
      <c r="C1639" s="46" t="s">
        <v>32</v>
      </c>
      <c r="D1639" s="46" t="s">
        <v>32</v>
      </c>
      <c r="E1639" s="46" t="s">
        <v>32</v>
      </c>
      <c r="F1639" s="47">
        <f>[1]!BexGetData("DP_2","DL719O2RYNC0Y217V0FVT1R77","17","E","24012063E203","2067311011")</f>
        <v>10483.19</v>
      </c>
      <c r="G1639" s="48">
        <f>[1]!BexGetData("DP_2","DL719O2RYNEBZX0HTMQQ0BY0J","17","E","24012063E203","2067311011")</f>
        <v>10483.19</v>
      </c>
      <c r="H1639" s="48">
        <f>[1]!BexGetData("DP_2","DL719O2RYNGN1RZRS91K7M4TV","17","E","24012063E203","2067311011")</f>
        <v>10483.19</v>
      </c>
      <c r="I1639" s="48">
        <f>[1]!BexGetData("DP_2","DL719O2RYNIY3MZ1QVCEEWBN7","17","E","24012063E203","2067311011")</f>
        <v>0</v>
      </c>
    </row>
    <row r="1640" spans="1:9" x14ac:dyDescent="0.2">
      <c r="A1640" s="46" t="s">
        <v>32</v>
      </c>
      <c r="B1640" s="46" t="s">
        <v>32</v>
      </c>
      <c r="C1640" s="46" t="s">
        <v>32</v>
      </c>
      <c r="D1640" s="46" t="s">
        <v>32</v>
      </c>
      <c r="E1640" s="46" t="s">
        <v>32</v>
      </c>
      <c r="F1640" s="47">
        <f>[1]!BexGetData("DP_2","DL719O2RYNC0Y217V0FVT1R77","17","E","24012063E203","2067313011")</f>
        <v>3985</v>
      </c>
      <c r="G1640" s="48">
        <f>[1]!BexGetData("DP_2","DL719O2RYNEBZX0HTMQQ0BY0J","17","E","24012063E203","2067313011")</f>
        <v>3985</v>
      </c>
      <c r="H1640" s="48">
        <f>[1]!BexGetData("DP_2","DL719O2RYNGN1RZRS91K7M4TV","17","E","24012063E203","2067313011")</f>
        <v>3985</v>
      </c>
      <c r="I1640" s="48">
        <f>[1]!BexGetData("DP_2","DL719O2RYNIY3MZ1QVCEEWBN7","17","E","24012063E203","2067313011")</f>
        <v>0</v>
      </c>
    </row>
    <row r="1641" spans="1:9" x14ac:dyDescent="0.2">
      <c r="A1641" s="46" t="s">
        <v>32</v>
      </c>
      <c r="B1641" s="46" t="s">
        <v>32</v>
      </c>
      <c r="C1641" s="46" t="s">
        <v>32</v>
      </c>
      <c r="D1641" s="46" t="s">
        <v>32</v>
      </c>
      <c r="E1641" s="46" t="s">
        <v>32</v>
      </c>
      <c r="F1641" s="47">
        <f>[1]!BexGetData("DP_2","DL719O2RYNC0Y217V0FVT1R77","17","E","24012063E203","2067314011")</f>
        <v>11385.15</v>
      </c>
      <c r="G1641" s="48">
        <f>[1]!BexGetData("DP_2","DL719O2RYNEBZX0HTMQQ0BY0J","17","E","24012063E203","2067314011")</f>
        <v>11385.15</v>
      </c>
      <c r="H1641" s="48">
        <f>[1]!BexGetData("DP_2","DL719O2RYNGN1RZRS91K7M4TV","17","E","24012063E203","2067314011")</f>
        <v>11385.15</v>
      </c>
      <c r="I1641" s="48">
        <f>[1]!BexGetData("DP_2","DL719O2RYNIY3MZ1QVCEEWBN7","17","E","24012063E203","2067314011")</f>
        <v>0</v>
      </c>
    </row>
    <row r="1642" spans="1:9" x14ac:dyDescent="0.2">
      <c r="A1642" s="46" t="s">
        <v>32</v>
      </c>
      <c r="B1642" s="46" t="s">
        <v>32</v>
      </c>
      <c r="C1642" s="46" t="s">
        <v>32</v>
      </c>
      <c r="D1642" s="46" t="s">
        <v>32</v>
      </c>
      <c r="E1642" s="46" t="s">
        <v>32</v>
      </c>
      <c r="F1642" s="47">
        <f>[1]!BexGetData("DP_2","DL719O2RYNC0Y217V0FVT1R77","17","E","24012063E203","2067329011")</f>
        <v>9052</v>
      </c>
      <c r="G1642" s="48">
        <f>[1]!BexGetData("DP_2","DL719O2RYNEBZX0HTMQQ0BY0J","17","E","24012063E203","2067329011")</f>
        <v>9052</v>
      </c>
      <c r="H1642" s="48">
        <f>[1]!BexGetData("DP_2","DL719O2RYNGN1RZRS91K7M4TV","17","E","24012063E203","2067329011")</f>
        <v>6612</v>
      </c>
      <c r="I1642" s="48">
        <f>[1]!BexGetData("DP_2","DL719O2RYNIY3MZ1QVCEEWBN7","17","E","24012063E203","2067329011")</f>
        <v>0</v>
      </c>
    </row>
    <row r="1643" spans="1:9" x14ac:dyDescent="0.2">
      <c r="A1643" s="46" t="s">
        <v>32</v>
      </c>
      <c r="B1643" s="46" t="s">
        <v>32</v>
      </c>
      <c r="C1643" s="46" t="s">
        <v>32</v>
      </c>
      <c r="D1643" s="46" t="s">
        <v>32</v>
      </c>
      <c r="E1643" s="46" t="s">
        <v>32</v>
      </c>
      <c r="F1643" s="47">
        <f>[1]!BexGetData("DP_2","DL719O2RYNC0Y217V0FVT1R77","17","E","24012063E203","2067336011")</f>
        <v>2238.8000000000002</v>
      </c>
      <c r="G1643" s="48">
        <f>[1]!BexGetData("DP_2","DL719O2RYNEBZX0HTMQQ0BY0J","17","E","24012063E203","2067336011")</f>
        <v>2238.8000000000002</v>
      </c>
      <c r="H1643" s="48">
        <f>[1]!BexGetData("DP_2","DL719O2RYNGN1RZRS91K7M4TV","17","E","24012063E203","2067336011")</f>
        <v>2238.8000000000002</v>
      </c>
      <c r="I1643" s="48">
        <f>[1]!BexGetData("DP_2","DL719O2RYNIY3MZ1QVCEEWBN7","17","E","24012063E203","2067336011")</f>
        <v>0</v>
      </c>
    </row>
    <row r="1644" spans="1:9" x14ac:dyDescent="0.2">
      <c r="A1644" s="46" t="s">
        <v>32</v>
      </c>
      <c r="B1644" s="46" t="s">
        <v>32</v>
      </c>
      <c r="C1644" s="46" t="s">
        <v>32</v>
      </c>
      <c r="D1644" s="46" t="s">
        <v>32</v>
      </c>
      <c r="E1644" s="46" t="s">
        <v>32</v>
      </c>
      <c r="F1644" s="47">
        <f>[1]!BexGetData("DP_2","DL719O2RYNC0Y217V0FVT1R77","17","E","24012063E203","2067361011")</f>
        <v>150.80000000000001</v>
      </c>
      <c r="G1644" s="48">
        <f>[1]!BexGetData("DP_2","DL719O2RYNEBZX0HTMQQ0BY0J","17","E","24012063E203","2067361011")</f>
        <v>150.80000000000001</v>
      </c>
      <c r="H1644" s="48">
        <f>[1]!BexGetData("DP_2","DL719O2RYNGN1RZRS91K7M4TV","17","E","24012063E203","2067361011")</f>
        <v>150.80000000000001</v>
      </c>
      <c r="I1644" s="48">
        <f>[1]!BexGetData("DP_2","DL719O2RYNIY3MZ1QVCEEWBN7","17","E","24012063E203","2067361011")</f>
        <v>0</v>
      </c>
    </row>
    <row r="1645" spans="1:9" x14ac:dyDescent="0.2">
      <c r="A1645" s="46" t="s">
        <v>32</v>
      </c>
      <c r="B1645" s="46" t="s">
        <v>32</v>
      </c>
      <c r="C1645" s="46" t="s">
        <v>32</v>
      </c>
      <c r="D1645" s="46" t="s">
        <v>32</v>
      </c>
      <c r="E1645" s="46" t="s">
        <v>32</v>
      </c>
      <c r="F1645" s="47">
        <f>[1]!BexGetData("DP_2","DL719O2RYNC0Y217V0FVT1R77","17","E","24012063E203","2067372011")</f>
        <v>504</v>
      </c>
      <c r="G1645" s="48">
        <f>[1]!BexGetData("DP_2","DL719O2RYNEBZX0HTMQQ0BY0J","17","E","24012063E203","2067372011")</f>
        <v>504</v>
      </c>
      <c r="H1645" s="48">
        <f>[1]!BexGetData("DP_2","DL719O2RYNGN1RZRS91K7M4TV","17","E","24012063E203","2067372011")</f>
        <v>504</v>
      </c>
      <c r="I1645" s="48">
        <f>[1]!BexGetData("DP_2","DL719O2RYNIY3MZ1QVCEEWBN7","17","E","24012063E203","2067372011")</f>
        <v>0</v>
      </c>
    </row>
    <row r="1646" spans="1:9" x14ac:dyDescent="0.2">
      <c r="A1646" s="46" t="s">
        <v>32</v>
      </c>
      <c r="B1646" s="46" t="s">
        <v>32</v>
      </c>
      <c r="C1646" s="46" t="s">
        <v>32</v>
      </c>
      <c r="D1646" s="46" t="s">
        <v>32</v>
      </c>
      <c r="E1646" s="46" t="s">
        <v>32</v>
      </c>
      <c r="F1646" s="47">
        <f>[1]!BexGetData("DP_2","DL719O2RYNC0Y217V0FVT1R77","17","E","24012063E203","2067445021")</f>
        <v>123662</v>
      </c>
      <c r="G1646" s="48">
        <f>[1]!BexGetData("DP_2","DL719O2RYNEBZX0HTMQQ0BY0J","17","E","24012063E203","2067445021")</f>
        <v>123662</v>
      </c>
      <c r="H1646" s="48">
        <f>[1]!BexGetData("DP_2","DL719O2RYNGN1RZRS91K7M4TV","17","E","24012063E203","2067445021")</f>
        <v>51662</v>
      </c>
      <c r="I1646" s="48">
        <f>[1]!BexGetData("DP_2","DL719O2RYNIY3MZ1QVCEEWBN7","17","E","24012063E203","2067445021")</f>
        <v>0</v>
      </c>
    </row>
    <row r="1647" spans="1:9" x14ac:dyDescent="0.2">
      <c r="A1647" s="46" t="s">
        <v>32</v>
      </c>
      <c r="B1647" s="46" t="s">
        <v>32</v>
      </c>
      <c r="C1647" s="46" t="s">
        <v>121</v>
      </c>
      <c r="D1647" s="46" t="s">
        <v>121</v>
      </c>
      <c r="E1647" s="46" t="s">
        <v>32</v>
      </c>
      <c r="F1647" s="47">
        <f>[1]!BexGetData("DP_2","DL719O2RYNC0Y217V0FVT1R77","17","E","24022022E202","2067113011")</f>
        <v>1211922.17</v>
      </c>
      <c r="G1647" s="48">
        <f>[1]!BexGetData("DP_2","DL719O2RYNEBZX0HTMQQ0BY0J","17","E","24022022E202","2067113011")</f>
        <v>1211922.17</v>
      </c>
      <c r="H1647" s="48">
        <f>[1]!BexGetData("DP_2","DL719O2RYNGN1RZRS91K7M4TV","17","E","24022022E202","2067113011")</f>
        <v>1211922.17</v>
      </c>
      <c r="I1647" s="48">
        <f>[1]!BexGetData("DP_2","DL719O2RYNIY3MZ1QVCEEWBN7","17","E","24022022E202","2067113011")</f>
        <v>0</v>
      </c>
    </row>
    <row r="1648" spans="1:9" x14ac:dyDescent="0.2">
      <c r="A1648" s="46" t="s">
        <v>32</v>
      </c>
      <c r="B1648" s="46" t="s">
        <v>32</v>
      </c>
      <c r="C1648" s="46" t="s">
        <v>32</v>
      </c>
      <c r="D1648" s="46" t="s">
        <v>32</v>
      </c>
      <c r="E1648" s="46" t="s">
        <v>32</v>
      </c>
      <c r="F1648" s="47">
        <f>[1]!BexGetData("DP_2","DL719O2RYNC0Y217V0FVT1R77","17","E","24022022E202","2067113021")</f>
        <v>750639.88</v>
      </c>
      <c r="G1648" s="48">
        <f>[1]!BexGetData("DP_2","DL719O2RYNEBZX0HTMQQ0BY0J","17","E","24022022E202","2067113021")</f>
        <v>750639.88</v>
      </c>
      <c r="H1648" s="48">
        <f>[1]!BexGetData("DP_2","DL719O2RYNGN1RZRS91K7M4TV","17","E","24022022E202","2067113021")</f>
        <v>750639.88</v>
      </c>
      <c r="I1648" s="48">
        <f>[1]!BexGetData("DP_2","DL719O2RYNIY3MZ1QVCEEWBN7","17","E","24022022E202","2067113021")</f>
        <v>0</v>
      </c>
    </row>
    <row r="1649" spans="1:9" x14ac:dyDescent="0.2">
      <c r="A1649" s="46" t="s">
        <v>32</v>
      </c>
      <c r="B1649" s="46" t="s">
        <v>32</v>
      </c>
      <c r="C1649" s="46" t="s">
        <v>32</v>
      </c>
      <c r="D1649" s="46" t="s">
        <v>32</v>
      </c>
      <c r="E1649" s="46" t="s">
        <v>32</v>
      </c>
      <c r="F1649" s="47">
        <f>[1]!BexGetData("DP_2","DL719O2RYNC0Y217V0FVT1R77","17","E","24022022E202","2067122011")</f>
        <v>255940.1</v>
      </c>
      <c r="G1649" s="48">
        <f>[1]!BexGetData("DP_2","DL719O2RYNEBZX0HTMQQ0BY0J","17","E","24022022E202","2067122011")</f>
        <v>255940.1</v>
      </c>
      <c r="H1649" s="48">
        <f>[1]!BexGetData("DP_2","DL719O2RYNGN1RZRS91K7M4TV","17","E","24022022E202","2067122011")</f>
        <v>255940.1</v>
      </c>
      <c r="I1649" s="48">
        <f>[1]!BexGetData("DP_2","DL719O2RYNIY3MZ1QVCEEWBN7","17","E","24022022E202","2067122011")</f>
        <v>0</v>
      </c>
    </row>
    <row r="1650" spans="1:9" x14ac:dyDescent="0.2">
      <c r="A1650" s="46" t="s">
        <v>32</v>
      </c>
      <c r="B1650" s="46" t="s">
        <v>32</v>
      </c>
      <c r="C1650" s="46" t="s">
        <v>32</v>
      </c>
      <c r="D1650" s="46" t="s">
        <v>32</v>
      </c>
      <c r="E1650" s="46" t="s">
        <v>32</v>
      </c>
      <c r="F1650" s="47">
        <f>[1]!BexGetData("DP_2","DL719O2RYNC0Y217V0FVT1R77","17","E","24022022E202","2067131011")</f>
        <v>175424.09</v>
      </c>
      <c r="G1650" s="48">
        <f>[1]!BexGetData("DP_2","DL719O2RYNEBZX0HTMQQ0BY0J","17","E","24022022E202","2067131011")</f>
        <v>175424.09</v>
      </c>
      <c r="H1650" s="48">
        <f>[1]!BexGetData("DP_2","DL719O2RYNGN1RZRS91K7M4TV","17","E","24022022E202","2067131011")</f>
        <v>175424.09</v>
      </c>
      <c r="I1650" s="48">
        <f>[1]!BexGetData("DP_2","DL719O2RYNIY3MZ1QVCEEWBN7","17","E","24022022E202","2067131011")</f>
        <v>0</v>
      </c>
    </row>
    <row r="1651" spans="1:9" x14ac:dyDescent="0.2">
      <c r="A1651" s="46" t="s">
        <v>32</v>
      </c>
      <c r="B1651" s="46" t="s">
        <v>32</v>
      </c>
      <c r="C1651" s="46" t="s">
        <v>32</v>
      </c>
      <c r="D1651" s="46" t="s">
        <v>32</v>
      </c>
      <c r="E1651" s="46" t="s">
        <v>32</v>
      </c>
      <c r="F1651" s="47">
        <f>[1]!BexGetData("DP_2","DL719O2RYNC0Y217V0FVT1R77","17","E","24022022E202","2067131021")</f>
        <v>50283.16</v>
      </c>
      <c r="G1651" s="48">
        <f>[1]!BexGetData("DP_2","DL719O2RYNEBZX0HTMQQ0BY0J","17","E","24022022E202","2067131021")</f>
        <v>50283.16</v>
      </c>
      <c r="H1651" s="48">
        <f>[1]!BexGetData("DP_2","DL719O2RYNGN1RZRS91K7M4TV","17","E","24022022E202","2067131021")</f>
        <v>50283.16</v>
      </c>
      <c r="I1651" s="48">
        <f>[1]!BexGetData("DP_2","DL719O2RYNIY3MZ1QVCEEWBN7","17","E","24022022E202","2067131021")</f>
        <v>0</v>
      </c>
    </row>
    <row r="1652" spans="1:9" x14ac:dyDescent="0.2">
      <c r="A1652" s="46" t="s">
        <v>32</v>
      </c>
      <c r="B1652" s="46" t="s">
        <v>32</v>
      </c>
      <c r="C1652" s="46" t="s">
        <v>32</v>
      </c>
      <c r="D1652" s="46" t="s">
        <v>32</v>
      </c>
      <c r="E1652" s="46" t="s">
        <v>32</v>
      </c>
      <c r="F1652" s="47">
        <f>[1]!BexGetData("DP_2","DL719O2RYNC0Y217V0FVT1R77","17","E","24022022E202","2067132011")</f>
        <v>93594.09</v>
      </c>
      <c r="G1652" s="48">
        <f>[1]!BexGetData("DP_2","DL719O2RYNEBZX0HTMQQ0BY0J","17","E","24022022E202","2067132011")</f>
        <v>93594.09</v>
      </c>
      <c r="H1652" s="48">
        <f>[1]!BexGetData("DP_2","DL719O2RYNGN1RZRS91K7M4TV","17","E","24022022E202","2067132011")</f>
        <v>93594.09</v>
      </c>
      <c r="I1652" s="48">
        <f>[1]!BexGetData("DP_2","DL719O2RYNIY3MZ1QVCEEWBN7","17","E","24022022E202","2067132011")</f>
        <v>0</v>
      </c>
    </row>
    <row r="1653" spans="1:9" x14ac:dyDescent="0.2">
      <c r="A1653" s="46" t="s">
        <v>32</v>
      </c>
      <c r="B1653" s="46" t="s">
        <v>32</v>
      </c>
      <c r="C1653" s="46" t="s">
        <v>32</v>
      </c>
      <c r="D1653" s="46" t="s">
        <v>32</v>
      </c>
      <c r="E1653" s="46" t="s">
        <v>32</v>
      </c>
      <c r="F1653" s="47">
        <f>[1]!BexGetData("DP_2","DL719O2RYNC0Y217V0FVT1R77","17","E","24022022E202","2067132021")</f>
        <v>434012.66</v>
      </c>
      <c r="G1653" s="48">
        <f>[1]!BexGetData("DP_2","DL719O2RYNEBZX0HTMQQ0BY0J","17","E","24022022E202","2067132021")</f>
        <v>434012.66</v>
      </c>
      <c r="H1653" s="48">
        <f>[1]!BexGetData("DP_2","DL719O2RYNGN1RZRS91K7M4TV","17","E","24022022E202","2067132021")</f>
        <v>434012.66</v>
      </c>
      <c r="I1653" s="48">
        <f>[1]!BexGetData("DP_2","DL719O2RYNIY3MZ1QVCEEWBN7","17","E","24022022E202","2067132021")</f>
        <v>0</v>
      </c>
    </row>
    <row r="1654" spans="1:9" x14ac:dyDescent="0.2">
      <c r="A1654" s="46" t="s">
        <v>32</v>
      </c>
      <c r="B1654" s="46" t="s">
        <v>32</v>
      </c>
      <c r="C1654" s="46" t="s">
        <v>32</v>
      </c>
      <c r="D1654" s="46" t="s">
        <v>32</v>
      </c>
      <c r="E1654" s="46" t="s">
        <v>32</v>
      </c>
      <c r="F1654" s="47">
        <f>[1]!BexGetData("DP_2","DL719O2RYNC0Y217V0FVT1R77","17","E","24022022E202","2067133011")</f>
        <v>131322.99</v>
      </c>
      <c r="G1654" s="48">
        <f>[1]!BexGetData("DP_2","DL719O2RYNEBZX0HTMQQ0BY0J","17","E","24022022E202","2067133011")</f>
        <v>131322.99</v>
      </c>
      <c r="H1654" s="48">
        <f>[1]!BexGetData("DP_2","DL719O2RYNGN1RZRS91K7M4TV","17","E","24022022E202","2067133011")</f>
        <v>131322.99</v>
      </c>
      <c r="I1654" s="48">
        <f>[1]!BexGetData("DP_2","DL719O2RYNIY3MZ1QVCEEWBN7","17","E","24022022E202","2067133011")</f>
        <v>0</v>
      </c>
    </row>
    <row r="1655" spans="1:9" x14ac:dyDescent="0.2">
      <c r="A1655" s="46" t="s">
        <v>32</v>
      </c>
      <c r="B1655" s="46" t="s">
        <v>32</v>
      </c>
      <c r="C1655" s="46" t="s">
        <v>32</v>
      </c>
      <c r="D1655" s="46" t="s">
        <v>32</v>
      </c>
      <c r="E1655" s="46" t="s">
        <v>32</v>
      </c>
      <c r="F1655" s="47">
        <f>[1]!BexGetData("DP_2","DL719O2RYNC0Y217V0FVT1R77","17","E","24022022E202","2067134011")</f>
        <v>1148513.57</v>
      </c>
      <c r="G1655" s="48">
        <f>[1]!BexGetData("DP_2","DL719O2RYNEBZX0HTMQQ0BY0J","17","E","24022022E202","2067134011")</f>
        <v>1148513.57</v>
      </c>
      <c r="H1655" s="48">
        <f>[1]!BexGetData("DP_2","DL719O2RYNGN1RZRS91K7M4TV","17","E","24022022E202","2067134011")</f>
        <v>1165881.8500000001</v>
      </c>
      <c r="I1655" s="48">
        <f>[1]!BexGetData("DP_2","DL719O2RYNIY3MZ1QVCEEWBN7","17","E","24022022E202","2067134011")</f>
        <v>0</v>
      </c>
    </row>
    <row r="1656" spans="1:9" x14ac:dyDescent="0.2">
      <c r="A1656" s="46" t="s">
        <v>32</v>
      </c>
      <c r="B1656" s="46" t="s">
        <v>32</v>
      </c>
      <c r="C1656" s="46" t="s">
        <v>32</v>
      </c>
      <c r="D1656" s="46" t="s">
        <v>32</v>
      </c>
      <c r="E1656" s="46" t="s">
        <v>32</v>
      </c>
      <c r="F1656" s="47">
        <f>[1]!BexGetData("DP_2","DL719O2RYNC0Y217V0FVT1R77","17","E","24022022E202","2067134021")</f>
        <v>1448443.16</v>
      </c>
      <c r="G1656" s="48">
        <f>[1]!BexGetData("DP_2","DL719O2RYNEBZX0HTMQQ0BY0J","17","E","24022022E202","2067134021")</f>
        <v>1448443.16</v>
      </c>
      <c r="H1656" s="48">
        <f>[1]!BexGetData("DP_2","DL719O2RYNGN1RZRS91K7M4TV","17","E","24022022E202","2067134021")</f>
        <v>1448443.16</v>
      </c>
      <c r="I1656" s="48">
        <f>[1]!BexGetData("DP_2","DL719O2RYNIY3MZ1QVCEEWBN7","17","E","24022022E202","2067134021")</f>
        <v>0</v>
      </c>
    </row>
    <row r="1657" spans="1:9" x14ac:dyDescent="0.2">
      <c r="A1657" s="46" t="s">
        <v>32</v>
      </c>
      <c r="B1657" s="46" t="s">
        <v>32</v>
      </c>
      <c r="C1657" s="46" t="s">
        <v>32</v>
      </c>
      <c r="D1657" s="46" t="s">
        <v>32</v>
      </c>
      <c r="E1657" s="46" t="s">
        <v>32</v>
      </c>
      <c r="F1657" s="47">
        <f>[1]!BexGetData("DP_2","DL719O2RYNC0Y217V0FVT1R77","17","E","24022022E202","2067141011")</f>
        <v>403205.41</v>
      </c>
      <c r="G1657" s="48">
        <f>[1]!BexGetData("DP_2","DL719O2RYNEBZX0HTMQQ0BY0J","17","E","24022022E202","2067141011")</f>
        <v>403205.41</v>
      </c>
      <c r="H1657" s="48">
        <f>[1]!BexGetData("DP_2","DL719O2RYNGN1RZRS91K7M4TV","17","E","24022022E202","2067141011")</f>
        <v>403205.41</v>
      </c>
      <c r="I1657" s="48">
        <f>[1]!BexGetData("DP_2","DL719O2RYNIY3MZ1QVCEEWBN7","17","E","24022022E202","2067141011")</f>
        <v>0</v>
      </c>
    </row>
    <row r="1658" spans="1:9" x14ac:dyDescent="0.2">
      <c r="A1658" s="46" t="s">
        <v>32</v>
      </c>
      <c r="B1658" s="46" t="s">
        <v>32</v>
      </c>
      <c r="C1658" s="46" t="s">
        <v>32</v>
      </c>
      <c r="D1658" s="46" t="s">
        <v>32</v>
      </c>
      <c r="E1658" s="46" t="s">
        <v>32</v>
      </c>
      <c r="F1658" s="47">
        <f>[1]!BexGetData("DP_2","DL719O2RYNC0Y217V0FVT1R77","17","E","24022022E202","2067141021")</f>
        <v>128533.04</v>
      </c>
      <c r="G1658" s="48">
        <f>[1]!BexGetData("DP_2","DL719O2RYNEBZX0HTMQQ0BY0J","17","E","24022022E202","2067141021")</f>
        <v>128533.04</v>
      </c>
      <c r="H1658" s="48">
        <f>[1]!BexGetData("DP_2","DL719O2RYNGN1RZRS91K7M4TV","17","E","24022022E202","2067141021")</f>
        <v>128533.04</v>
      </c>
      <c r="I1658" s="48">
        <f>[1]!BexGetData("DP_2","DL719O2RYNIY3MZ1QVCEEWBN7","17","E","24022022E202","2067141021")</f>
        <v>0</v>
      </c>
    </row>
    <row r="1659" spans="1:9" x14ac:dyDescent="0.2">
      <c r="A1659" s="46" t="s">
        <v>32</v>
      </c>
      <c r="B1659" s="46" t="s">
        <v>32</v>
      </c>
      <c r="C1659" s="46" t="s">
        <v>32</v>
      </c>
      <c r="D1659" s="46" t="s">
        <v>32</v>
      </c>
      <c r="E1659" s="46" t="s">
        <v>32</v>
      </c>
      <c r="F1659" s="47">
        <f>[1]!BexGetData("DP_2","DL719O2RYNC0Y217V0FVT1R77","17","E","24022022E202","2067143011")</f>
        <v>60623</v>
      </c>
      <c r="G1659" s="48">
        <f>[1]!BexGetData("DP_2","DL719O2RYNEBZX0HTMQQ0BY0J","17","E","24022022E202","2067143011")</f>
        <v>60623</v>
      </c>
      <c r="H1659" s="48">
        <f>[1]!BexGetData("DP_2","DL719O2RYNGN1RZRS91K7M4TV","17","E","24022022E202","2067143011")</f>
        <v>60623</v>
      </c>
      <c r="I1659" s="48">
        <f>[1]!BexGetData("DP_2","DL719O2RYNIY3MZ1QVCEEWBN7","17","E","24022022E202","2067143011")</f>
        <v>0</v>
      </c>
    </row>
    <row r="1660" spans="1:9" x14ac:dyDescent="0.2">
      <c r="A1660" s="46" t="s">
        <v>32</v>
      </c>
      <c r="B1660" s="46" t="s">
        <v>32</v>
      </c>
      <c r="C1660" s="46" t="s">
        <v>32</v>
      </c>
      <c r="D1660" s="46" t="s">
        <v>32</v>
      </c>
      <c r="E1660" s="46" t="s">
        <v>32</v>
      </c>
      <c r="F1660" s="47">
        <f>[1]!BexGetData("DP_2","DL719O2RYNC0Y217V0FVT1R77","17","E","24022022E202","2067151011")</f>
        <v>235556.76</v>
      </c>
      <c r="G1660" s="48">
        <f>[1]!BexGetData("DP_2","DL719O2RYNEBZX0HTMQQ0BY0J","17","E","24022022E202","2067151011")</f>
        <v>235556.76</v>
      </c>
      <c r="H1660" s="48">
        <f>[1]!BexGetData("DP_2","DL719O2RYNGN1RZRS91K7M4TV","17","E","24022022E202","2067151011")</f>
        <v>235556.76</v>
      </c>
      <c r="I1660" s="48">
        <f>[1]!BexGetData("DP_2","DL719O2RYNIY3MZ1QVCEEWBN7","17","E","24022022E202","2067151011")</f>
        <v>0</v>
      </c>
    </row>
    <row r="1661" spans="1:9" x14ac:dyDescent="0.2">
      <c r="A1661" s="46" t="s">
        <v>32</v>
      </c>
      <c r="B1661" s="46" t="s">
        <v>32</v>
      </c>
      <c r="C1661" s="46" t="s">
        <v>32</v>
      </c>
      <c r="D1661" s="46" t="s">
        <v>32</v>
      </c>
      <c r="E1661" s="46" t="s">
        <v>32</v>
      </c>
      <c r="F1661" s="47">
        <f>[1]!BexGetData("DP_2","DL719O2RYNC0Y217V0FVT1R77","17","E","24022022E202","2067154011")</f>
        <v>1036759.2</v>
      </c>
      <c r="G1661" s="48">
        <f>[1]!BexGetData("DP_2","DL719O2RYNEBZX0HTMQQ0BY0J","17","E","24022022E202","2067154011")</f>
        <v>1036759.2</v>
      </c>
      <c r="H1661" s="48">
        <f>[1]!BexGetData("DP_2","DL719O2RYNGN1RZRS91K7M4TV","17","E","24022022E202","2067154011")</f>
        <v>1036759.2</v>
      </c>
      <c r="I1661" s="48">
        <f>[1]!BexGetData("DP_2","DL719O2RYNIY3MZ1QVCEEWBN7","17","E","24022022E202","2067154011")</f>
        <v>0</v>
      </c>
    </row>
    <row r="1662" spans="1:9" x14ac:dyDescent="0.2">
      <c r="A1662" s="46" t="s">
        <v>32</v>
      </c>
      <c r="B1662" s="46" t="s">
        <v>32</v>
      </c>
      <c r="C1662" s="46" t="s">
        <v>32</v>
      </c>
      <c r="D1662" s="46" t="s">
        <v>32</v>
      </c>
      <c r="E1662" s="46" t="s">
        <v>32</v>
      </c>
      <c r="F1662" s="47">
        <f>[1]!BexGetData("DP_2","DL719O2RYNC0Y217V0FVT1R77","17","E","24022022E202","2067211011")</f>
        <v>673.84</v>
      </c>
      <c r="G1662" s="48">
        <f>[1]!BexGetData("DP_2","DL719O2RYNEBZX0HTMQQ0BY0J","17","E","24022022E202","2067211011")</f>
        <v>673.84</v>
      </c>
      <c r="H1662" s="48">
        <f>[1]!BexGetData("DP_2","DL719O2RYNGN1RZRS91K7M4TV","17","E","24022022E202","2067211011")</f>
        <v>673.84</v>
      </c>
      <c r="I1662" s="48">
        <f>[1]!BexGetData("DP_2","DL719O2RYNIY3MZ1QVCEEWBN7","17","E","24022022E202","2067211011")</f>
        <v>0</v>
      </c>
    </row>
    <row r="1663" spans="1:9" x14ac:dyDescent="0.2">
      <c r="A1663" s="46" t="s">
        <v>32</v>
      </c>
      <c r="B1663" s="46" t="s">
        <v>32</v>
      </c>
      <c r="C1663" s="46" t="s">
        <v>32</v>
      </c>
      <c r="D1663" s="46" t="s">
        <v>32</v>
      </c>
      <c r="E1663" s="46" t="s">
        <v>32</v>
      </c>
      <c r="F1663" s="47">
        <f>[1]!BexGetData("DP_2","DL719O2RYNC0Y217V0FVT1R77","17","E","24022022E202","2067211021")</f>
        <v>989.8</v>
      </c>
      <c r="G1663" s="48">
        <f>[1]!BexGetData("DP_2","DL719O2RYNEBZX0HTMQQ0BY0J","17","E","24022022E202","2067211021")</f>
        <v>989.8</v>
      </c>
      <c r="H1663" s="48">
        <f>[1]!BexGetData("DP_2","DL719O2RYNGN1RZRS91K7M4TV","17","E","24022022E202","2067211021")</f>
        <v>989.8</v>
      </c>
      <c r="I1663" s="48">
        <f>[1]!BexGetData("DP_2","DL719O2RYNIY3MZ1QVCEEWBN7","17","E","24022022E202","2067211021")</f>
        <v>0</v>
      </c>
    </row>
    <row r="1664" spans="1:9" x14ac:dyDescent="0.2">
      <c r="A1664" s="46" t="s">
        <v>32</v>
      </c>
      <c r="B1664" s="46" t="s">
        <v>32</v>
      </c>
      <c r="C1664" s="46" t="s">
        <v>32</v>
      </c>
      <c r="D1664" s="46" t="s">
        <v>32</v>
      </c>
      <c r="E1664" s="46" t="s">
        <v>32</v>
      </c>
      <c r="F1664" s="47">
        <f>[1]!BexGetData("DP_2","DL719O2RYNC0Y217V0FVT1R77","17","E","24022022E202","2067212021")</f>
        <v>638</v>
      </c>
      <c r="G1664" s="48">
        <f>[1]!BexGetData("DP_2","DL719O2RYNEBZX0HTMQQ0BY0J","17","E","24022022E202","2067212021")</f>
        <v>638</v>
      </c>
      <c r="H1664" s="48">
        <f>[1]!BexGetData("DP_2","DL719O2RYNGN1RZRS91K7M4TV","17","E","24022022E202","2067212021")</f>
        <v>638</v>
      </c>
      <c r="I1664" s="48">
        <f>[1]!BexGetData("DP_2","DL719O2RYNIY3MZ1QVCEEWBN7","17","E","24022022E202","2067212021")</f>
        <v>0</v>
      </c>
    </row>
    <row r="1665" spans="1:9" x14ac:dyDescent="0.2">
      <c r="A1665" s="46" t="s">
        <v>32</v>
      </c>
      <c r="B1665" s="46" t="s">
        <v>32</v>
      </c>
      <c r="C1665" s="46" t="s">
        <v>32</v>
      </c>
      <c r="D1665" s="46" t="s">
        <v>32</v>
      </c>
      <c r="E1665" s="46" t="s">
        <v>32</v>
      </c>
      <c r="F1665" s="47">
        <f>[1]!BexGetData("DP_2","DL719O2RYNC0Y217V0FVT1R77","17","E","24022022E202","2067214011")</f>
        <v>2314.1999999999998</v>
      </c>
      <c r="G1665" s="48">
        <f>[1]!BexGetData("DP_2","DL719O2RYNEBZX0HTMQQ0BY0J","17","E","24022022E202","2067214011")</f>
        <v>2314.1999999999998</v>
      </c>
      <c r="H1665" s="48">
        <f>[1]!BexGetData("DP_2","DL719O2RYNGN1RZRS91K7M4TV","17","E","24022022E202","2067214011")</f>
        <v>2314.1999999999998</v>
      </c>
      <c r="I1665" s="48">
        <f>[1]!BexGetData("DP_2","DL719O2RYNIY3MZ1QVCEEWBN7","17","E","24022022E202","2067214011")</f>
        <v>0</v>
      </c>
    </row>
    <row r="1666" spans="1:9" x14ac:dyDescent="0.2">
      <c r="A1666" s="46" t="s">
        <v>32</v>
      </c>
      <c r="B1666" s="46" t="s">
        <v>32</v>
      </c>
      <c r="C1666" s="46" t="s">
        <v>32</v>
      </c>
      <c r="D1666" s="46" t="s">
        <v>32</v>
      </c>
      <c r="E1666" s="46" t="s">
        <v>32</v>
      </c>
      <c r="F1666" s="47">
        <f>[1]!BexGetData("DP_2","DL719O2RYNC0Y217V0FVT1R77","17","E","24022022E202","2067215011")</f>
        <v>137197.84</v>
      </c>
      <c r="G1666" s="48">
        <f>[1]!BexGetData("DP_2","DL719O2RYNEBZX0HTMQQ0BY0J","17","E","24022022E202","2067215011")</f>
        <v>137197.84</v>
      </c>
      <c r="H1666" s="48">
        <f>[1]!BexGetData("DP_2","DL719O2RYNGN1RZRS91K7M4TV","17","E","24022022E202","2067215011")</f>
        <v>88160</v>
      </c>
      <c r="I1666" s="48">
        <f>[1]!BexGetData("DP_2","DL719O2RYNIY3MZ1QVCEEWBN7","17","E","24022022E202","2067215011")</f>
        <v>0</v>
      </c>
    </row>
    <row r="1667" spans="1:9" x14ac:dyDescent="0.2">
      <c r="A1667" s="46" t="s">
        <v>32</v>
      </c>
      <c r="B1667" s="46" t="s">
        <v>32</v>
      </c>
      <c r="C1667" s="46" t="s">
        <v>32</v>
      </c>
      <c r="D1667" s="46" t="s">
        <v>32</v>
      </c>
      <c r="E1667" s="46" t="s">
        <v>32</v>
      </c>
      <c r="F1667" s="47">
        <f>[1]!BexGetData("DP_2","DL719O2RYNC0Y217V0FVT1R77","17","E","24022022E202","2067215021")</f>
        <v>15950</v>
      </c>
      <c r="G1667" s="48">
        <f>[1]!BexGetData("DP_2","DL719O2RYNEBZX0HTMQQ0BY0J","17","E","24022022E202","2067215021")</f>
        <v>15950</v>
      </c>
      <c r="H1667" s="48">
        <f>[1]!BexGetData("DP_2","DL719O2RYNGN1RZRS91K7M4TV","17","E","24022022E202","2067215021")</f>
        <v>15950</v>
      </c>
      <c r="I1667" s="48">
        <f>[1]!BexGetData("DP_2","DL719O2RYNIY3MZ1QVCEEWBN7","17","E","24022022E202","2067215021")</f>
        <v>0</v>
      </c>
    </row>
    <row r="1668" spans="1:9" x14ac:dyDescent="0.2">
      <c r="A1668" s="46" t="s">
        <v>32</v>
      </c>
      <c r="B1668" s="46" t="s">
        <v>32</v>
      </c>
      <c r="C1668" s="46" t="s">
        <v>32</v>
      </c>
      <c r="D1668" s="46" t="s">
        <v>32</v>
      </c>
      <c r="E1668" s="46" t="s">
        <v>32</v>
      </c>
      <c r="F1668" s="47">
        <f>[1]!BexGetData("DP_2","DL719O2RYNC0Y217V0FVT1R77","17","E","24022022E202","2067216011")</f>
        <v>19949</v>
      </c>
      <c r="G1668" s="48">
        <f>[1]!BexGetData("DP_2","DL719O2RYNEBZX0HTMQQ0BY0J","17","E","24022022E202","2067216011")</f>
        <v>19949</v>
      </c>
      <c r="H1668" s="48">
        <f>[1]!BexGetData("DP_2","DL719O2RYNGN1RZRS91K7M4TV","17","E","24022022E202","2067216011")</f>
        <v>19949</v>
      </c>
      <c r="I1668" s="48">
        <f>[1]!BexGetData("DP_2","DL719O2RYNIY3MZ1QVCEEWBN7","17","E","24022022E202","2067216011")</f>
        <v>0</v>
      </c>
    </row>
    <row r="1669" spans="1:9" x14ac:dyDescent="0.2">
      <c r="A1669" s="46" t="s">
        <v>32</v>
      </c>
      <c r="B1669" s="46" t="s">
        <v>32</v>
      </c>
      <c r="C1669" s="46" t="s">
        <v>32</v>
      </c>
      <c r="D1669" s="46" t="s">
        <v>32</v>
      </c>
      <c r="E1669" s="46" t="s">
        <v>32</v>
      </c>
      <c r="F1669" s="47">
        <f>[1]!BexGetData("DP_2","DL719O2RYNC0Y217V0FVT1R77","17","E","24022022E202","2067217011")</f>
        <v>399.85</v>
      </c>
      <c r="G1669" s="48">
        <f>[1]!BexGetData("DP_2","DL719O2RYNEBZX0HTMQQ0BY0J","17","E","24022022E202","2067217011")</f>
        <v>399.85</v>
      </c>
      <c r="H1669" s="48">
        <f>[1]!BexGetData("DP_2","DL719O2RYNGN1RZRS91K7M4TV","17","E","24022022E202","2067217011")</f>
        <v>399.85</v>
      </c>
      <c r="I1669" s="48">
        <f>[1]!BexGetData("DP_2","DL719O2RYNIY3MZ1QVCEEWBN7","17","E","24022022E202","2067217011")</f>
        <v>0</v>
      </c>
    </row>
    <row r="1670" spans="1:9" x14ac:dyDescent="0.2">
      <c r="A1670" s="46" t="s">
        <v>32</v>
      </c>
      <c r="B1670" s="46" t="s">
        <v>32</v>
      </c>
      <c r="C1670" s="46" t="s">
        <v>32</v>
      </c>
      <c r="D1670" s="46" t="s">
        <v>32</v>
      </c>
      <c r="E1670" s="46" t="s">
        <v>32</v>
      </c>
      <c r="F1670" s="47">
        <f>[1]!BexGetData("DP_2","DL719O2RYNC0Y217V0FVT1R77","17","E","24022022E202","2067221011")</f>
        <v>14880.48</v>
      </c>
      <c r="G1670" s="48">
        <f>[1]!BexGetData("DP_2","DL719O2RYNEBZX0HTMQQ0BY0J","17","E","24022022E202","2067221011")</f>
        <v>14880.48</v>
      </c>
      <c r="H1670" s="48">
        <f>[1]!BexGetData("DP_2","DL719O2RYNGN1RZRS91K7M4TV","17","E","24022022E202","2067221011")</f>
        <v>14880.48</v>
      </c>
      <c r="I1670" s="48">
        <f>[1]!BexGetData("DP_2","DL719O2RYNIY3MZ1QVCEEWBN7","17","E","24022022E202","2067221011")</f>
        <v>0</v>
      </c>
    </row>
    <row r="1671" spans="1:9" x14ac:dyDescent="0.2">
      <c r="A1671" s="46" t="s">
        <v>32</v>
      </c>
      <c r="B1671" s="46" t="s">
        <v>32</v>
      </c>
      <c r="C1671" s="46" t="s">
        <v>32</v>
      </c>
      <c r="D1671" s="46" t="s">
        <v>32</v>
      </c>
      <c r="E1671" s="46" t="s">
        <v>32</v>
      </c>
      <c r="F1671" s="47">
        <f>[1]!BexGetData("DP_2","DL719O2RYNC0Y217V0FVT1R77","17","E","24022022E202","2067221021")</f>
        <v>18677.09</v>
      </c>
      <c r="G1671" s="48">
        <f>[1]!BexGetData("DP_2","DL719O2RYNEBZX0HTMQQ0BY0J","17","E","24022022E202","2067221021")</f>
        <v>18677.09</v>
      </c>
      <c r="H1671" s="48">
        <f>[1]!BexGetData("DP_2","DL719O2RYNGN1RZRS91K7M4TV","17","E","24022022E202","2067221021")</f>
        <v>18677.09</v>
      </c>
      <c r="I1671" s="48">
        <f>[1]!BexGetData("DP_2","DL719O2RYNIY3MZ1QVCEEWBN7","17","E","24022022E202","2067221021")</f>
        <v>0</v>
      </c>
    </row>
    <row r="1672" spans="1:9" x14ac:dyDescent="0.2">
      <c r="A1672" s="46" t="s">
        <v>32</v>
      </c>
      <c r="B1672" s="46" t="s">
        <v>32</v>
      </c>
      <c r="C1672" s="46" t="s">
        <v>32</v>
      </c>
      <c r="D1672" s="46" t="s">
        <v>32</v>
      </c>
      <c r="E1672" s="46" t="s">
        <v>32</v>
      </c>
      <c r="F1672" s="47">
        <f>[1]!BexGetData("DP_2","DL719O2RYNC0Y217V0FVT1R77","17","E","24022022E202","2067242011")</f>
        <v>56.26</v>
      </c>
      <c r="G1672" s="48">
        <f>[1]!BexGetData("DP_2","DL719O2RYNEBZX0HTMQQ0BY0J","17","E","24022022E202","2067242011")</f>
        <v>56.26</v>
      </c>
      <c r="H1672" s="48">
        <f>[1]!BexGetData("DP_2","DL719O2RYNGN1RZRS91K7M4TV","17","E","24022022E202","2067242011")</f>
        <v>0</v>
      </c>
      <c r="I1672" s="48">
        <f>[1]!BexGetData("DP_2","DL719O2RYNIY3MZ1QVCEEWBN7","17","E","24022022E202","2067242011")</f>
        <v>0</v>
      </c>
    </row>
    <row r="1673" spans="1:9" x14ac:dyDescent="0.2">
      <c r="A1673" s="46" t="s">
        <v>32</v>
      </c>
      <c r="B1673" s="46" t="s">
        <v>32</v>
      </c>
      <c r="C1673" s="46" t="s">
        <v>32</v>
      </c>
      <c r="D1673" s="46" t="s">
        <v>32</v>
      </c>
      <c r="E1673" s="46" t="s">
        <v>32</v>
      </c>
      <c r="F1673" s="47">
        <f>[1]!BexGetData("DP_2","DL719O2RYNC0Y217V0FVT1R77","17","E","24022022E202","2067246011")</f>
        <v>45895.1</v>
      </c>
      <c r="G1673" s="48">
        <f>[1]!BexGetData("DP_2","DL719O2RYNEBZX0HTMQQ0BY0J","17","E","24022022E202","2067246011")</f>
        <v>45895.1</v>
      </c>
      <c r="H1673" s="48">
        <f>[1]!BexGetData("DP_2","DL719O2RYNGN1RZRS91K7M4TV","17","E","24022022E202","2067246011")</f>
        <v>38970.07</v>
      </c>
      <c r="I1673" s="48">
        <f>[1]!BexGetData("DP_2","DL719O2RYNIY3MZ1QVCEEWBN7","17","E","24022022E202","2067246011")</f>
        <v>0</v>
      </c>
    </row>
    <row r="1674" spans="1:9" x14ac:dyDescent="0.2">
      <c r="A1674" s="46" t="s">
        <v>32</v>
      </c>
      <c r="B1674" s="46" t="s">
        <v>32</v>
      </c>
      <c r="C1674" s="46" t="s">
        <v>32</v>
      </c>
      <c r="D1674" s="46" t="s">
        <v>32</v>
      </c>
      <c r="E1674" s="46" t="s">
        <v>32</v>
      </c>
      <c r="F1674" s="47">
        <f>[1]!BexGetData("DP_2","DL719O2RYNC0Y217V0FVT1R77","17","E","24022022E202","2067247011")</f>
        <v>4188.6899999999996</v>
      </c>
      <c r="G1674" s="48">
        <f>[1]!BexGetData("DP_2","DL719O2RYNEBZX0HTMQQ0BY0J","17","E","24022022E202","2067247011")</f>
        <v>4188.6899999999996</v>
      </c>
      <c r="H1674" s="48">
        <f>[1]!BexGetData("DP_2","DL719O2RYNGN1RZRS91K7M4TV","17","E","24022022E202","2067247011")</f>
        <v>130.05000000000001</v>
      </c>
      <c r="I1674" s="48">
        <f>[1]!BexGetData("DP_2","DL719O2RYNIY3MZ1QVCEEWBN7","17","E","24022022E202","2067247011")</f>
        <v>0</v>
      </c>
    </row>
    <row r="1675" spans="1:9" x14ac:dyDescent="0.2">
      <c r="A1675" s="46" t="s">
        <v>32</v>
      </c>
      <c r="B1675" s="46" t="s">
        <v>32</v>
      </c>
      <c r="C1675" s="46" t="s">
        <v>32</v>
      </c>
      <c r="D1675" s="46" t="s">
        <v>32</v>
      </c>
      <c r="E1675" s="46" t="s">
        <v>32</v>
      </c>
      <c r="F1675" s="47">
        <f>[1]!BexGetData("DP_2","DL719O2RYNC0Y217V0FVT1R77","17","E","24022022E202","2067249011")</f>
        <v>7686.94</v>
      </c>
      <c r="G1675" s="48">
        <f>[1]!BexGetData("DP_2","DL719O2RYNEBZX0HTMQQ0BY0J","17","E","24022022E202","2067249011")</f>
        <v>7686.94</v>
      </c>
      <c r="H1675" s="48">
        <f>[1]!BexGetData("DP_2","DL719O2RYNGN1RZRS91K7M4TV","17","E","24022022E202","2067249011")</f>
        <v>7427.8</v>
      </c>
      <c r="I1675" s="48">
        <f>[1]!BexGetData("DP_2","DL719O2RYNIY3MZ1QVCEEWBN7","17","E","24022022E202","2067249011")</f>
        <v>0</v>
      </c>
    </row>
    <row r="1676" spans="1:9" x14ac:dyDescent="0.2">
      <c r="A1676" s="46" t="s">
        <v>32</v>
      </c>
      <c r="B1676" s="46" t="s">
        <v>32</v>
      </c>
      <c r="C1676" s="46" t="s">
        <v>32</v>
      </c>
      <c r="D1676" s="46" t="s">
        <v>32</v>
      </c>
      <c r="E1676" s="46" t="s">
        <v>32</v>
      </c>
      <c r="F1676" s="47">
        <f>[1]!BexGetData("DP_2","DL719O2RYNC0Y217V0FVT1R77","17","E","24022022E202","2067256011")</f>
        <v>3219.7</v>
      </c>
      <c r="G1676" s="48">
        <f>[1]!BexGetData("DP_2","DL719O2RYNEBZX0HTMQQ0BY0J","17","E","24022022E202","2067256011")</f>
        <v>3219.7</v>
      </c>
      <c r="H1676" s="48">
        <f>[1]!BexGetData("DP_2","DL719O2RYNGN1RZRS91K7M4TV","17","E","24022022E202","2067256011")</f>
        <v>713.02</v>
      </c>
      <c r="I1676" s="48">
        <f>[1]!BexGetData("DP_2","DL719O2RYNIY3MZ1QVCEEWBN7","17","E","24022022E202","2067256011")</f>
        <v>0</v>
      </c>
    </row>
    <row r="1677" spans="1:9" x14ac:dyDescent="0.2">
      <c r="A1677" s="46" t="s">
        <v>32</v>
      </c>
      <c r="B1677" s="46" t="s">
        <v>32</v>
      </c>
      <c r="C1677" s="46" t="s">
        <v>32</v>
      </c>
      <c r="D1677" s="46" t="s">
        <v>32</v>
      </c>
      <c r="E1677" s="46" t="s">
        <v>32</v>
      </c>
      <c r="F1677" s="47">
        <f>[1]!BexGetData("DP_2","DL719O2RYNC0Y217V0FVT1R77","17","E","24022022E202","2067259011")</f>
        <v>2427</v>
      </c>
      <c r="G1677" s="48">
        <f>[1]!BexGetData("DP_2","DL719O2RYNEBZX0HTMQQ0BY0J","17","E","24022022E202","2067259011")</f>
        <v>2427</v>
      </c>
      <c r="H1677" s="48">
        <f>[1]!BexGetData("DP_2","DL719O2RYNGN1RZRS91K7M4TV","17","E","24022022E202","2067259011")</f>
        <v>2427</v>
      </c>
      <c r="I1677" s="48">
        <f>[1]!BexGetData("DP_2","DL719O2RYNIY3MZ1QVCEEWBN7","17","E","24022022E202","2067259011")</f>
        <v>0</v>
      </c>
    </row>
    <row r="1678" spans="1:9" x14ac:dyDescent="0.2">
      <c r="A1678" s="46" t="s">
        <v>32</v>
      </c>
      <c r="B1678" s="46" t="s">
        <v>32</v>
      </c>
      <c r="C1678" s="46" t="s">
        <v>32</v>
      </c>
      <c r="D1678" s="46" t="s">
        <v>32</v>
      </c>
      <c r="E1678" s="46" t="s">
        <v>32</v>
      </c>
      <c r="F1678" s="47">
        <f>[1]!BexGetData("DP_2","DL719O2RYNC0Y217V0FVT1R77","17","E","24022022E202","2067271011")</f>
        <v>2842</v>
      </c>
      <c r="G1678" s="48">
        <f>[1]!BexGetData("DP_2","DL719O2RYNEBZX0HTMQQ0BY0J","17","E","24022022E202","2067271011")</f>
        <v>2842</v>
      </c>
      <c r="H1678" s="48">
        <f>[1]!BexGetData("DP_2","DL719O2RYNGN1RZRS91K7M4TV","17","E","24022022E202","2067271011")</f>
        <v>2842</v>
      </c>
      <c r="I1678" s="48">
        <f>[1]!BexGetData("DP_2","DL719O2RYNIY3MZ1QVCEEWBN7","17","E","24022022E202","2067271011")</f>
        <v>0</v>
      </c>
    </row>
    <row r="1679" spans="1:9" x14ac:dyDescent="0.2">
      <c r="A1679" s="46" t="s">
        <v>32</v>
      </c>
      <c r="B1679" s="46" t="s">
        <v>32</v>
      </c>
      <c r="C1679" s="46" t="s">
        <v>32</v>
      </c>
      <c r="D1679" s="46" t="s">
        <v>32</v>
      </c>
      <c r="E1679" s="46" t="s">
        <v>32</v>
      </c>
      <c r="F1679" s="47">
        <f>[1]!BexGetData("DP_2","DL719O2RYNC0Y217V0FVT1R77","17","E","24022022E202","2067274011")</f>
        <v>75.010000000000005</v>
      </c>
      <c r="G1679" s="48">
        <f>[1]!BexGetData("DP_2","DL719O2RYNEBZX0HTMQQ0BY0J","17","E","24022022E202","2067274011")</f>
        <v>75.010000000000005</v>
      </c>
      <c r="H1679" s="48">
        <f>[1]!BexGetData("DP_2","DL719O2RYNGN1RZRS91K7M4TV","17","E","24022022E202","2067274011")</f>
        <v>75.010000000000005</v>
      </c>
      <c r="I1679" s="48">
        <f>[1]!BexGetData("DP_2","DL719O2RYNIY3MZ1QVCEEWBN7","17","E","24022022E202","2067274011")</f>
        <v>0</v>
      </c>
    </row>
    <row r="1680" spans="1:9" x14ac:dyDescent="0.2">
      <c r="A1680" s="46" t="s">
        <v>32</v>
      </c>
      <c r="B1680" s="46" t="s">
        <v>32</v>
      </c>
      <c r="C1680" s="46" t="s">
        <v>32</v>
      </c>
      <c r="D1680" s="46" t="s">
        <v>32</v>
      </c>
      <c r="E1680" s="46" t="s">
        <v>32</v>
      </c>
      <c r="F1680" s="47">
        <f>[1]!BexGetData("DP_2","DL719O2RYNC0Y217V0FVT1R77","17","E","24022022E202","2067291011")</f>
        <v>1231.79</v>
      </c>
      <c r="G1680" s="48">
        <f>[1]!BexGetData("DP_2","DL719O2RYNEBZX0HTMQQ0BY0J","17","E","24022022E202","2067291011")</f>
        <v>1231.79</v>
      </c>
      <c r="H1680" s="48">
        <f>[1]!BexGetData("DP_2","DL719O2RYNGN1RZRS91K7M4TV","17","E","24022022E202","2067291011")</f>
        <v>1231.79</v>
      </c>
      <c r="I1680" s="48">
        <f>[1]!BexGetData("DP_2","DL719O2RYNIY3MZ1QVCEEWBN7","17","E","24022022E202","2067291011")</f>
        <v>0</v>
      </c>
    </row>
    <row r="1681" spans="1:9" x14ac:dyDescent="0.2">
      <c r="A1681" s="46" t="s">
        <v>32</v>
      </c>
      <c r="B1681" s="46" t="s">
        <v>32</v>
      </c>
      <c r="C1681" s="46" t="s">
        <v>32</v>
      </c>
      <c r="D1681" s="46" t="s">
        <v>32</v>
      </c>
      <c r="E1681" s="46" t="s">
        <v>32</v>
      </c>
      <c r="F1681" s="47">
        <f>[1]!BexGetData("DP_2","DL719O2RYNC0Y217V0FVT1R77","17","E","24022022E202","2067292011")</f>
        <v>696</v>
      </c>
      <c r="G1681" s="48">
        <f>[1]!BexGetData("DP_2","DL719O2RYNEBZX0HTMQQ0BY0J","17","E","24022022E202","2067292011")</f>
        <v>696</v>
      </c>
      <c r="H1681" s="48">
        <f>[1]!BexGetData("DP_2","DL719O2RYNGN1RZRS91K7M4TV","17","E","24022022E202","2067292011")</f>
        <v>696</v>
      </c>
      <c r="I1681" s="48">
        <f>[1]!BexGetData("DP_2","DL719O2RYNIY3MZ1QVCEEWBN7","17","E","24022022E202","2067292011")</f>
        <v>0</v>
      </c>
    </row>
    <row r="1682" spans="1:9" x14ac:dyDescent="0.2">
      <c r="A1682" s="46" t="s">
        <v>32</v>
      </c>
      <c r="B1682" s="46" t="s">
        <v>32</v>
      </c>
      <c r="C1682" s="46" t="s">
        <v>32</v>
      </c>
      <c r="D1682" s="46" t="s">
        <v>32</v>
      </c>
      <c r="E1682" s="46" t="s">
        <v>32</v>
      </c>
      <c r="F1682" s="47">
        <f>[1]!BexGetData("DP_2","DL719O2RYNC0Y217V0FVT1R77","17","E","24022022E202","2067311011")</f>
        <v>91589.61</v>
      </c>
      <c r="G1682" s="48">
        <f>[1]!BexGetData("DP_2","DL719O2RYNEBZX0HTMQQ0BY0J","17","E","24022022E202","2067311011")</f>
        <v>91589.61</v>
      </c>
      <c r="H1682" s="48">
        <f>[1]!BexGetData("DP_2","DL719O2RYNGN1RZRS91K7M4TV","17","E","24022022E202","2067311011")</f>
        <v>91589.61</v>
      </c>
      <c r="I1682" s="48">
        <f>[1]!BexGetData("DP_2","DL719O2RYNIY3MZ1QVCEEWBN7","17","E","24022022E202","2067311011")</f>
        <v>0</v>
      </c>
    </row>
    <row r="1683" spans="1:9" x14ac:dyDescent="0.2">
      <c r="A1683" s="46" t="s">
        <v>32</v>
      </c>
      <c r="B1683" s="46" t="s">
        <v>32</v>
      </c>
      <c r="C1683" s="46" t="s">
        <v>32</v>
      </c>
      <c r="D1683" s="46" t="s">
        <v>32</v>
      </c>
      <c r="E1683" s="46" t="s">
        <v>32</v>
      </c>
      <c r="F1683" s="47">
        <f>[1]!BexGetData("DP_2","DL719O2RYNC0Y217V0FVT1R77","17","E","24022022E202","2067313011")</f>
        <v>0</v>
      </c>
      <c r="G1683" s="48">
        <f>[1]!BexGetData("DP_2","DL719O2RYNEBZX0HTMQQ0BY0J","17","E","24022022E202","2067313011")</f>
        <v>0</v>
      </c>
      <c r="H1683" s="48">
        <f>[1]!BexGetData("DP_2","DL719O2RYNGN1RZRS91K7M4TV","17","E","24022022E202","2067313011")</f>
        <v>0</v>
      </c>
      <c r="I1683" s="48">
        <f>[1]!BexGetData("DP_2","DL719O2RYNIY3MZ1QVCEEWBN7","17","E","24022022E202","2067313011")</f>
        <v>0</v>
      </c>
    </row>
    <row r="1684" spans="1:9" x14ac:dyDescent="0.2">
      <c r="A1684" s="46" t="s">
        <v>32</v>
      </c>
      <c r="B1684" s="46" t="s">
        <v>32</v>
      </c>
      <c r="C1684" s="46" t="s">
        <v>32</v>
      </c>
      <c r="D1684" s="46" t="s">
        <v>32</v>
      </c>
      <c r="E1684" s="46" t="s">
        <v>32</v>
      </c>
      <c r="F1684" s="47">
        <f>[1]!BexGetData("DP_2","DL719O2RYNC0Y217V0FVT1R77","17","E","24022022E202","2067314011")</f>
        <v>5769.67</v>
      </c>
      <c r="G1684" s="48">
        <f>[1]!BexGetData("DP_2","DL719O2RYNEBZX0HTMQQ0BY0J","17","E","24022022E202","2067314011")</f>
        <v>5769.67</v>
      </c>
      <c r="H1684" s="48">
        <f>[1]!BexGetData("DP_2","DL719O2RYNGN1RZRS91K7M4TV","17","E","24022022E202","2067314011")</f>
        <v>5769.67</v>
      </c>
      <c r="I1684" s="48">
        <f>[1]!BexGetData("DP_2","DL719O2RYNIY3MZ1QVCEEWBN7","17","E","24022022E202","2067314011")</f>
        <v>0</v>
      </c>
    </row>
    <row r="1685" spans="1:9" x14ac:dyDescent="0.2">
      <c r="A1685" s="46" t="s">
        <v>32</v>
      </c>
      <c r="B1685" s="46" t="s">
        <v>32</v>
      </c>
      <c r="C1685" s="46" t="s">
        <v>32</v>
      </c>
      <c r="D1685" s="46" t="s">
        <v>32</v>
      </c>
      <c r="E1685" s="46" t="s">
        <v>32</v>
      </c>
      <c r="F1685" s="47">
        <f>[1]!BexGetData("DP_2","DL719O2RYNC0Y217V0FVT1R77","17","E","24022022E202","2067318011")</f>
        <v>1023.9</v>
      </c>
      <c r="G1685" s="48">
        <f>[1]!BexGetData("DP_2","DL719O2RYNEBZX0HTMQQ0BY0J","17","E","24022022E202","2067318011")</f>
        <v>1023.9</v>
      </c>
      <c r="H1685" s="48">
        <f>[1]!BexGetData("DP_2","DL719O2RYNGN1RZRS91K7M4TV","17","E","24022022E202","2067318011")</f>
        <v>1023.9</v>
      </c>
      <c r="I1685" s="48">
        <f>[1]!BexGetData("DP_2","DL719O2RYNIY3MZ1QVCEEWBN7","17","E","24022022E202","2067318011")</f>
        <v>0</v>
      </c>
    </row>
    <row r="1686" spans="1:9" x14ac:dyDescent="0.2">
      <c r="A1686" s="46" t="s">
        <v>32</v>
      </c>
      <c r="B1686" s="46" t="s">
        <v>32</v>
      </c>
      <c r="C1686" s="46" t="s">
        <v>32</v>
      </c>
      <c r="D1686" s="46" t="s">
        <v>32</v>
      </c>
      <c r="E1686" s="46" t="s">
        <v>32</v>
      </c>
      <c r="F1686" s="47">
        <f>[1]!BexGetData("DP_2","DL719O2RYNC0Y217V0FVT1R77","17","E","24022022E202","2067329011")</f>
        <v>93318.23</v>
      </c>
      <c r="G1686" s="48">
        <f>[1]!BexGetData("DP_2","DL719O2RYNEBZX0HTMQQ0BY0J","17","E","24022022E202","2067329011")</f>
        <v>93318.23</v>
      </c>
      <c r="H1686" s="48">
        <f>[1]!BexGetData("DP_2","DL719O2RYNGN1RZRS91K7M4TV","17","E","24022022E202","2067329011")</f>
        <v>78818.23</v>
      </c>
      <c r="I1686" s="48">
        <f>[1]!BexGetData("DP_2","DL719O2RYNIY3MZ1QVCEEWBN7","17","E","24022022E202","2067329011")</f>
        <v>0</v>
      </c>
    </row>
    <row r="1687" spans="1:9" x14ac:dyDescent="0.2">
      <c r="A1687" s="46" t="s">
        <v>32</v>
      </c>
      <c r="B1687" s="46" t="s">
        <v>32</v>
      </c>
      <c r="C1687" s="46" t="s">
        <v>32</v>
      </c>
      <c r="D1687" s="46" t="s">
        <v>32</v>
      </c>
      <c r="E1687" s="46" t="s">
        <v>32</v>
      </c>
      <c r="F1687" s="47">
        <f>[1]!BexGetData("DP_2","DL719O2RYNC0Y217V0FVT1R77","17","E","24022022E202","2067336011")</f>
        <v>4724.68</v>
      </c>
      <c r="G1687" s="48">
        <f>[1]!BexGetData("DP_2","DL719O2RYNEBZX0HTMQQ0BY0J","17","E","24022022E202","2067336011")</f>
        <v>4724.68</v>
      </c>
      <c r="H1687" s="48">
        <f>[1]!BexGetData("DP_2","DL719O2RYNGN1RZRS91K7M4TV","17","E","24022022E202","2067336011")</f>
        <v>4724.68</v>
      </c>
      <c r="I1687" s="48">
        <f>[1]!BexGetData("DP_2","DL719O2RYNIY3MZ1QVCEEWBN7","17","E","24022022E202","2067336011")</f>
        <v>0</v>
      </c>
    </row>
    <row r="1688" spans="1:9" x14ac:dyDescent="0.2">
      <c r="A1688" s="46" t="s">
        <v>32</v>
      </c>
      <c r="B1688" s="46" t="s">
        <v>32</v>
      </c>
      <c r="C1688" s="46" t="s">
        <v>32</v>
      </c>
      <c r="D1688" s="46" t="s">
        <v>32</v>
      </c>
      <c r="E1688" s="46" t="s">
        <v>32</v>
      </c>
      <c r="F1688" s="47">
        <f>[1]!BexGetData("DP_2","DL719O2RYNC0Y217V0FVT1R77","17","E","24022022E202","2067339011")</f>
        <v>113363.4</v>
      </c>
      <c r="G1688" s="48">
        <f>[1]!BexGetData("DP_2","DL719O2RYNEBZX0HTMQQ0BY0J","17","E","24022022E202","2067339011")</f>
        <v>113363.4</v>
      </c>
      <c r="H1688" s="48">
        <f>[1]!BexGetData("DP_2","DL719O2RYNGN1RZRS91K7M4TV","17","E","24022022E202","2067339011")</f>
        <v>107563.4</v>
      </c>
      <c r="I1688" s="48">
        <f>[1]!BexGetData("DP_2","DL719O2RYNIY3MZ1QVCEEWBN7","17","E","24022022E202","2067339011")</f>
        <v>0</v>
      </c>
    </row>
    <row r="1689" spans="1:9" x14ac:dyDescent="0.2">
      <c r="A1689" s="46" t="s">
        <v>32</v>
      </c>
      <c r="B1689" s="46" t="s">
        <v>32</v>
      </c>
      <c r="C1689" s="46" t="s">
        <v>32</v>
      </c>
      <c r="D1689" s="46" t="s">
        <v>32</v>
      </c>
      <c r="E1689" s="46" t="s">
        <v>32</v>
      </c>
      <c r="F1689" s="47">
        <f>[1]!BexGetData("DP_2","DL719O2RYNC0Y217V0FVT1R77","17","E","24022022E202","2067347011")</f>
        <v>580</v>
      </c>
      <c r="G1689" s="48">
        <f>[1]!BexGetData("DP_2","DL719O2RYNEBZX0HTMQQ0BY0J","17","E","24022022E202","2067347011")</f>
        <v>580</v>
      </c>
      <c r="H1689" s="48">
        <f>[1]!BexGetData("DP_2","DL719O2RYNGN1RZRS91K7M4TV","17","E","24022022E202","2067347011")</f>
        <v>580</v>
      </c>
      <c r="I1689" s="48">
        <f>[1]!BexGetData("DP_2","DL719O2RYNIY3MZ1QVCEEWBN7","17","E","24022022E202","2067347011")</f>
        <v>0</v>
      </c>
    </row>
    <row r="1690" spans="1:9" x14ac:dyDescent="0.2">
      <c r="A1690" s="46" t="s">
        <v>32</v>
      </c>
      <c r="B1690" s="46" t="s">
        <v>32</v>
      </c>
      <c r="C1690" s="46" t="s">
        <v>32</v>
      </c>
      <c r="D1690" s="46" t="s">
        <v>32</v>
      </c>
      <c r="E1690" s="46" t="s">
        <v>32</v>
      </c>
      <c r="F1690" s="47">
        <f>[1]!BexGetData("DP_2","DL719O2RYNC0Y217V0FVT1R77","17","E","24022022E202","2067351011")</f>
        <v>0</v>
      </c>
      <c r="G1690" s="48">
        <f>[1]!BexGetData("DP_2","DL719O2RYNEBZX0HTMQQ0BY0J","17","E","24022022E202","2067351011")</f>
        <v>0</v>
      </c>
      <c r="H1690" s="48">
        <f>[1]!BexGetData("DP_2","DL719O2RYNGN1RZRS91K7M4TV","17","E","24022022E202","2067351011")</f>
        <v>0</v>
      </c>
      <c r="I1690" s="48">
        <f>[1]!BexGetData("DP_2","DL719O2RYNIY3MZ1QVCEEWBN7","17","E","24022022E202","2067351011")</f>
        <v>0</v>
      </c>
    </row>
    <row r="1691" spans="1:9" x14ac:dyDescent="0.2">
      <c r="A1691" s="46" t="s">
        <v>32</v>
      </c>
      <c r="B1691" s="46" t="s">
        <v>32</v>
      </c>
      <c r="C1691" s="46" t="s">
        <v>32</v>
      </c>
      <c r="D1691" s="46" t="s">
        <v>32</v>
      </c>
      <c r="E1691" s="46" t="s">
        <v>32</v>
      </c>
      <c r="F1691" s="47">
        <f>[1]!BexGetData("DP_2","DL719O2RYNC0Y217V0FVT1R77","17","E","24022022E202","2067351021")</f>
        <v>0</v>
      </c>
      <c r="G1691" s="48">
        <f>[1]!BexGetData("DP_2","DL719O2RYNEBZX0HTMQQ0BY0J","17","E","24022022E202","2067351021")</f>
        <v>0</v>
      </c>
      <c r="H1691" s="48">
        <f>[1]!BexGetData("DP_2","DL719O2RYNGN1RZRS91K7M4TV","17","E","24022022E202","2067351021")</f>
        <v>0</v>
      </c>
      <c r="I1691" s="48">
        <f>[1]!BexGetData("DP_2","DL719O2RYNIY3MZ1QVCEEWBN7","17","E","24022022E202","2067351021")</f>
        <v>0</v>
      </c>
    </row>
    <row r="1692" spans="1:9" x14ac:dyDescent="0.2">
      <c r="A1692" s="46" t="s">
        <v>32</v>
      </c>
      <c r="B1692" s="46" t="s">
        <v>32</v>
      </c>
      <c r="C1692" s="46" t="s">
        <v>32</v>
      </c>
      <c r="D1692" s="46" t="s">
        <v>32</v>
      </c>
      <c r="E1692" s="46" t="s">
        <v>32</v>
      </c>
      <c r="F1692" s="47">
        <f>[1]!BexGetData("DP_2","DL719O2RYNC0Y217V0FVT1R77","17","E","24022022E202","2067361011")</f>
        <v>0</v>
      </c>
      <c r="G1692" s="48">
        <f>[1]!BexGetData("DP_2","DL719O2RYNEBZX0HTMQQ0BY0J","17","E","24022022E202","2067361011")</f>
        <v>0</v>
      </c>
      <c r="H1692" s="48">
        <f>[1]!BexGetData("DP_2","DL719O2RYNGN1RZRS91K7M4TV","17","E","24022022E202","2067361011")</f>
        <v>0</v>
      </c>
      <c r="I1692" s="48">
        <f>[1]!BexGetData("DP_2","DL719O2RYNIY3MZ1QVCEEWBN7","17","E","24022022E202","2067361011")</f>
        <v>0</v>
      </c>
    </row>
    <row r="1693" spans="1:9" x14ac:dyDescent="0.2">
      <c r="A1693" s="46" t="s">
        <v>32</v>
      </c>
      <c r="B1693" s="46" t="s">
        <v>32</v>
      </c>
      <c r="C1693" s="46" t="s">
        <v>32</v>
      </c>
      <c r="D1693" s="46" t="s">
        <v>32</v>
      </c>
      <c r="E1693" s="46" t="s">
        <v>32</v>
      </c>
      <c r="F1693" s="47">
        <f>[1]!BexGetData("DP_2","DL719O2RYNC0Y217V0FVT1R77","17","E","24022022E202","2067371011")</f>
        <v>7501.2</v>
      </c>
      <c r="G1693" s="48">
        <f>[1]!BexGetData("DP_2","DL719O2RYNEBZX0HTMQQ0BY0J","17","E","24022022E202","2067371011")</f>
        <v>7501.2</v>
      </c>
      <c r="H1693" s="48">
        <f>[1]!BexGetData("DP_2","DL719O2RYNGN1RZRS91K7M4TV","17","E","24022022E202","2067371011")</f>
        <v>7501.2</v>
      </c>
      <c r="I1693" s="48">
        <f>[1]!BexGetData("DP_2","DL719O2RYNIY3MZ1QVCEEWBN7","17","E","24022022E202","2067371011")</f>
        <v>0</v>
      </c>
    </row>
    <row r="1694" spans="1:9" x14ac:dyDescent="0.2">
      <c r="A1694" s="46" t="s">
        <v>32</v>
      </c>
      <c r="B1694" s="46" t="s">
        <v>32</v>
      </c>
      <c r="C1694" s="46" t="s">
        <v>32</v>
      </c>
      <c r="D1694" s="46" t="s">
        <v>32</v>
      </c>
      <c r="E1694" s="46" t="s">
        <v>32</v>
      </c>
      <c r="F1694" s="47">
        <f>[1]!BexGetData("DP_2","DL719O2RYNC0Y217V0FVT1R77","17","E","24022022E202","2067372011")</f>
        <v>21651</v>
      </c>
      <c r="G1694" s="48">
        <f>[1]!BexGetData("DP_2","DL719O2RYNEBZX0HTMQQ0BY0J","17","E","24022022E202","2067372011")</f>
        <v>21651</v>
      </c>
      <c r="H1694" s="48">
        <f>[1]!BexGetData("DP_2","DL719O2RYNGN1RZRS91K7M4TV","17","E","24022022E202","2067372011")</f>
        <v>21651</v>
      </c>
      <c r="I1694" s="48">
        <f>[1]!BexGetData("DP_2","DL719O2RYNIY3MZ1QVCEEWBN7","17","E","24022022E202","2067372011")</f>
        <v>0</v>
      </c>
    </row>
    <row r="1695" spans="1:9" x14ac:dyDescent="0.2">
      <c r="A1695" s="46" t="s">
        <v>32</v>
      </c>
      <c r="B1695" s="46" t="s">
        <v>32</v>
      </c>
      <c r="C1695" s="46" t="s">
        <v>32</v>
      </c>
      <c r="D1695" s="46" t="s">
        <v>32</v>
      </c>
      <c r="E1695" s="46" t="s">
        <v>32</v>
      </c>
      <c r="F1695" s="47">
        <f>[1]!BexGetData("DP_2","DL719O2RYNC0Y217V0FVT1R77","17","E","24022022E202","2067375011")</f>
        <v>12700</v>
      </c>
      <c r="G1695" s="48">
        <f>[1]!BexGetData("DP_2","DL719O2RYNEBZX0HTMQQ0BY0J","17","E","24022022E202","2067375011")</f>
        <v>12700</v>
      </c>
      <c r="H1695" s="48">
        <f>[1]!BexGetData("DP_2","DL719O2RYNGN1RZRS91K7M4TV","17","E","24022022E202","2067375011")</f>
        <v>7500</v>
      </c>
      <c r="I1695" s="48">
        <f>[1]!BexGetData("DP_2","DL719O2RYNIY3MZ1QVCEEWBN7","17","E","24022022E202","2067375011")</f>
        <v>0</v>
      </c>
    </row>
    <row r="1696" spans="1:9" x14ac:dyDescent="0.2">
      <c r="A1696" s="46" t="s">
        <v>32</v>
      </c>
      <c r="B1696" s="46" t="s">
        <v>32</v>
      </c>
      <c r="C1696" s="46" t="s">
        <v>32</v>
      </c>
      <c r="D1696" s="46" t="s">
        <v>32</v>
      </c>
      <c r="E1696" s="46" t="s">
        <v>32</v>
      </c>
      <c r="F1696" s="47">
        <f>[1]!BexGetData("DP_2","DL719O2RYNC0Y217V0FVT1R77","17","E","24022022E202","2067382011")</f>
        <v>251911.3</v>
      </c>
      <c r="G1696" s="48">
        <f>[1]!BexGetData("DP_2","DL719O2RYNEBZX0HTMQQ0BY0J","17","E","24022022E202","2067382011")</f>
        <v>251911.3</v>
      </c>
      <c r="H1696" s="48">
        <f>[1]!BexGetData("DP_2","DL719O2RYNGN1RZRS91K7M4TV","17","E","24022022E202","2067382011")</f>
        <v>251062.25</v>
      </c>
      <c r="I1696" s="48">
        <f>[1]!BexGetData("DP_2","DL719O2RYNIY3MZ1QVCEEWBN7","17","E","24022022E202","2067382011")</f>
        <v>0</v>
      </c>
    </row>
    <row r="1697" spans="1:9" x14ac:dyDescent="0.2">
      <c r="A1697" s="46" t="s">
        <v>32</v>
      </c>
      <c r="B1697" s="46" t="s">
        <v>32</v>
      </c>
      <c r="C1697" s="46" t="s">
        <v>32</v>
      </c>
      <c r="D1697" s="46" t="s">
        <v>32</v>
      </c>
      <c r="E1697" s="46" t="s">
        <v>32</v>
      </c>
      <c r="F1697" s="47">
        <f>[1]!BexGetData("DP_2","DL719O2RYNC0Y217V0FVT1R77","17","E","24022022E202","2067382021")</f>
        <v>7622</v>
      </c>
      <c r="G1697" s="48">
        <f>[1]!BexGetData("DP_2","DL719O2RYNEBZX0HTMQQ0BY0J","17","E","24022022E202","2067382021")</f>
        <v>7622</v>
      </c>
      <c r="H1697" s="48">
        <f>[1]!BexGetData("DP_2","DL719O2RYNGN1RZRS91K7M4TV","17","E","24022022E202","2067382021")</f>
        <v>7622</v>
      </c>
      <c r="I1697" s="48">
        <f>[1]!BexGetData("DP_2","DL719O2RYNIY3MZ1QVCEEWBN7","17","E","24022022E202","2067382021")</f>
        <v>0</v>
      </c>
    </row>
    <row r="1698" spans="1:9" x14ac:dyDescent="0.2">
      <c r="A1698" s="46" t="s">
        <v>32</v>
      </c>
      <c r="B1698" s="46" t="s">
        <v>32</v>
      </c>
      <c r="C1698" s="46" t="s">
        <v>32</v>
      </c>
      <c r="D1698" s="46" t="s">
        <v>32</v>
      </c>
      <c r="E1698" s="46" t="s">
        <v>32</v>
      </c>
      <c r="F1698" s="47">
        <f>[1]!BexGetData("DP_2","DL719O2RYNC0Y217V0FVT1R77","17","E","24022022E202","2067399031")</f>
        <v>591.6</v>
      </c>
      <c r="G1698" s="48">
        <f>[1]!BexGetData("DP_2","DL719O2RYNEBZX0HTMQQ0BY0J","17","E","24022022E202","2067399031")</f>
        <v>591.6</v>
      </c>
      <c r="H1698" s="48">
        <f>[1]!BexGetData("DP_2","DL719O2RYNGN1RZRS91K7M4TV","17","E","24022022E202","2067399031")</f>
        <v>591.6</v>
      </c>
      <c r="I1698" s="48">
        <f>[1]!BexGetData("DP_2","DL719O2RYNIY3MZ1QVCEEWBN7","17","E","24022022E202","2067399031")</f>
        <v>0</v>
      </c>
    </row>
    <row r="1699" spans="1:9" x14ac:dyDescent="0.2">
      <c r="A1699" s="46" t="s">
        <v>32</v>
      </c>
      <c r="B1699" s="46" t="s">
        <v>32</v>
      </c>
      <c r="C1699" s="46" t="s">
        <v>32</v>
      </c>
      <c r="D1699" s="46" t="s">
        <v>32</v>
      </c>
      <c r="E1699" s="46" t="s">
        <v>32</v>
      </c>
      <c r="F1699" s="47">
        <f>[1]!BexGetData("DP_2","DL719O2RYNC0Y217V0FVT1R77","17","E","24022022E202","2067443011")</f>
        <v>111360</v>
      </c>
      <c r="G1699" s="48">
        <f>[1]!BexGetData("DP_2","DL719O2RYNEBZX0HTMQQ0BY0J","17","E","24022022E202","2067443011")</f>
        <v>111360</v>
      </c>
      <c r="H1699" s="48">
        <f>[1]!BexGetData("DP_2","DL719O2RYNGN1RZRS91K7M4TV","17","E","24022022E202","2067443011")</f>
        <v>111360</v>
      </c>
      <c r="I1699" s="48">
        <f>[1]!BexGetData("DP_2","DL719O2RYNIY3MZ1QVCEEWBN7","17","E","24022022E202","2067443011")</f>
        <v>0</v>
      </c>
    </row>
    <row r="1700" spans="1:9" x14ac:dyDescent="0.2">
      <c r="A1700" s="46" t="s">
        <v>32</v>
      </c>
      <c r="B1700" s="46" t="s">
        <v>32</v>
      </c>
      <c r="C1700" s="46" t="s">
        <v>122</v>
      </c>
      <c r="D1700" s="46" t="s">
        <v>122</v>
      </c>
      <c r="E1700" s="46" t="s">
        <v>32</v>
      </c>
      <c r="F1700" s="47">
        <f>[1]!BexGetData("DP_2","DL719O2RYNC0Y217V0FVT1R77","17","E","24042042E203","2067113011")</f>
        <v>130083.66</v>
      </c>
      <c r="G1700" s="48">
        <f>[1]!BexGetData("DP_2","DL719O2RYNEBZX0HTMQQ0BY0J","17","E","24042042E203","2067113011")</f>
        <v>130083.66</v>
      </c>
      <c r="H1700" s="48">
        <f>[1]!BexGetData("DP_2","DL719O2RYNGN1RZRS91K7M4TV","17","E","24042042E203","2067113011")</f>
        <v>130083.66</v>
      </c>
      <c r="I1700" s="48">
        <f>[1]!BexGetData("DP_2","DL719O2RYNIY3MZ1QVCEEWBN7","17","E","24042042E203","2067113011")</f>
        <v>0</v>
      </c>
    </row>
    <row r="1701" spans="1:9" x14ac:dyDescent="0.2">
      <c r="A1701" s="46" t="s">
        <v>32</v>
      </c>
      <c r="B1701" s="46" t="s">
        <v>32</v>
      </c>
      <c r="C1701" s="46" t="s">
        <v>32</v>
      </c>
      <c r="D1701" s="46" t="s">
        <v>32</v>
      </c>
      <c r="E1701" s="46" t="s">
        <v>32</v>
      </c>
      <c r="F1701" s="47">
        <f>[1]!BexGetData("DP_2","DL719O2RYNC0Y217V0FVT1R77","17","E","24042042E203","2067113021")</f>
        <v>2074601.04</v>
      </c>
      <c r="G1701" s="48">
        <f>[1]!BexGetData("DP_2","DL719O2RYNEBZX0HTMQQ0BY0J","17","E","24042042E203","2067113021")</f>
        <v>2074601.04</v>
      </c>
      <c r="H1701" s="48">
        <f>[1]!BexGetData("DP_2","DL719O2RYNGN1RZRS91K7M4TV","17","E","24042042E203","2067113021")</f>
        <v>2074601.04</v>
      </c>
      <c r="I1701" s="48">
        <f>[1]!BexGetData("DP_2","DL719O2RYNIY3MZ1QVCEEWBN7","17","E","24042042E203","2067113021")</f>
        <v>1.0000000000000001E-9</v>
      </c>
    </row>
    <row r="1702" spans="1:9" x14ac:dyDescent="0.2">
      <c r="A1702" s="46" t="s">
        <v>32</v>
      </c>
      <c r="B1702" s="46" t="s">
        <v>32</v>
      </c>
      <c r="C1702" s="46" t="s">
        <v>32</v>
      </c>
      <c r="D1702" s="46" t="s">
        <v>32</v>
      </c>
      <c r="E1702" s="46" t="s">
        <v>32</v>
      </c>
      <c r="F1702" s="47">
        <f>[1]!BexGetData("DP_2","DL719O2RYNC0Y217V0FVT1R77","17","E","24042042E203","2067121011")</f>
        <v>892368.48</v>
      </c>
      <c r="G1702" s="48">
        <f>[1]!BexGetData("DP_2","DL719O2RYNEBZX0HTMQQ0BY0J","17","E","24042042E203","2067121011")</f>
        <v>892368.48</v>
      </c>
      <c r="H1702" s="48">
        <f>[1]!BexGetData("DP_2","DL719O2RYNGN1RZRS91K7M4TV","17","E","24042042E203","2067121011")</f>
        <v>827220.5</v>
      </c>
      <c r="I1702" s="48">
        <f>[1]!BexGetData("DP_2","DL719O2RYNIY3MZ1QVCEEWBN7","17","E","24042042E203","2067121011")</f>
        <v>0</v>
      </c>
    </row>
    <row r="1703" spans="1:9" x14ac:dyDescent="0.2">
      <c r="A1703" s="46" t="s">
        <v>32</v>
      </c>
      <c r="B1703" s="46" t="s">
        <v>32</v>
      </c>
      <c r="C1703" s="46" t="s">
        <v>32</v>
      </c>
      <c r="D1703" s="46" t="s">
        <v>32</v>
      </c>
      <c r="E1703" s="46" t="s">
        <v>32</v>
      </c>
      <c r="F1703" s="47">
        <f>[1]!BexGetData("DP_2","DL719O2RYNC0Y217V0FVT1R77","17","E","24042042E203","2067122011")</f>
        <v>289580.2</v>
      </c>
      <c r="G1703" s="48">
        <f>[1]!BexGetData("DP_2","DL719O2RYNEBZX0HTMQQ0BY0J","17","E","24042042E203","2067122011")</f>
        <v>289580.2</v>
      </c>
      <c r="H1703" s="48">
        <f>[1]!BexGetData("DP_2","DL719O2RYNGN1RZRS91K7M4TV","17","E","24042042E203","2067122011")</f>
        <v>289580.2</v>
      </c>
      <c r="I1703" s="48">
        <f>[1]!BexGetData("DP_2","DL719O2RYNIY3MZ1QVCEEWBN7","17","E","24042042E203","2067122011")</f>
        <v>0</v>
      </c>
    </row>
    <row r="1704" spans="1:9" x14ac:dyDescent="0.2">
      <c r="A1704" s="46" t="s">
        <v>32</v>
      </c>
      <c r="B1704" s="46" t="s">
        <v>32</v>
      </c>
      <c r="C1704" s="46" t="s">
        <v>32</v>
      </c>
      <c r="D1704" s="46" t="s">
        <v>32</v>
      </c>
      <c r="E1704" s="46" t="s">
        <v>32</v>
      </c>
      <c r="F1704" s="47">
        <f>[1]!BexGetData("DP_2","DL719O2RYNC0Y217V0FVT1R77","17","E","24042042E203","2067131011")</f>
        <v>23370.61</v>
      </c>
      <c r="G1704" s="48">
        <f>[1]!BexGetData("DP_2","DL719O2RYNEBZX0HTMQQ0BY0J","17","E","24042042E203","2067131011")</f>
        <v>23370.61</v>
      </c>
      <c r="H1704" s="48">
        <f>[1]!BexGetData("DP_2","DL719O2RYNGN1RZRS91K7M4TV","17","E","24042042E203","2067131011")</f>
        <v>23370.61</v>
      </c>
      <c r="I1704" s="48">
        <f>[1]!BexGetData("DP_2","DL719O2RYNIY3MZ1QVCEEWBN7","17","E","24042042E203","2067131011")</f>
        <v>0</v>
      </c>
    </row>
    <row r="1705" spans="1:9" x14ac:dyDescent="0.2">
      <c r="A1705" s="46" t="s">
        <v>32</v>
      </c>
      <c r="B1705" s="46" t="s">
        <v>32</v>
      </c>
      <c r="C1705" s="46" t="s">
        <v>32</v>
      </c>
      <c r="D1705" s="46" t="s">
        <v>32</v>
      </c>
      <c r="E1705" s="46" t="s">
        <v>32</v>
      </c>
      <c r="F1705" s="47">
        <f>[1]!BexGetData("DP_2","DL719O2RYNC0Y217V0FVT1R77","17","E","24042042E203","2067131021")</f>
        <v>53607.32</v>
      </c>
      <c r="G1705" s="48">
        <f>[1]!BexGetData("DP_2","DL719O2RYNEBZX0HTMQQ0BY0J","17","E","24042042E203","2067131021")</f>
        <v>53607.32</v>
      </c>
      <c r="H1705" s="48">
        <f>[1]!BexGetData("DP_2","DL719O2RYNGN1RZRS91K7M4TV","17","E","24042042E203","2067131021")</f>
        <v>53607.32</v>
      </c>
      <c r="I1705" s="48">
        <f>[1]!BexGetData("DP_2","DL719O2RYNIY3MZ1QVCEEWBN7","17","E","24042042E203","2067131021")</f>
        <v>0</v>
      </c>
    </row>
    <row r="1706" spans="1:9" x14ac:dyDescent="0.2">
      <c r="A1706" s="46" t="s">
        <v>32</v>
      </c>
      <c r="B1706" s="46" t="s">
        <v>32</v>
      </c>
      <c r="C1706" s="46" t="s">
        <v>32</v>
      </c>
      <c r="D1706" s="46" t="s">
        <v>32</v>
      </c>
      <c r="E1706" s="46" t="s">
        <v>32</v>
      </c>
      <c r="F1706" s="47">
        <f>[1]!BexGetData("DP_2","DL719O2RYNC0Y217V0FVT1R77","17","E","24042042E203","2067132011")</f>
        <v>73288.289999999994</v>
      </c>
      <c r="G1706" s="48">
        <f>[1]!BexGetData("DP_2","DL719O2RYNEBZX0HTMQQ0BY0J","17","E","24042042E203","2067132011")</f>
        <v>73288.289999999994</v>
      </c>
      <c r="H1706" s="48">
        <f>[1]!BexGetData("DP_2","DL719O2RYNGN1RZRS91K7M4TV","17","E","24042042E203","2067132011")</f>
        <v>73288.289999999994</v>
      </c>
      <c r="I1706" s="48">
        <f>[1]!BexGetData("DP_2","DL719O2RYNIY3MZ1QVCEEWBN7","17","E","24042042E203","2067132011")</f>
        <v>0</v>
      </c>
    </row>
    <row r="1707" spans="1:9" x14ac:dyDescent="0.2">
      <c r="A1707" s="46" t="s">
        <v>32</v>
      </c>
      <c r="B1707" s="46" t="s">
        <v>32</v>
      </c>
      <c r="C1707" s="46" t="s">
        <v>32</v>
      </c>
      <c r="D1707" s="46" t="s">
        <v>32</v>
      </c>
      <c r="E1707" s="46" t="s">
        <v>32</v>
      </c>
      <c r="F1707" s="47">
        <f>[1]!BexGetData("DP_2","DL719O2RYNC0Y217V0FVT1R77","17","E","24042042E203","2067132021")</f>
        <v>457854.95</v>
      </c>
      <c r="G1707" s="48">
        <f>[1]!BexGetData("DP_2","DL719O2RYNEBZX0HTMQQ0BY0J","17","E","24042042E203","2067132021")</f>
        <v>457854.95</v>
      </c>
      <c r="H1707" s="48">
        <f>[1]!BexGetData("DP_2","DL719O2RYNGN1RZRS91K7M4TV","17","E","24042042E203","2067132021")</f>
        <v>457854.95</v>
      </c>
      <c r="I1707" s="48">
        <f>[1]!BexGetData("DP_2","DL719O2RYNIY3MZ1QVCEEWBN7","17","E","24042042E203","2067132021")</f>
        <v>0</v>
      </c>
    </row>
    <row r="1708" spans="1:9" x14ac:dyDescent="0.2">
      <c r="A1708" s="46" t="s">
        <v>32</v>
      </c>
      <c r="B1708" s="46" t="s">
        <v>32</v>
      </c>
      <c r="C1708" s="46" t="s">
        <v>32</v>
      </c>
      <c r="D1708" s="46" t="s">
        <v>32</v>
      </c>
      <c r="E1708" s="46" t="s">
        <v>32</v>
      </c>
      <c r="F1708" s="47">
        <f>[1]!BexGetData("DP_2","DL719O2RYNC0Y217V0FVT1R77","17","E","24042042E203","2067134011")</f>
        <v>2615502.64</v>
      </c>
      <c r="G1708" s="48">
        <f>[1]!BexGetData("DP_2","DL719O2RYNEBZX0HTMQQ0BY0J","17","E","24042042E203","2067134011")</f>
        <v>2615502.64</v>
      </c>
      <c r="H1708" s="48">
        <f>[1]!BexGetData("DP_2","DL719O2RYNGN1RZRS91K7M4TV","17","E","24042042E203","2067134011")</f>
        <v>2637798.2400000002</v>
      </c>
      <c r="I1708" s="48">
        <f>[1]!BexGetData("DP_2","DL719O2RYNIY3MZ1QVCEEWBN7","17","E","24042042E203","2067134011")</f>
        <v>0</v>
      </c>
    </row>
    <row r="1709" spans="1:9" x14ac:dyDescent="0.2">
      <c r="A1709" s="46" t="s">
        <v>32</v>
      </c>
      <c r="B1709" s="46" t="s">
        <v>32</v>
      </c>
      <c r="C1709" s="46" t="s">
        <v>32</v>
      </c>
      <c r="D1709" s="46" t="s">
        <v>32</v>
      </c>
      <c r="E1709" s="46" t="s">
        <v>32</v>
      </c>
      <c r="F1709" s="47">
        <f>[1]!BexGetData("DP_2","DL719O2RYNC0Y217V0FVT1R77","17","E","24042042E203","2067134021")</f>
        <v>2478660.36</v>
      </c>
      <c r="G1709" s="48">
        <f>[1]!BexGetData("DP_2","DL719O2RYNEBZX0HTMQQ0BY0J","17","E","24042042E203","2067134021")</f>
        <v>2478660.36</v>
      </c>
      <c r="H1709" s="48">
        <f>[1]!BexGetData("DP_2","DL719O2RYNGN1RZRS91K7M4TV","17","E","24042042E203","2067134021")</f>
        <v>2478660.36</v>
      </c>
      <c r="I1709" s="48">
        <f>[1]!BexGetData("DP_2","DL719O2RYNIY3MZ1QVCEEWBN7","17","E","24042042E203","2067134021")</f>
        <v>0</v>
      </c>
    </row>
    <row r="1710" spans="1:9" x14ac:dyDescent="0.2">
      <c r="A1710" s="46" t="s">
        <v>32</v>
      </c>
      <c r="B1710" s="46" t="s">
        <v>32</v>
      </c>
      <c r="C1710" s="46" t="s">
        <v>32</v>
      </c>
      <c r="D1710" s="46" t="s">
        <v>32</v>
      </c>
      <c r="E1710" s="46" t="s">
        <v>32</v>
      </c>
      <c r="F1710" s="47">
        <f>[1]!BexGetData("DP_2","DL719O2RYNC0Y217V0FVT1R77","17","E","24042042E203","2067141011")</f>
        <v>456332.65</v>
      </c>
      <c r="G1710" s="48">
        <f>[1]!BexGetData("DP_2","DL719O2RYNEBZX0HTMQQ0BY0J","17","E","24042042E203","2067141011")</f>
        <v>456332.65</v>
      </c>
      <c r="H1710" s="48">
        <f>[1]!BexGetData("DP_2","DL719O2RYNGN1RZRS91K7M4TV","17","E","24042042E203","2067141011")</f>
        <v>456332.65</v>
      </c>
      <c r="I1710" s="48">
        <f>[1]!BexGetData("DP_2","DL719O2RYNIY3MZ1QVCEEWBN7","17","E","24042042E203","2067141011")</f>
        <v>0</v>
      </c>
    </row>
    <row r="1711" spans="1:9" x14ac:dyDescent="0.2">
      <c r="A1711" s="46" t="s">
        <v>32</v>
      </c>
      <c r="B1711" s="46" t="s">
        <v>32</v>
      </c>
      <c r="C1711" s="46" t="s">
        <v>32</v>
      </c>
      <c r="D1711" s="46" t="s">
        <v>32</v>
      </c>
      <c r="E1711" s="46" t="s">
        <v>32</v>
      </c>
      <c r="F1711" s="47">
        <f>[1]!BexGetData("DP_2","DL719O2RYNC0Y217V0FVT1R77","17","E","24042042E203","2067141021")</f>
        <v>143821.01</v>
      </c>
      <c r="G1711" s="48">
        <f>[1]!BexGetData("DP_2","DL719O2RYNEBZX0HTMQQ0BY0J","17","E","24042042E203","2067141021")</f>
        <v>143821.01</v>
      </c>
      <c r="H1711" s="48">
        <f>[1]!BexGetData("DP_2","DL719O2RYNGN1RZRS91K7M4TV","17","E","24042042E203","2067141021")</f>
        <v>143821.01</v>
      </c>
      <c r="I1711" s="48">
        <f>[1]!BexGetData("DP_2","DL719O2RYNIY3MZ1QVCEEWBN7","17","E","24042042E203","2067141021")</f>
        <v>0</v>
      </c>
    </row>
    <row r="1712" spans="1:9" x14ac:dyDescent="0.2">
      <c r="A1712" s="46" t="s">
        <v>32</v>
      </c>
      <c r="B1712" s="46" t="s">
        <v>32</v>
      </c>
      <c r="C1712" s="46" t="s">
        <v>32</v>
      </c>
      <c r="D1712" s="46" t="s">
        <v>32</v>
      </c>
      <c r="E1712" s="46" t="s">
        <v>32</v>
      </c>
      <c r="F1712" s="47">
        <f>[1]!BexGetData("DP_2","DL719O2RYNC0Y217V0FVT1R77","17","E","24042042E203","2067143011")</f>
        <v>67606.47</v>
      </c>
      <c r="G1712" s="48">
        <f>[1]!BexGetData("DP_2","DL719O2RYNEBZX0HTMQQ0BY0J","17","E","24042042E203","2067143011")</f>
        <v>67606.47</v>
      </c>
      <c r="H1712" s="48">
        <f>[1]!BexGetData("DP_2","DL719O2RYNGN1RZRS91K7M4TV","17","E","24042042E203","2067143011")</f>
        <v>67606.47</v>
      </c>
      <c r="I1712" s="48">
        <f>[1]!BexGetData("DP_2","DL719O2RYNIY3MZ1QVCEEWBN7","17","E","24042042E203","2067143011")</f>
        <v>0</v>
      </c>
    </row>
    <row r="1713" spans="1:9" x14ac:dyDescent="0.2">
      <c r="A1713" s="46" t="s">
        <v>32</v>
      </c>
      <c r="B1713" s="46" t="s">
        <v>32</v>
      </c>
      <c r="C1713" s="46" t="s">
        <v>32</v>
      </c>
      <c r="D1713" s="46" t="s">
        <v>32</v>
      </c>
      <c r="E1713" s="46" t="s">
        <v>32</v>
      </c>
      <c r="F1713" s="47">
        <f>[1]!BexGetData("DP_2","DL719O2RYNC0Y217V0FVT1R77","17","E","24042042E203","2067151011")</f>
        <v>264970.68</v>
      </c>
      <c r="G1713" s="48">
        <f>[1]!BexGetData("DP_2","DL719O2RYNEBZX0HTMQQ0BY0J","17","E","24042042E203","2067151011")</f>
        <v>264970.68</v>
      </c>
      <c r="H1713" s="48">
        <f>[1]!BexGetData("DP_2","DL719O2RYNGN1RZRS91K7M4TV","17","E","24042042E203","2067151011")</f>
        <v>264970.68</v>
      </c>
      <c r="I1713" s="48">
        <f>[1]!BexGetData("DP_2","DL719O2RYNIY3MZ1QVCEEWBN7","17","E","24042042E203","2067151011")</f>
        <v>0</v>
      </c>
    </row>
    <row r="1714" spans="1:9" x14ac:dyDescent="0.2">
      <c r="A1714" s="46" t="s">
        <v>32</v>
      </c>
      <c r="B1714" s="46" t="s">
        <v>32</v>
      </c>
      <c r="C1714" s="46" t="s">
        <v>32</v>
      </c>
      <c r="D1714" s="46" t="s">
        <v>32</v>
      </c>
      <c r="E1714" s="46" t="s">
        <v>32</v>
      </c>
      <c r="F1714" s="47">
        <f>[1]!BexGetData("DP_2","DL719O2RYNC0Y217V0FVT1R77","17","E","24042042E203","2067154011")</f>
        <v>636048.14</v>
      </c>
      <c r="G1714" s="48">
        <f>[1]!BexGetData("DP_2","DL719O2RYNEBZX0HTMQQ0BY0J","17","E","24042042E203","2067154011")</f>
        <v>636048.14</v>
      </c>
      <c r="H1714" s="48">
        <f>[1]!BexGetData("DP_2","DL719O2RYNGN1RZRS91K7M4TV","17","E","24042042E203","2067154011")</f>
        <v>636048.14</v>
      </c>
      <c r="I1714" s="48">
        <f>[1]!BexGetData("DP_2","DL719O2RYNIY3MZ1QVCEEWBN7","17","E","24042042E203","2067154011")</f>
        <v>0</v>
      </c>
    </row>
    <row r="1715" spans="1:9" x14ac:dyDescent="0.2">
      <c r="A1715" s="46" t="s">
        <v>32</v>
      </c>
      <c r="B1715" s="46" t="s">
        <v>32</v>
      </c>
      <c r="C1715" s="46" t="s">
        <v>32</v>
      </c>
      <c r="D1715" s="46" t="s">
        <v>32</v>
      </c>
      <c r="E1715" s="46" t="s">
        <v>32</v>
      </c>
      <c r="F1715" s="47">
        <f>[1]!BexGetData("DP_2","DL719O2RYNC0Y217V0FVT1R77","17","E","24042042E203","2067211011")</f>
        <v>86568.09</v>
      </c>
      <c r="G1715" s="48">
        <f>[1]!BexGetData("DP_2","DL719O2RYNEBZX0HTMQQ0BY0J","17","E","24042042E203","2067211011")</f>
        <v>86568.09</v>
      </c>
      <c r="H1715" s="48">
        <f>[1]!BexGetData("DP_2","DL719O2RYNGN1RZRS91K7M4TV","17","E","24042042E203","2067211011")</f>
        <v>84740.51</v>
      </c>
      <c r="I1715" s="48">
        <f>[1]!BexGetData("DP_2","DL719O2RYNIY3MZ1QVCEEWBN7","17","E","24042042E203","2067211011")</f>
        <v>0</v>
      </c>
    </row>
    <row r="1716" spans="1:9" x14ac:dyDescent="0.2">
      <c r="A1716" s="46" t="s">
        <v>32</v>
      </c>
      <c r="B1716" s="46" t="s">
        <v>32</v>
      </c>
      <c r="C1716" s="46" t="s">
        <v>32</v>
      </c>
      <c r="D1716" s="46" t="s">
        <v>32</v>
      </c>
      <c r="E1716" s="46" t="s">
        <v>32</v>
      </c>
      <c r="F1716" s="47">
        <f>[1]!BexGetData("DP_2","DL719O2RYNC0Y217V0FVT1R77","17","E","24042042E203","2067211021")</f>
        <v>17121.810000000001</v>
      </c>
      <c r="G1716" s="48">
        <f>[1]!BexGetData("DP_2","DL719O2RYNEBZX0HTMQQ0BY0J","17","E","24042042E203","2067211021")</f>
        <v>17121.810000000001</v>
      </c>
      <c r="H1716" s="48">
        <f>[1]!BexGetData("DP_2","DL719O2RYNGN1RZRS91K7M4TV","17","E","24042042E203","2067211021")</f>
        <v>17121.810000000001</v>
      </c>
      <c r="I1716" s="48">
        <f>[1]!BexGetData("DP_2","DL719O2RYNIY3MZ1QVCEEWBN7","17","E","24042042E203","2067211021")</f>
        <v>0</v>
      </c>
    </row>
    <row r="1717" spans="1:9" x14ac:dyDescent="0.2">
      <c r="A1717" s="46" t="s">
        <v>32</v>
      </c>
      <c r="B1717" s="46" t="s">
        <v>32</v>
      </c>
      <c r="C1717" s="46" t="s">
        <v>32</v>
      </c>
      <c r="D1717" s="46" t="s">
        <v>32</v>
      </c>
      <c r="E1717" s="46" t="s">
        <v>32</v>
      </c>
      <c r="F1717" s="47">
        <f>[1]!BexGetData("DP_2","DL719O2RYNC0Y217V0FVT1R77","17","E","24042042E203","2067214011")</f>
        <v>90290.73</v>
      </c>
      <c r="G1717" s="48">
        <f>[1]!BexGetData("DP_2","DL719O2RYNEBZX0HTMQQ0BY0J","17","E","24042042E203","2067214011")</f>
        <v>90290.73</v>
      </c>
      <c r="H1717" s="48">
        <f>[1]!BexGetData("DP_2","DL719O2RYNGN1RZRS91K7M4TV","17","E","24042042E203","2067214011")</f>
        <v>90290.71</v>
      </c>
      <c r="I1717" s="48">
        <f>[1]!BexGetData("DP_2","DL719O2RYNIY3MZ1QVCEEWBN7","17","E","24042042E203","2067214011")</f>
        <v>0</v>
      </c>
    </row>
    <row r="1718" spans="1:9" x14ac:dyDescent="0.2">
      <c r="A1718" s="46" t="s">
        <v>32</v>
      </c>
      <c r="B1718" s="46" t="s">
        <v>32</v>
      </c>
      <c r="C1718" s="46" t="s">
        <v>32</v>
      </c>
      <c r="D1718" s="46" t="s">
        <v>32</v>
      </c>
      <c r="E1718" s="46" t="s">
        <v>32</v>
      </c>
      <c r="F1718" s="47">
        <f>[1]!BexGetData("DP_2","DL719O2RYNC0Y217V0FVT1R77","17","E","24042042E203","2067214021")</f>
        <v>1199</v>
      </c>
      <c r="G1718" s="48">
        <f>[1]!BexGetData("DP_2","DL719O2RYNEBZX0HTMQQ0BY0J","17","E","24042042E203","2067214021")</f>
        <v>1199</v>
      </c>
      <c r="H1718" s="48">
        <f>[1]!BexGetData("DP_2","DL719O2RYNGN1RZRS91K7M4TV","17","E","24042042E203","2067214021")</f>
        <v>1198.93</v>
      </c>
      <c r="I1718" s="48">
        <f>[1]!BexGetData("DP_2","DL719O2RYNIY3MZ1QVCEEWBN7","17","E","24042042E203","2067214021")</f>
        <v>0</v>
      </c>
    </row>
    <row r="1719" spans="1:9" x14ac:dyDescent="0.2">
      <c r="A1719" s="46" t="s">
        <v>32</v>
      </c>
      <c r="B1719" s="46" t="s">
        <v>32</v>
      </c>
      <c r="C1719" s="46" t="s">
        <v>32</v>
      </c>
      <c r="D1719" s="46" t="s">
        <v>32</v>
      </c>
      <c r="E1719" s="46" t="s">
        <v>32</v>
      </c>
      <c r="F1719" s="47">
        <f>[1]!BexGetData("DP_2","DL719O2RYNC0Y217V0FVT1R77","17","E","24042042E203","2067215021")</f>
        <v>0</v>
      </c>
      <c r="G1719" s="48">
        <f>[1]!BexGetData("DP_2","DL719O2RYNEBZX0HTMQQ0BY0J","17","E","24042042E203","2067215021")</f>
        <v>0</v>
      </c>
      <c r="H1719" s="48">
        <f>[1]!BexGetData("DP_2","DL719O2RYNGN1RZRS91K7M4TV","17","E","24042042E203","2067215021")</f>
        <v>0</v>
      </c>
      <c r="I1719" s="48">
        <f>[1]!BexGetData("DP_2","DL719O2RYNIY3MZ1QVCEEWBN7","17","E","24042042E203","2067215021")</f>
        <v>0</v>
      </c>
    </row>
    <row r="1720" spans="1:9" x14ac:dyDescent="0.2">
      <c r="A1720" s="46" t="s">
        <v>32</v>
      </c>
      <c r="B1720" s="46" t="s">
        <v>32</v>
      </c>
      <c r="C1720" s="46" t="s">
        <v>32</v>
      </c>
      <c r="D1720" s="46" t="s">
        <v>32</v>
      </c>
      <c r="E1720" s="46" t="s">
        <v>32</v>
      </c>
      <c r="F1720" s="47">
        <f>[1]!BexGetData("DP_2","DL719O2RYNC0Y217V0FVT1R77","17","E","24042042E203","2067216011")</f>
        <v>108723.84</v>
      </c>
      <c r="G1720" s="48">
        <f>[1]!BexGetData("DP_2","DL719O2RYNEBZX0HTMQQ0BY0J","17","E","24042042E203","2067216011")</f>
        <v>108723.84</v>
      </c>
      <c r="H1720" s="48">
        <f>[1]!BexGetData("DP_2","DL719O2RYNGN1RZRS91K7M4TV","17","E","24042042E203","2067216011")</f>
        <v>108723.84</v>
      </c>
      <c r="I1720" s="48">
        <f>[1]!BexGetData("DP_2","DL719O2RYNIY3MZ1QVCEEWBN7","17","E","24042042E203","2067216011")</f>
        <v>0</v>
      </c>
    </row>
    <row r="1721" spans="1:9" x14ac:dyDescent="0.2">
      <c r="A1721" s="46" t="s">
        <v>32</v>
      </c>
      <c r="B1721" s="46" t="s">
        <v>32</v>
      </c>
      <c r="C1721" s="46" t="s">
        <v>32</v>
      </c>
      <c r="D1721" s="46" t="s">
        <v>32</v>
      </c>
      <c r="E1721" s="46" t="s">
        <v>32</v>
      </c>
      <c r="F1721" s="47">
        <f>[1]!BexGetData("DP_2","DL719O2RYNC0Y217V0FVT1R77","17","E","24042042E203","2067221011")</f>
        <v>45510.5</v>
      </c>
      <c r="G1721" s="48">
        <f>[1]!BexGetData("DP_2","DL719O2RYNEBZX0HTMQQ0BY0J","17","E","24042042E203","2067221011")</f>
        <v>45510.5</v>
      </c>
      <c r="H1721" s="48">
        <f>[1]!BexGetData("DP_2","DL719O2RYNGN1RZRS91K7M4TV","17","E","24042042E203","2067221011")</f>
        <v>45510.48</v>
      </c>
      <c r="I1721" s="48">
        <f>[1]!BexGetData("DP_2","DL719O2RYNIY3MZ1QVCEEWBN7","17","E","24042042E203","2067221011")</f>
        <v>0</v>
      </c>
    </row>
    <row r="1722" spans="1:9" x14ac:dyDescent="0.2">
      <c r="A1722" s="46" t="s">
        <v>32</v>
      </c>
      <c r="B1722" s="46" t="s">
        <v>32</v>
      </c>
      <c r="C1722" s="46" t="s">
        <v>32</v>
      </c>
      <c r="D1722" s="46" t="s">
        <v>32</v>
      </c>
      <c r="E1722" s="46" t="s">
        <v>32</v>
      </c>
      <c r="F1722" s="47">
        <f>[1]!BexGetData("DP_2","DL719O2RYNC0Y217V0FVT1R77","17","E","24042042E203","2067221021")</f>
        <v>25451.98</v>
      </c>
      <c r="G1722" s="48">
        <f>[1]!BexGetData("DP_2","DL719O2RYNEBZX0HTMQQ0BY0J","17","E","24042042E203","2067221021")</f>
        <v>25451.98</v>
      </c>
      <c r="H1722" s="48">
        <f>[1]!BexGetData("DP_2","DL719O2RYNGN1RZRS91K7M4TV","17","E","24042042E203","2067221021")</f>
        <v>25451.94</v>
      </c>
      <c r="I1722" s="48">
        <f>[1]!BexGetData("DP_2","DL719O2RYNIY3MZ1QVCEEWBN7","17","E","24042042E203","2067221021")</f>
        <v>0</v>
      </c>
    </row>
    <row r="1723" spans="1:9" x14ac:dyDescent="0.2">
      <c r="A1723" s="46" t="s">
        <v>32</v>
      </c>
      <c r="B1723" s="46" t="s">
        <v>32</v>
      </c>
      <c r="C1723" s="46" t="s">
        <v>32</v>
      </c>
      <c r="D1723" s="46" t="s">
        <v>32</v>
      </c>
      <c r="E1723" s="46" t="s">
        <v>32</v>
      </c>
      <c r="F1723" s="47">
        <f>[1]!BexGetData("DP_2","DL719O2RYNC0Y217V0FVT1R77","17","E","24042042E203","2067223011")</f>
        <v>646.91</v>
      </c>
      <c r="G1723" s="48">
        <f>[1]!BexGetData("DP_2","DL719O2RYNEBZX0HTMQQ0BY0J","17","E","24042042E203","2067223011")</f>
        <v>646.91</v>
      </c>
      <c r="H1723" s="48">
        <f>[1]!BexGetData("DP_2","DL719O2RYNGN1RZRS91K7M4TV","17","E","24042042E203","2067223011")</f>
        <v>646.91</v>
      </c>
      <c r="I1723" s="48">
        <f>[1]!BexGetData("DP_2","DL719O2RYNIY3MZ1QVCEEWBN7","17","E","24042042E203","2067223011")</f>
        <v>0</v>
      </c>
    </row>
    <row r="1724" spans="1:9" x14ac:dyDescent="0.2">
      <c r="A1724" s="46" t="s">
        <v>32</v>
      </c>
      <c r="B1724" s="46" t="s">
        <v>32</v>
      </c>
      <c r="C1724" s="46" t="s">
        <v>32</v>
      </c>
      <c r="D1724" s="46" t="s">
        <v>32</v>
      </c>
      <c r="E1724" s="46" t="s">
        <v>32</v>
      </c>
      <c r="F1724" s="47">
        <f>[1]!BexGetData("DP_2","DL719O2RYNC0Y217V0FVT1R77","17","E","24042042E203","2067246011")</f>
        <v>306.08999999999997</v>
      </c>
      <c r="G1724" s="48">
        <f>[1]!BexGetData("DP_2","DL719O2RYNEBZX0HTMQQ0BY0J","17","E","24042042E203","2067246011")</f>
        <v>306.08999999999997</v>
      </c>
      <c r="H1724" s="48">
        <f>[1]!BexGetData("DP_2","DL719O2RYNGN1RZRS91K7M4TV","17","E","24042042E203","2067246011")</f>
        <v>306.08999999999997</v>
      </c>
      <c r="I1724" s="48">
        <f>[1]!BexGetData("DP_2","DL719O2RYNIY3MZ1QVCEEWBN7","17","E","24042042E203","2067246011")</f>
        <v>0</v>
      </c>
    </row>
    <row r="1725" spans="1:9" x14ac:dyDescent="0.2">
      <c r="A1725" s="46" t="s">
        <v>32</v>
      </c>
      <c r="B1725" s="46" t="s">
        <v>32</v>
      </c>
      <c r="C1725" s="46" t="s">
        <v>32</v>
      </c>
      <c r="D1725" s="46" t="s">
        <v>32</v>
      </c>
      <c r="E1725" s="46" t="s">
        <v>32</v>
      </c>
      <c r="F1725" s="47">
        <f>[1]!BexGetData("DP_2","DL719O2RYNC0Y217V0FVT1R77","17","E","24042042E203","2067249011")</f>
        <v>91124.88</v>
      </c>
      <c r="G1725" s="48">
        <f>[1]!BexGetData("DP_2","DL719O2RYNEBZX0HTMQQ0BY0J","17","E","24042042E203","2067249011")</f>
        <v>91124.88</v>
      </c>
      <c r="H1725" s="48">
        <f>[1]!BexGetData("DP_2","DL719O2RYNGN1RZRS91K7M4TV","17","E","24042042E203","2067249011")</f>
        <v>91124.88</v>
      </c>
      <c r="I1725" s="48">
        <f>[1]!BexGetData("DP_2","DL719O2RYNIY3MZ1QVCEEWBN7","17","E","24042042E203","2067249011")</f>
        <v>0</v>
      </c>
    </row>
    <row r="1726" spans="1:9" x14ac:dyDescent="0.2">
      <c r="A1726" s="46" t="s">
        <v>32</v>
      </c>
      <c r="B1726" s="46" t="s">
        <v>32</v>
      </c>
      <c r="C1726" s="46" t="s">
        <v>32</v>
      </c>
      <c r="D1726" s="46" t="s">
        <v>32</v>
      </c>
      <c r="E1726" s="46" t="s">
        <v>32</v>
      </c>
      <c r="F1726" s="47">
        <f>[1]!BexGetData("DP_2","DL719O2RYNC0Y217V0FVT1R77","17","E","24042042E203","2067256011")</f>
        <v>0.39</v>
      </c>
      <c r="G1726" s="48">
        <f>[1]!BexGetData("DP_2","DL719O2RYNEBZX0HTMQQ0BY0J","17","E","24042042E203","2067256011")</f>
        <v>0.39</v>
      </c>
      <c r="H1726" s="48">
        <f>[1]!BexGetData("DP_2","DL719O2RYNGN1RZRS91K7M4TV","17","E","24042042E203","2067256011")</f>
        <v>0.39</v>
      </c>
      <c r="I1726" s="48">
        <f>[1]!BexGetData("DP_2","DL719O2RYNIY3MZ1QVCEEWBN7","17","E","24042042E203","2067256011")</f>
        <v>0</v>
      </c>
    </row>
    <row r="1727" spans="1:9" x14ac:dyDescent="0.2">
      <c r="A1727" s="46" t="s">
        <v>32</v>
      </c>
      <c r="B1727" s="46" t="s">
        <v>32</v>
      </c>
      <c r="C1727" s="46" t="s">
        <v>32</v>
      </c>
      <c r="D1727" s="46" t="s">
        <v>32</v>
      </c>
      <c r="E1727" s="46" t="s">
        <v>32</v>
      </c>
      <c r="F1727" s="47">
        <f>[1]!BexGetData("DP_2","DL719O2RYNC0Y217V0FVT1R77","17","E","24042042E203","2067291011")</f>
        <v>3267.86</v>
      </c>
      <c r="G1727" s="48">
        <f>[1]!BexGetData("DP_2","DL719O2RYNEBZX0HTMQQ0BY0J","17","E","24042042E203","2067291011")</f>
        <v>3267.86</v>
      </c>
      <c r="H1727" s="48">
        <f>[1]!BexGetData("DP_2","DL719O2RYNGN1RZRS91K7M4TV","17","E","24042042E203","2067291011")</f>
        <v>3267.86</v>
      </c>
      <c r="I1727" s="48">
        <f>[1]!BexGetData("DP_2","DL719O2RYNIY3MZ1QVCEEWBN7","17","E","24042042E203","2067291011")</f>
        <v>0</v>
      </c>
    </row>
    <row r="1728" spans="1:9" x14ac:dyDescent="0.2">
      <c r="A1728" s="46" t="s">
        <v>32</v>
      </c>
      <c r="B1728" s="46" t="s">
        <v>32</v>
      </c>
      <c r="C1728" s="46" t="s">
        <v>32</v>
      </c>
      <c r="D1728" s="46" t="s">
        <v>32</v>
      </c>
      <c r="E1728" s="46" t="s">
        <v>32</v>
      </c>
      <c r="F1728" s="47">
        <f>[1]!BexGetData("DP_2","DL719O2RYNC0Y217V0FVT1R77","17","E","24042042E203","2067314011")</f>
        <v>24315.759999999998</v>
      </c>
      <c r="G1728" s="48">
        <f>[1]!BexGetData("DP_2","DL719O2RYNEBZX0HTMQQ0BY0J","17","E","24042042E203","2067314011")</f>
        <v>24315.759999999998</v>
      </c>
      <c r="H1728" s="48">
        <f>[1]!BexGetData("DP_2","DL719O2RYNGN1RZRS91K7M4TV","17","E","24042042E203","2067314011")</f>
        <v>24315.759999999998</v>
      </c>
      <c r="I1728" s="48">
        <f>[1]!BexGetData("DP_2","DL719O2RYNIY3MZ1QVCEEWBN7","17","E","24042042E203","2067314011")</f>
        <v>0</v>
      </c>
    </row>
    <row r="1729" spans="1:9" x14ac:dyDescent="0.2">
      <c r="A1729" s="46" t="s">
        <v>32</v>
      </c>
      <c r="B1729" s="46" t="s">
        <v>32</v>
      </c>
      <c r="C1729" s="46" t="s">
        <v>32</v>
      </c>
      <c r="D1729" s="46" t="s">
        <v>32</v>
      </c>
      <c r="E1729" s="46" t="s">
        <v>32</v>
      </c>
      <c r="F1729" s="47">
        <f>[1]!BexGetData("DP_2","DL719O2RYNC0Y217V0FVT1R77","17","E","24042042E203","2067318011")</f>
        <v>193</v>
      </c>
      <c r="G1729" s="48">
        <f>[1]!BexGetData("DP_2","DL719O2RYNEBZX0HTMQQ0BY0J","17","E","24042042E203","2067318011")</f>
        <v>193</v>
      </c>
      <c r="H1729" s="48">
        <f>[1]!BexGetData("DP_2","DL719O2RYNGN1RZRS91K7M4TV","17","E","24042042E203","2067318011")</f>
        <v>193</v>
      </c>
      <c r="I1729" s="48">
        <f>[1]!BexGetData("DP_2","DL719O2RYNIY3MZ1QVCEEWBN7","17","E","24042042E203","2067318011")</f>
        <v>0</v>
      </c>
    </row>
    <row r="1730" spans="1:9" x14ac:dyDescent="0.2">
      <c r="A1730" s="46" t="s">
        <v>32</v>
      </c>
      <c r="B1730" s="46" t="s">
        <v>32</v>
      </c>
      <c r="C1730" s="46" t="s">
        <v>32</v>
      </c>
      <c r="D1730" s="46" t="s">
        <v>32</v>
      </c>
      <c r="E1730" s="46" t="s">
        <v>32</v>
      </c>
      <c r="F1730" s="47">
        <f>[1]!BexGetData("DP_2","DL719O2RYNC0Y217V0FVT1R77","17","E","24042042E203","2067322011")</f>
        <v>487200</v>
      </c>
      <c r="G1730" s="48">
        <f>[1]!BexGetData("DP_2","DL719O2RYNEBZX0HTMQQ0BY0J","17","E","24042042E203","2067322011")</f>
        <v>487200</v>
      </c>
      <c r="H1730" s="48">
        <f>[1]!BexGetData("DP_2","DL719O2RYNGN1RZRS91K7M4TV","17","E","24042042E203","2067322011")</f>
        <v>487200</v>
      </c>
      <c r="I1730" s="48">
        <f>[1]!BexGetData("DP_2","DL719O2RYNIY3MZ1QVCEEWBN7","17","E","24042042E203","2067322011")</f>
        <v>0</v>
      </c>
    </row>
    <row r="1731" spans="1:9" x14ac:dyDescent="0.2">
      <c r="A1731" s="46" t="s">
        <v>32</v>
      </c>
      <c r="B1731" s="46" t="s">
        <v>32</v>
      </c>
      <c r="C1731" s="46" t="s">
        <v>32</v>
      </c>
      <c r="D1731" s="46" t="s">
        <v>32</v>
      </c>
      <c r="E1731" s="46" t="s">
        <v>32</v>
      </c>
      <c r="F1731" s="47">
        <f>[1]!BexGetData("DP_2","DL719O2RYNC0Y217V0FVT1R77","17","E","24042042E203","2067329011")</f>
        <v>2772.4</v>
      </c>
      <c r="G1731" s="48">
        <f>[1]!BexGetData("DP_2","DL719O2RYNEBZX0HTMQQ0BY0J","17","E","24042042E203","2067329011")</f>
        <v>2772.4</v>
      </c>
      <c r="H1731" s="48">
        <f>[1]!BexGetData("DP_2","DL719O2RYNGN1RZRS91K7M4TV","17","E","24042042E203","2067329011")</f>
        <v>2772.4</v>
      </c>
      <c r="I1731" s="48">
        <f>[1]!BexGetData("DP_2","DL719O2RYNIY3MZ1QVCEEWBN7","17","E","24042042E203","2067329011")</f>
        <v>0</v>
      </c>
    </row>
    <row r="1732" spans="1:9" x14ac:dyDescent="0.2">
      <c r="A1732" s="46" t="s">
        <v>32</v>
      </c>
      <c r="B1732" s="46" t="s">
        <v>32</v>
      </c>
      <c r="C1732" s="46" t="s">
        <v>32</v>
      </c>
      <c r="D1732" s="46" t="s">
        <v>32</v>
      </c>
      <c r="E1732" s="46" t="s">
        <v>32</v>
      </c>
      <c r="F1732" s="47">
        <f>[1]!BexGetData("DP_2","DL719O2RYNC0Y217V0FVT1R77","17","E","24042042E203","2067334011")</f>
        <v>19100</v>
      </c>
      <c r="G1732" s="48">
        <f>[1]!BexGetData("DP_2","DL719O2RYNEBZX0HTMQQ0BY0J","17","E","24042042E203","2067334011")</f>
        <v>19100</v>
      </c>
      <c r="H1732" s="48">
        <f>[1]!BexGetData("DP_2","DL719O2RYNGN1RZRS91K7M4TV","17","E","24042042E203","2067334011")</f>
        <v>19100</v>
      </c>
      <c r="I1732" s="48">
        <f>[1]!BexGetData("DP_2","DL719O2RYNIY3MZ1QVCEEWBN7","17","E","24042042E203","2067334011")</f>
        <v>0</v>
      </c>
    </row>
    <row r="1733" spans="1:9" x14ac:dyDescent="0.2">
      <c r="A1733" s="46" t="s">
        <v>32</v>
      </c>
      <c r="B1733" s="46" t="s">
        <v>32</v>
      </c>
      <c r="C1733" s="46" t="s">
        <v>32</v>
      </c>
      <c r="D1733" s="46" t="s">
        <v>32</v>
      </c>
      <c r="E1733" s="46" t="s">
        <v>32</v>
      </c>
      <c r="F1733" s="47">
        <f>[1]!BexGetData("DP_2","DL719O2RYNC0Y217V0FVT1R77","17","E","24042042E203","2067335011")</f>
        <v>99760</v>
      </c>
      <c r="G1733" s="48">
        <f>[1]!BexGetData("DP_2","DL719O2RYNEBZX0HTMQQ0BY0J","17","E","24042042E203","2067335011")</f>
        <v>99760</v>
      </c>
      <c r="H1733" s="48">
        <f>[1]!BexGetData("DP_2","DL719O2RYNGN1RZRS91K7M4TV","17","E","24042042E203","2067335011")</f>
        <v>99760</v>
      </c>
      <c r="I1733" s="48">
        <f>[1]!BexGetData("DP_2","DL719O2RYNIY3MZ1QVCEEWBN7","17","E","24042042E203","2067335011")</f>
        <v>0</v>
      </c>
    </row>
    <row r="1734" spans="1:9" x14ac:dyDescent="0.2">
      <c r="A1734" s="46" t="s">
        <v>32</v>
      </c>
      <c r="B1734" s="46" t="s">
        <v>32</v>
      </c>
      <c r="C1734" s="46" t="s">
        <v>32</v>
      </c>
      <c r="D1734" s="46" t="s">
        <v>32</v>
      </c>
      <c r="E1734" s="46" t="s">
        <v>32</v>
      </c>
      <c r="F1734" s="47">
        <f>[1]!BexGetData("DP_2","DL719O2RYNC0Y217V0FVT1R77","17","E","24042042E203","2067336011")</f>
        <v>30160</v>
      </c>
      <c r="G1734" s="48">
        <f>[1]!BexGetData("DP_2","DL719O2RYNEBZX0HTMQQ0BY0J","17","E","24042042E203","2067336011")</f>
        <v>30160</v>
      </c>
      <c r="H1734" s="48">
        <f>[1]!BexGetData("DP_2","DL719O2RYNGN1RZRS91K7M4TV","17","E","24042042E203","2067336011")</f>
        <v>30160</v>
      </c>
      <c r="I1734" s="48">
        <f>[1]!BexGetData("DP_2","DL719O2RYNIY3MZ1QVCEEWBN7","17","E","24042042E203","2067336011")</f>
        <v>0</v>
      </c>
    </row>
    <row r="1735" spans="1:9" x14ac:dyDescent="0.2">
      <c r="A1735" s="46" t="s">
        <v>32</v>
      </c>
      <c r="B1735" s="46" t="s">
        <v>32</v>
      </c>
      <c r="C1735" s="46" t="s">
        <v>32</v>
      </c>
      <c r="D1735" s="46" t="s">
        <v>32</v>
      </c>
      <c r="E1735" s="46" t="s">
        <v>32</v>
      </c>
      <c r="F1735" s="47">
        <f>[1]!BexGetData("DP_2","DL719O2RYNC0Y217V0FVT1R77","17","E","24042042E203","2067339011")</f>
        <v>1303840</v>
      </c>
      <c r="G1735" s="48">
        <f>[1]!BexGetData("DP_2","DL719O2RYNEBZX0HTMQQ0BY0J","17","E","24042042E203","2067339011")</f>
        <v>1303840</v>
      </c>
      <c r="H1735" s="48">
        <f>[1]!BexGetData("DP_2","DL719O2RYNGN1RZRS91K7M4TV","17","E","24042042E203","2067339011")</f>
        <v>1303840</v>
      </c>
      <c r="I1735" s="48">
        <f>[1]!BexGetData("DP_2","DL719O2RYNIY3MZ1QVCEEWBN7","17","E","24042042E203","2067339011")</f>
        <v>0</v>
      </c>
    </row>
    <row r="1736" spans="1:9" x14ac:dyDescent="0.2">
      <c r="A1736" s="46" t="s">
        <v>32</v>
      </c>
      <c r="B1736" s="46" t="s">
        <v>32</v>
      </c>
      <c r="C1736" s="46" t="s">
        <v>32</v>
      </c>
      <c r="D1736" s="46" t="s">
        <v>32</v>
      </c>
      <c r="E1736" s="46" t="s">
        <v>32</v>
      </c>
      <c r="F1736" s="47">
        <f>[1]!BexGetData("DP_2","DL719O2RYNC0Y217V0FVT1R77","17","E","24042042E203","2067352011")</f>
        <v>1740</v>
      </c>
      <c r="G1736" s="48">
        <f>[1]!BexGetData("DP_2","DL719O2RYNEBZX0HTMQQ0BY0J","17","E","24042042E203","2067352011")</f>
        <v>1740</v>
      </c>
      <c r="H1736" s="48">
        <f>[1]!BexGetData("DP_2","DL719O2RYNGN1RZRS91K7M4TV","17","E","24042042E203","2067352011")</f>
        <v>1740</v>
      </c>
      <c r="I1736" s="48">
        <f>[1]!BexGetData("DP_2","DL719O2RYNIY3MZ1QVCEEWBN7","17","E","24042042E203","2067352011")</f>
        <v>0</v>
      </c>
    </row>
    <row r="1737" spans="1:9" x14ac:dyDescent="0.2">
      <c r="A1737" s="46" t="s">
        <v>32</v>
      </c>
      <c r="B1737" s="46" t="s">
        <v>32</v>
      </c>
      <c r="C1737" s="46" t="s">
        <v>32</v>
      </c>
      <c r="D1737" s="46" t="s">
        <v>32</v>
      </c>
      <c r="E1737" s="46" t="s">
        <v>32</v>
      </c>
      <c r="F1737" s="47">
        <f>[1]!BexGetData("DP_2","DL719O2RYNC0Y217V0FVT1R77","17","E","24042042E203","2067355011")</f>
        <v>0</v>
      </c>
      <c r="G1737" s="48">
        <f>[1]!BexGetData("DP_2","DL719O2RYNEBZX0HTMQQ0BY0J","17","E","24042042E203","2067355011")</f>
        <v>0</v>
      </c>
      <c r="H1737" s="48">
        <f>[1]!BexGetData("DP_2","DL719O2RYNGN1RZRS91K7M4TV","17","E","24042042E203","2067355011")</f>
        <v>0</v>
      </c>
      <c r="I1737" s="48">
        <f>[1]!BexGetData("DP_2","DL719O2RYNIY3MZ1QVCEEWBN7","17","E","24042042E203","2067355011")</f>
        <v>0</v>
      </c>
    </row>
    <row r="1738" spans="1:9" x14ac:dyDescent="0.2">
      <c r="A1738" s="46" t="s">
        <v>32</v>
      </c>
      <c r="B1738" s="46" t="s">
        <v>32</v>
      </c>
      <c r="C1738" s="46" t="s">
        <v>32</v>
      </c>
      <c r="D1738" s="46" t="s">
        <v>32</v>
      </c>
      <c r="E1738" s="46" t="s">
        <v>32</v>
      </c>
      <c r="F1738" s="47">
        <f>[1]!BexGetData("DP_2","DL719O2RYNC0Y217V0FVT1R77","17","E","24042042E203","2067371011")</f>
        <v>44980.17</v>
      </c>
      <c r="G1738" s="48">
        <f>[1]!BexGetData("DP_2","DL719O2RYNEBZX0HTMQQ0BY0J","17","E","24042042E203","2067371011")</f>
        <v>44980.17</v>
      </c>
      <c r="H1738" s="48">
        <f>[1]!BexGetData("DP_2","DL719O2RYNGN1RZRS91K7M4TV","17","E","24042042E203","2067371011")</f>
        <v>3834</v>
      </c>
      <c r="I1738" s="48">
        <f>[1]!BexGetData("DP_2","DL719O2RYNIY3MZ1QVCEEWBN7","17","E","24042042E203","2067371011")</f>
        <v>0</v>
      </c>
    </row>
    <row r="1739" spans="1:9" x14ac:dyDescent="0.2">
      <c r="A1739" s="46" t="s">
        <v>32</v>
      </c>
      <c r="B1739" s="46" t="s">
        <v>32</v>
      </c>
      <c r="C1739" s="46" t="s">
        <v>32</v>
      </c>
      <c r="D1739" s="46" t="s">
        <v>32</v>
      </c>
      <c r="E1739" s="46" t="s">
        <v>32</v>
      </c>
      <c r="F1739" s="47">
        <f>[1]!BexGetData("DP_2","DL719O2RYNC0Y217V0FVT1R77","17","E","24042042E203","2067372011")</f>
        <v>1018</v>
      </c>
      <c r="G1739" s="48">
        <f>[1]!BexGetData("DP_2","DL719O2RYNEBZX0HTMQQ0BY0J","17","E","24042042E203","2067372011")</f>
        <v>1018</v>
      </c>
      <c r="H1739" s="48">
        <f>[1]!BexGetData("DP_2","DL719O2RYNGN1RZRS91K7M4TV","17","E","24042042E203","2067372011")</f>
        <v>1018</v>
      </c>
      <c r="I1739" s="48">
        <f>[1]!BexGetData("DP_2","DL719O2RYNIY3MZ1QVCEEWBN7","17","E","24042042E203","2067372011")</f>
        <v>0</v>
      </c>
    </row>
    <row r="1740" spans="1:9" x14ac:dyDescent="0.2">
      <c r="A1740" s="46" t="s">
        <v>32</v>
      </c>
      <c r="B1740" s="46" t="s">
        <v>32</v>
      </c>
      <c r="C1740" s="46" t="s">
        <v>32</v>
      </c>
      <c r="D1740" s="46" t="s">
        <v>32</v>
      </c>
      <c r="E1740" s="46" t="s">
        <v>32</v>
      </c>
      <c r="F1740" s="47">
        <f>[1]!BexGetData("DP_2","DL719O2RYNC0Y217V0FVT1R77","17","E","24042042E203","2067375011")</f>
        <v>25500</v>
      </c>
      <c r="G1740" s="48">
        <f>[1]!BexGetData("DP_2","DL719O2RYNEBZX0HTMQQ0BY0J","17","E","24042042E203","2067375011")</f>
        <v>25500</v>
      </c>
      <c r="H1740" s="48">
        <f>[1]!BexGetData("DP_2","DL719O2RYNGN1RZRS91K7M4TV","17","E","24042042E203","2067375011")</f>
        <v>24000</v>
      </c>
      <c r="I1740" s="48">
        <f>[1]!BexGetData("DP_2","DL719O2RYNIY3MZ1QVCEEWBN7","17","E","24042042E203","2067375011")</f>
        <v>0</v>
      </c>
    </row>
    <row r="1741" spans="1:9" x14ac:dyDescent="0.2">
      <c r="A1741" s="46" t="s">
        <v>32</v>
      </c>
      <c r="B1741" s="46" t="s">
        <v>32</v>
      </c>
      <c r="C1741" s="46" t="s">
        <v>32</v>
      </c>
      <c r="D1741" s="46" t="s">
        <v>32</v>
      </c>
      <c r="E1741" s="46" t="s">
        <v>32</v>
      </c>
      <c r="F1741" s="47">
        <f>[1]!BexGetData("DP_2","DL719O2RYNC0Y217V0FVT1R77","17","E","24042042E203","2067392011")</f>
        <v>941</v>
      </c>
      <c r="G1741" s="48">
        <f>[1]!BexGetData("DP_2","DL719O2RYNEBZX0HTMQQ0BY0J","17","E","24042042E203","2067392011")</f>
        <v>941</v>
      </c>
      <c r="H1741" s="48">
        <f>[1]!BexGetData("DP_2","DL719O2RYNGN1RZRS91K7M4TV","17","E","24042042E203","2067392011")</f>
        <v>941</v>
      </c>
      <c r="I1741" s="48">
        <f>[1]!BexGetData("DP_2","DL719O2RYNIY3MZ1QVCEEWBN7","17","E","24042042E203","2067392011")</f>
        <v>0</v>
      </c>
    </row>
    <row r="1742" spans="1:9" x14ac:dyDescent="0.2">
      <c r="A1742" s="46" t="s">
        <v>32</v>
      </c>
      <c r="B1742" s="46" t="s">
        <v>32</v>
      </c>
      <c r="C1742" s="46" t="s">
        <v>32</v>
      </c>
      <c r="D1742" s="46" t="s">
        <v>32</v>
      </c>
      <c r="E1742" s="46" t="s">
        <v>32</v>
      </c>
      <c r="F1742" s="47">
        <f>[1]!BexGetData("DP_2","DL719O2RYNC0Y217V0FVT1R77","17","E","24042042E203","2067399031")</f>
        <v>638</v>
      </c>
      <c r="G1742" s="48">
        <f>[1]!BexGetData("DP_2","DL719O2RYNEBZX0HTMQQ0BY0J","17","E","24042042E203","2067399031")</f>
        <v>638</v>
      </c>
      <c r="H1742" s="48">
        <f>[1]!BexGetData("DP_2","DL719O2RYNGN1RZRS91K7M4TV","17","E","24042042E203","2067399031")</f>
        <v>638</v>
      </c>
      <c r="I1742" s="48">
        <f>[1]!BexGetData("DP_2","DL719O2RYNIY3MZ1QVCEEWBN7","17","E","24042042E203","2067399031")</f>
        <v>0</v>
      </c>
    </row>
    <row r="1743" spans="1:9" x14ac:dyDescent="0.2">
      <c r="A1743" s="46" t="s">
        <v>32</v>
      </c>
      <c r="B1743" s="46" t="s">
        <v>32</v>
      </c>
      <c r="C1743" s="46" t="s">
        <v>32</v>
      </c>
      <c r="D1743" s="46" t="s">
        <v>32</v>
      </c>
      <c r="E1743" s="46" t="s">
        <v>32</v>
      </c>
      <c r="F1743" s="47">
        <f>[1]!BexGetData("DP_2","DL719O2RYNC0Y217V0FVT1R77","17","E","24042042E203","2067515012")</f>
        <v>15660</v>
      </c>
      <c r="G1743" s="48">
        <f>[1]!BexGetData("DP_2","DL719O2RYNEBZX0HTMQQ0BY0J","17","E","24042042E203","2067515012")</f>
        <v>15660</v>
      </c>
      <c r="H1743" s="48">
        <f>[1]!BexGetData("DP_2","DL719O2RYNGN1RZRS91K7M4TV","17","E","24042042E203","2067515012")</f>
        <v>0</v>
      </c>
      <c r="I1743" s="48">
        <f>[1]!BexGetData("DP_2","DL719O2RYNIY3MZ1QVCEEWBN7","17","E","24042042E203","2067515012")</f>
        <v>0</v>
      </c>
    </row>
    <row r="1744" spans="1:9" x14ac:dyDescent="0.2">
      <c r="A1744" s="46" t="s">
        <v>32</v>
      </c>
      <c r="B1744" s="46" t="s">
        <v>32</v>
      </c>
      <c r="C1744" s="46" t="s">
        <v>123</v>
      </c>
      <c r="D1744" s="46" t="s">
        <v>123</v>
      </c>
      <c r="E1744" s="46" t="s">
        <v>32</v>
      </c>
      <c r="F1744" s="47">
        <f>[1]!BexGetData("DP_2","DL719O2RYNC0Y217V0FVT1R77","17","E","25062031E202","2067113011")</f>
        <v>3976162.78</v>
      </c>
      <c r="G1744" s="48">
        <f>[1]!BexGetData("DP_2","DL719O2RYNEBZX0HTMQQ0BY0J","17","E","25062031E202","2067113011")</f>
        <v>3976162.78</v>
      </c>
      <c r="H1744" s="48">
        <f>[1]!BexGetData("DP_2","DL719O2RYNGN1RZRS91K7M4TV","17","E","25062031E202","2067113011")</f>
        <v>3976162.78</v>
      </c>
      <c r="I1744" s="48">
        <f>[1]!BexGetData("DP_2","DL719O2RYNIY3MZ1QVCEEWBN7","17","E","25062031E202","2067113011")</f>
        <v>0</v>
      </c>
    </row>
    <row r="1745" spans="1:9" x14ac:dyDescent="0.2">
      <c r="A1745" s="46" t="s">
        <v>32</v>
      </c>
      <c r="B1745" s="46" t="s">
        <v>32</v>
      </c>
      <c r="C1745" s="46" t="s">
        <v>32</v>
      </c>
      <c r="D1745" s="46" t="s">
        <v>32</v>
      </c>
      <c r="E1745" s="46" t="s">
        <v>32</v>
      </c>
      <c r="F1745" s="47">
        <f>[1]!BexGetData("DP_2","DL719O2RYNC0Y217V0FVT1R77","17","E","25062031E202","2067113021")</f>
        <v>960714.23999999999</v>
      </c>
      <c r="G1745" s="48">
        <f>[1]!BexGetData("DP_2","DL719O2RYNEBZX0HTMQQ0BY0J","17","E","25062031E202","2067113021")</f>
        <v>960714.23999999999</v>
      </c>
      <c r="H1745" s="48">
        <f>[1]!BexGetData("DP_2","DL719O2RYNGN1RZRS91K7M4TV","17","E","25062031E202","2067113021")</f>
        <v>960714.23999999999</v>
      </c>
      <c r="I1745" s="48">
        <f>[1]!BexGetData("DP_2","DL719O2RYNIY3MZ1QVCEEWBN7","17","E","25062031E202","2067113021")</f>
        <v>0</v>
      </c>
    </row>
    <row r="1746" spans="1:9" x14ac:dyDescent="0.2">
      <c r="A1746" s="46" t="s">
        <v>32</v>
      </c>
      <c r="B1746" s="46" t="s">
        <v>32</v>
      </c>
      <c r="C1746" s="46" t="s">
        <v>32</v>
      </c>
      <c r="D1746" s="46" t="s">
        <v>32</v>
      </c>
      <c r="E1746" s="46" t="s">
        <v>32</v>
      </c>
      <c r="F1746" s="47">
        <f>[1]!BexGetData("DP_2","DL719O2RYNC0Y217V0FVT1R77","17","E","25062031E202","2067122011")</f>
        <v>34125.33</v>
      </c>
      <c r="G1746" s="48">
        <f>[1]!BexGetData("DP_2","DL719O2RYNEBZX0HTMQQ0BY0J","17","E","25062031E202","2067122011")</f>
        <v>34125.33</v>
      </c>
      <c r="H1746" s="48">
        <f>[1]!BexGetData("DP_2","DL719O2RYNGN1RZRS91K7M4TV","17","E","25062031E202","2067122011")</f>
        <v>34125.33</v>
      </c>
      <c r="I1746" s="48">
        <f>[1]!BexGetData("DP_2","DL719O2RYNIY3MZ1QVCEEWBN7","17","E","25062031E202","2067122011")</f>
        <v>0</v>
      </c>
    </row>
    <row r="1747" spans="1:9" x14ac:dyDescent="0.2">
      <c r="A1747" s="46" t="s">
        <v>32</v>
      </c>
      <c r="B1747" s="46" t="s">
        <v>32</v>
      </c>
      <c r="C1747" s="46" t="s">
        <v>32</v>
      </c>
      <c r="D1747" s="46" t="s">
        <v>32</v>
      </c>
      <c r="E1747" s="46" t="s">
        <v>32</v>
      </c>
      <c r="F1747" s="47">
        <f>[1]!BexGetData("DP_2","DL719O2RYNC0Y217V0FVT1R77","17","E","25062031E202","2067131011")</f>
        <v>345569.02</v>
      </c>
      <c r="G1747" s="48">
        <f>[1]!BexGetData("DP_2","DL719O2RYNEBZX0HTMQQ0BY0J","17","E","25062031E202","2067131011")</f>
        <v>345569.02</v>
      </c>
      <c r="H1747" s="48">
        <f>[1]!BexGetData("DP_2","DL719O2RYNGN1RZRS91K7M4TV","17","E","25062031E202","2067131011")</f>
        <v>345569.02</v>
      </c>
      <c r="I1747" s="48">
        <f>[1]!BexGetData("DP_2","DL719O2RYNIY3MZ1QVCEEWBN7","17","E","25062031E202","2067131011")</f>
        <v>0</v>
      </c>
    </row>
    <row r="1748" spans="1:9" x14ac:dyDescent="0.2">
      <c r="A1748" s="46" t="s">
        <v>32</v>
      </c>
      <c r="B1748" s="46" t="s">
        <v>32</v>
      </c>
      <c r="C1748" s="46" t="s">
        <v>32</v>
      </c>
      <c r="D1748" s="46" t="s">
        <v>32</v>
      </c>
      <c r="E1748" s="46" t="s">
        <v>32</v>
      </c>
      <c r="F1748" s="47">
        <f>[1]!BexGetData("DP_2","DL719O2RYNC0Y217V0FVT1R77","17","E","25062031E202","2067131021")</f>
        <v>47060.72</v>
      </c>
      <c r="G1748" s="48">
        <f>[1]!BexGetData("DP_2","DL719O2RYNEBZX0HTMQQ0BY0J","17","E","25062031E202","2067131021")</f>
        <v>47060.72</v>
      </c>
      <c r="H1748" s="48">
        <f>[1]!BexGetData("DP_2","DL719O2RYNGN1RZRS91K7M4TV","17","E","25062031E202","2067131021")</f>
        <v>47060.72</v>
      </c>
      <c r="I1748" s="48">
        <f>[1]!BexGetData("DP_2","DL719O2RYNIY3MZ1QVCEEWBN7","17","E","25062031E202","2067131021")</f>
        <v>0</v>
      </c>
    </row>
    <row r="1749" spans="1:9" x14ac:dyDescent="0.2">
      <c r="A1749" s="46" t="s">
        <v>32</v>
      </c>
      <c r="B1749" s="46" t="s">
        <v>32</v>
      </c>
      <c r="C1749" s="46" t="s">
        <v>32</v>
      </c>
      <c r="D1749" s="46" t="s">
        <v>32</v>
      </c>
      <c r="E1749" s="46" t="s">
        <v>32</v>
      </c>
      <c r="F1749" s="47">
        <f>[1]!BexGetData("DP_2","DL719O2RYNC0Y217V0FVT1R77","17","E","25062031E202","2067132011")</f>
        <v>220467.33</v>
      </c>
      <c r="G1749" s="48">
        <f>[1]!BexGetData("DP_2","DL719O2RYNEBZX0HTMQQ0BY0J","17","E","25062031E202","2067132011")</f>
        <v>220467.33</v>
      </c>
      <c r="H1749" s="48">
        <f>[1]!BexGetData("DP_2","DL719O2RYNGN1RZRS91K7M4TV","17","E","25062031E202","2067132011")</f>
        <v>220467.33</v>
      </c>
      <c r="I1749" s="48">
        <f>[1]!BexGetData("DP_2","DL719O2RYNIY3MZ1QVCEEWBN7","17","E","25062031E202","2067132011")</f>
        <v>0</v>
      </c>
    </row>
    <row r="1750" spans="1:9" x14ac:dyDescent="0.2">
      <c r="A1750" s="46" t="s">
        <v>32</v>
      </c>
      <c r="B1750" s="46" t="s">
        <v>32</v>
      </c>
      <c r="C1750" s="46" t="s">
        <v>32</v>
      </c>
      <c r="D1750" s="46" t="s">
        <v>32</v>
      </c>
      <c r="E1750" s="46" t="s">
        <v>32</v>
      </c>
      <c r="F1750" s="47">
        <f>[1]!BexGetData("DP_2","DL719O2RYNC0Y217V0FVT1R77","17","E","25062031E202","2067132021")</f>
        <v>1004331.84</v>
      </c>
      <c r="G1750" s="48">
        <f>[1]!BexGetData("DP_2","DL719O2RYNEBZX0HTMQQ0BY0J","17","E","25062031E202","2067132021")</f>
        <v>1004331.84</v>
      </c>
      <c r="H1750" s="48">
        <f>[1]!BexGetData("DP_2","DL719O2RYNGN1RZRS91K7M4TV","17","E","25062031E202","2067132021")</f>
        <v>1004331.84</v>
      </c>
      <c r="I1750" s="48">
        <f>[1]!BexGetData("DP_2","DL719O2RYNIY3MZ1QVCEEWBN7","17","E","25062031E202","2067132021")</f>
        <v>0</v>
      </c>
    </row>
    <row r="1751" spans="1:9" x14ac:dyDescent="0.2">
      <c r="A1751" s="46" t="s">
        <v>32</v>
      </c>
      <c r="B1751" s="46" t="s">
        <v>32</v>
      </c>
      <c r="C1751" s="46" t="s">
        <v>32</v>
      </c>
      <c r="D1751" s="46" t="s">
        <v>32</v>
      </c>
      <c r="E1751" s="46" t="s">
        <v>32</v>
      </c>
      <c r="F1751" s="47">
        <f>[1]!BexGetData("DP_2","DL719O2RYNC0Y217V0FVT1R77","17","E","25062031E202","2067134011")</f>
        <v>386638.1</v>
      </c>
      <c r="G1751" s="48">
        <f>[1]!BexGetData("DP_2","DL719O2RYNEBZX0HTMQQ0BY0J","17","E","25062031E202","2067134011")</f>
        <v>386638.1</v>
      </c>
      <c r="H1751" s="48">
        <f>[1]!BexGetData("DP_2","DL719O2RYNGN1RZRS91K7M4TV","17","E","25062031E202","2067134011")</f>
        <v>392027.86</v>
      </c>
      <c r="I1751" s="48">
        <f>[1]!BexGetData("DP_2","DL719O2RYNIY3MZ1QVCEEWBN7","17","E","25062031E202","2067134011")</f>
        <v>0</v>
      </c>
    </row>
    <row r="1752" spans="1:9" x14ac:dyDescent="0.2">
      <c r="A1752" s="46" t="s">
        <v>32</v>
      </c>
      <c r="B1752" s="46" t="s">
        <v>32</v>
      </c>
      <c r="C1752" s="46" t="s">
        <v>32</v>
      </c>
      <c r="D1752" s="46" t="s">
        <v>32</v>
      </c>
      <c r="E1752" s="46" t="s">
        <v>32</v>
      </c>
      <c r="F1752" s="47">
        <f>[1]!BexGetData("DP_2","DL719O2RYNC0Y217V0FVT1R77","17","E","25062031E202","2067134021")</f>
        <v>755074.96</v>
      </c>
      <c r="G1752" s="48">
        <f>[1]!BexGetData("DP_2","DL719O2RYNEBZX0HTMQQ0BY0J","17","E","25062031E202","2067134021")</f>
        <v>755074.96</v>
      </c>
      <c r="H1752" s="48">
        <f>[1]!BexGetData("DP_2","DL719O2RYNGN1RZRS91K7M4TV","17","E","25062031E202","2067134021")</f>
        <v>755074.96</v>
      </c>
      <c r="I1752" s="48">
        <f>[1]!BexGetData("DP_2","DL719O2RYNIY3MZ1QVCEEWBN7","17","E","25062031E202","2067134021")</f>
        <v>0</v>
      </c>
    </row>
    <row r="1753" spans="1:9" x14ac:dyDescent="0.2">
      <c r="A1753" s="46" t="s">
        <v>32</v>
      </c>
      <c r="B1753" s="46" t="s">
        <v>32</v>
      </c>
      <c r="C1753" s="46" t="s">
        <v>32</v>
      </c>
      <c r="D1753" s="46" t="s">
        <v>32</v>
      </c>
      <c r="E1753" s="46" t="s">
        <v>32</v>
      </c>
      <c r="F1753" s="47">
        <f>[1]!BexGetData("DP_2","DL719O2RYNC0Y217V0FVT1R77","17","E","25062031E202","2067141011")</f>
        <v>978493.12</v>
      </c>
      <c r="G1753" s="48">
        <f>[1]!BexGetData("DP_2","DL719O2RYNEBZX0HTMQQ0BY0J","17","E","25062031E202","2067141011")</f>
        <v>978493.12</v>
      </c>
      <c r="H1753" s="48">
        <f>[1]!BexGetData("DP_2","DL719O2RYNGN1RZRS91K7M4TV","17","E","25062031E202","2067141011")</f>
        <v>978493.12</v>
      </c>
      <c r="I1753" s="48">
        <f>[1]!BexGetData("DP_2","DL719O2RYNIY3MZ1QVCEEWBN7","17","E","25062031E202","2067141011")</f>
        <v>0</v>
      </c>
    </row>
    <row r="1754" spans="1:9" x14ac:dyDescent="0.2">
      <c r="A1754" s="46" t="s">
        <v>32</v>
      </c>
      <c r="B1754" s="46" t="s">
        <v>32</v>
      </c>
      <c r="C1754" s="46" t="s">
        <v>32</v>
      </c>
      <c r="D1754" s="46" t="s">
        <v>32</v>
      </c>
      <c r="E1754" s="46" t="s">
        <v>32</v>
      </c>
      <c r="F1754" s="47">
        <f>[1]!BexGetData("DP_2","DL719O2RYNC0Y217V0FVT1R77","17","E","25062031E202","2067141021")</f>
        <v>315088.78999999998</v>
      </c>
      <c r="G1754" s="48">
        <f>[1]!BexGetData("DP_2","DL719O2RYNEBZX0HTMQQ0BY0J","17","E","25062031E202","2067141021")</f>
        <v>315088.78999999998</v>
      </c>
      <c r="H1754" s="48">
        <f>[1]!BexGetData("DP_2","DL719O2RYNGN1RZRS91K7M4TV","17","E","25062031E202","2067141021")</f>
        <v>315088.78999999998</v>
      </c>
      <c r="I1754" s="48">
        <f>[1]!BexGetData("DP_2","DL719O2RYNIY3MZ1QVCEEWBN7","17","E","25062031E202","2067141021")</f>
        <v>0</v>
      </c>
    </row>
    <row r="1755" spans="1:9" x14ac:dyDescent="0.2">
      <c r="A1755" s="46" t="s">
        <v>32</v>
      </c>
      <c r="B1755" s="46" t="s">
        <v>32</v>
      </c>
      <c r="C1755" s="46" t="s">
        <v>32</v>
      </c>
      <c r="D1755" s="46" t="s">
        <v>32</v>
      </c>
      <c r="E1755" s="46" t="s">
        <v>32</v>
      </c>
      <c r="F1755" s="47">
        <f>[1]!BexGetData("DP_2","DL719O2RYNC0Y217V0FVT1R77","17","E","25062031E202","2067143011")</f>
        <v>152028.82</v>
      </c>
      <c r="G1755" s="48">
        <f>[1]!BexGetData("DP_2","DL719O2RYNEBZX0HTMQQ0BY0J","17","E","25062031E202","2067143011")</f>
        <v>152028.82</v>
      </c>
      <c r="H1755" s="48">
        <f>[1]!BexGetData("DP_2","DL719O2RYNGN1RZRS91K7M4TV","17","E","25062031E202","2067143011")</f>
        <v>152028.82</v>
      </c>
      <c r="I1755" s="48">
        <f>[1]!BexGetData("DP_2","DL719O2RYNIY3MZ1QVCEEWBN7","17","E","25062031E202","2067143011")</f>
        <v>0</v>
      </c>
    </row>
    <row r="1756" spans="1:9" x14ac:dyDescent="0.2">
      <c r="A1756" s="46" t="s">
        <v>32</v>
      </c>
      <c r="B1756" s="46" t="s">
        <v>32</v>
      </c>
      <c r="C1756" s="46" t="s">
        <v>32</v>
      </c>
      <c r="D1756" s="46" t="s">
        <v>32</v>
      </c>
      <c r="E1756" s="46" t="s">
        <v>32</v>
      </c>
      <c r="F1756" s="47">
        <f>[1]!BexGetData("DP_2","DL719O2RYNC0Y217V0FVT1R77","17","E","25062031E202","2067151011")</f>
        <v>592742.16</v>
      </c>
      <c r="G1756" s="48">
        <f>[1]!BexGetData("DP_2","DL719O2RYNEBZX0HTMQQ0BY0J","17","E","25062031E202","2067151011")</f>
        <v>592742.16</v>
      </c>
      <c r="H1756" s="48">
        <f>[1]!BexGetData("DP_2","DL719O2RYNGN1RZRS91K7M4TV","17","E","25062031E202","2067151011")</f>
        <v>592742.16</v>
      </c>
      <c r="I1756" s="48">
        <f>[1]!BexGetData("DP_2","DL719O2RYNIY3MZ1QVCEEWBN7","17","E","25062031E202","2067151011")</f>
        <v>0</v>
      </c>
    </row>
    <row r="1757" spans="1:9" x14ac:dyDescent="0.2">
      <c r="A1757" s="46" t="s">
        <v>32</v>
      </c>
      <c r="B1757" s="46" t="s">
        <v>32</v>
      </c>
      <c r="C1757" s="46" t="s">
        <v>32</v>
      </c>
      <c r="D1757" s="46" t="s">
        <v>32</v>
      </c>
      <c r="E1757" s="46" t="s">
        <v>32</v>
      </c>
      <c r="F1757" s="47">
        <f>[1]!BexGetData("DP_2","DL719O2RYNC0Y217V0FVT1R77","17","E","25062031E202","2067154011")</f>
        <v>3262835.36</v>
      </c>
      <c r="G1757" s="48">
        <f>[1]!BexGetData("DP_2","DL719O2RYNEBZX0HTMQQ0BY0J","17","E","25062031E202","2067154011")</f>
        <v>3262835.36</v>
      </c>
      <c r="H1757" s="48">
        <f>[1]!BexGetData("DP_2","DL719O2RYNGN1RZRS91K7M4TV","17","E","25062031E202","2067154011")</f>
        <v>3262835.36</v>
      </c>
      <c r="I1757" s="48">
        <f>[1]!BexGetData("DP_2","DL719O2RYNIY3MZ1QVCEEWBN7","17","E","25062031E202","2067154011")</f>
        <v>0</v>
      </c>
    </row>
    <row r="1758" spans="1:9" x14ac:dyDescent="0.2">
      <c r="A1758" s="46" t="s">
        <v>32</v>
      </c>
      <c r="B1758" s="46" t="s">
        <v>32</v>
      </c>
      <c r="C1758" s="46" t="s">
        <v>32</v>
      </c>
      <c r="D1758" s="46" t="s">
        <v>32</v>
      </c>
      <c r="E1758" s="46" t="s">
        <v>32</v>
      </c>
      <c r="F1758" s="47">
        <f>[1]!BexGetData("DP_2","DL719O2RYNC0Y217V0FVT1R77","17","E","25062031E202","2067211011")</f>
        <v>23532.7</v>
      </c>
      <c r="G1758" s="48">
        <f>[1]!BexGetData("DP_2","DL719O2RYNEBZX0HTMQQ0BY0J","17","E","25062031E202","2067211011")</f>
        <v>23532.7</v>
      </c>
      <c r="H1758" s="48">
        <f>[1]!BexGetData("DP_2","DL719O2RYNGN1RZRS91K7M4TV","17","E","25062031E202","2067211011")</f>
        <v>23426.720000000001</v>
      </c>
      <c r="I1758" s="48">
        <f>[1]!BexGetData("DP_2","DL719O2RYNIY3MZ1QVCEEWBN7","17","E","25062031E202","2067211011")</f>
        <v>0</v>
      </c>
    </row>
    <row r="1759" spans="1:9" x14ac:dyDescent="0.2">
      <c r="A1759" s="46" t="s">
        <v>32</v>
      </c>
      <c r="B1759" s="46" t="s">
        <v>32</v>
      </c>
      <c r="C1759" s="46" t="s">
        <v>32</v>
      </c>
      <c r="D1759" s="46" t="s">
        <v>32</v>
      </c>
      <c r="E1759" s="46" t="s">
        <v>32</v>
      </c>
      <c r="F1759" s="47">
        <f>[1]!BexGetData("DP_2","DL719O2RYNC0Y217V0FVT1R77","17","E","25062031E202","2067211021")</f>
        <v>2747.48</v>
      </c>
      <c r="G1759" s="48">
        <f>[1]!BexGetData("DP_2","DL719O2RYNEBZX0HTMQQ0BY0J","17","E","25062031E202","2067211021")</f>
        <v>2747.48</v>
      </c>
      <c r="H1759" s="48">
        <f>[1]!BexGetData("DP_2","DL719O2RYNGN1RZRS91K7M4TV","17","E","25062031E202","2067211021")</f>
        <v>2747.48</v>
      </c>
      <c r="I1759" s="48">
        <f>[1]!BexGetData("DP_2","DL719O2RYNIY3MZ1QVCEEWBN7","17","E","25062031E202","2067211021")</f>
        <v>0</v>
      </c>
    </row>
    <row r="1760" spans="1:9" x14ac:dyDescent="0.2">
      <c r="A1760" s="46" t="s">
        <v>32</v>
      </c>
      <c r="B1760" s="46" t="s">
        <v>32</v>
      </c>
      <c r="C1760" s="46" t="s">
        <v>32</v>
      </c>
      <c r="D1760" s="46" t="s">
        <v>32</v>
      </c>
      <c r="E1760" s="46" t="s">
        <v>32</v>
      </c>
      <c r="F1760" s="47">
        <f>[1]!BexGetData("DP_2","DL719O2RYNC0Y217V0FVT1R77","17","E","25062031E202","2067214011")</f>
        <v>2088.7800000000002</v>
      </c>
      <c r="G1760" s="48">
        <f>[1]!BexGetData("DP_2","DL719O2RYNEBZX0HTMQQ0BY0J","17","E","25062031E202","2067214011")</f>
        <v>2088.7800000000002</v>
      </c>
      <c r="H1760" s="48">
        <f>[1]!BexGetData("DP_2","DL719O2RYNGN1RZRS91K7M4TV","17","E","25062031E202","2067214011")</f>
        <v>2088.7800000000002</v>
      </c>
      <c r="I1760" s="48">
        <f>[1]!BexGetData("DP_2","DL719O2RYNIY3MZ1QVCEEWBN7","17","E","25062031E202","2067214011")</f>
        <v>0</v>
      </c>
    </row>
    <row r="1761" spans="1:9" x14ac:dyDescent="0.2">
      <c r="A1761" s="46" t="s">
        <v>32</v>
      </c>
      <c r="B1761" s="46" t="s">
        <v>32</v>
      </c>
      <c r="C1761" s="46" t="s">
        <v>32</v>
      </c>
      <c r="D1761" s="46" t="s">
        <v>32</v>
      </c>
      <c r="E1761" s="46" t="s">
        <v>32</v>
      </c>
      <c r="F1761" s="47">
        <f>[1]!BexGetData("DP_2","DL719O2RYNC0Y217V0FVT1R77","17","E","25062031E202","2067216011")</f>
        <v>24187.93</v>
      </c>
      <c r="G1761" s="48">
        <f>[1]!BexGetData("DP_2","DL719O2RYNEBZX0HTMQQ0BY0J","17","E","25062031E202","2067216011")</f>
        <v>24187.93</v>
      </c>
      <c r="H1761" s="48">
        <f>[1]!BexGetData("DP_2","DL719O2RYNGN1RZRS91K7M4TV","17","E","25062031E202","2067216011")</f>
        <v>22421.23</v>
      </c>
      <c r="I1761" s="48">
        <f>[1]!BexGetData("DP_2","DL719O2RYNIY3MZ1QVCEEWBN7","17","E","25062031E202","2067216011")</f>
        <v>0</v>
      </c>
    </row>
    <row r="1762" spans="1:9" x14ac:dyDescent="0.2">
      <c r="A1762" s="46" t="s">
        <v>32</v>
      </c>
      <c r="B1762" s="46" t="s">
        <v>32</v>
      </c>
      <c r="C1762" s="46" t="s">
        <v>32</v>
      </c>
      <c r="D1762" s="46" t="s">
        <v>32</v>
      </c>
      <c r="E1762" s="46" t="s">
        <v>32</v>
      </c>
      <c r="F1762" s="47">
        <f>[1]!BexGetData("DP_2","DL719O2RYNC0Y217V0FVT1R77","17","E","25062031E202","2067217011")</f>
        <v>4523.59</v>
      </c>
      <c r="G1762" s="48">
        <f>[1]!BexGetData("DP_2","DL719O2RYNEBZX0HTMQQ0BY0J","17","E","25062031E202","2067217011")</f>
        <v>4523.59</v>
      </c>
      <c r="H1762" s="48">
        <f>[1]!BexGetData("DP_2","DL719O2RYNGN1RZRS91K7M4TV","17","E","25062031E202","2067217011")</f>
        <v>4523.59</v>
      </c>
      <c r="I1762" s="48">
        <f>[1]!BexGetData("DP_2","DL719O2RYNIY3MZ1QVCEEWBN7","17","E","25062031E202","2067217011")</f>
        <v>0</v>
      </c>
    </row>
    <row r="1763" spans="1:9" x14ac:dyDescent="0.2">
      <c r="A1763" s="46" t="s">
        <v>32</v>
      </c>
      <c r="B1763" s="46" t="s">
        <v>32</v>
      </c>
      <c r="C1763" s="46" t="s">
        <v>32</v>
      </c>
      <c r="D1763" s="46" t="s">
        <v>32</v>
      </c>
      <c r="E1763" s="46" t="s">
        <v>32</v>
      </c>
      <c r="F1763" s="47">
        <f>[1]!BexGetData("DP_2","DL719O2RYNC0Y217V0FVT1R77","17","E","25062031E202","2067221011")</f>
        <v>422716.86</v>
      </c>
      <c r="G1763" s="48">
        <f>[1]!BexGetData("DP_2","DL719O2RYNEBZX0HTMQQ0BY0J","17","E","25062031E202","2067221011")</f>
        <v>422716.86</v>
      </c>
      <c r="H1763" s="48">
        <f>[1]!BexGetData("DP_2","DL719O2RYNGN1RZRS91K7M4TV","17","E","25062031E202","2067221011")</f>
        <v>367895.77</v>
      </c>
      <c r="I1763" s="48">
        <f>[1]!BexGetData("DP_2","DL719O2RYNIY3MZ1QVCEEWBN7","17","E","25062031E202","2067221011")</f>
        <v>0</v>
      </c>
    </row>
    <row r="1764" spans="1:9" x14ac:dyDescent="0.2">
      <c r="A1764" s="46" t="s">
        <v>32</v>
      </c>
      <c r="B1764" s="46" t="s">
        <v>32</v>
      </c>
      <c r="C1764" s="46" t="s">
        <v>32</v>
      </c>
      <c r="D1764" s="46" t="s">
        <v>32</v>
      </c>
      <c r="E1764" s="46" t="s">
        <v>32</v>
      </c>
      <c r="F1764" s="47">
        <f>[1]!BexGetData("DP_2","DL719O2RYNC0Y217V0FVT1R77","17","E","25062031E202","2067221021")</f>
        <v>22846.79</v>
      </c>
      <c r="G1764" s="48">
        <f>[1]!BexGetData("DP_2","DL719O2RYNEBZX0HTMQQ0BY0J","17","E","25062031E202","2067221021")</f>
        <v>22846.79</v>
      </c>
      <c r="H1764" s="48">
        <f>[1]!BexGetData("DP_2","DL719O2RYNGN1RZRS91K7M4TV","17","E","25062031E202","2067221021")</f>
        <v>22262.39</v>
      </c>
      <c r="I1764" s="48">
        <f>[1]!BexGetData("DP_2","DL719O2RYNIY3MZ1QVCEEWBN7","17","E","25062031E202","2067221021")</f>
        <v>0</v>
      </c>
    </row>
    <row r="1765" spans="1:9" x14ac:dyDescent="0.2">
      <c r="A1765" s="46" t="s">
        <v>32</v>
      </c>
      <c r="B1765" s="46" t="s">
        <v>32</v>
      </c>
      <c r="C1765" s="46" t="s">
        <v>32</v>
      </c>
      <c r="D1765" s="46" t="s">
        <v>32</v>
      </c>
      <c r="E1765" s="46" t="s">
        <v>32</v>
      </c>
      <c r="F1765" s="47">
        <f>[1]!BexGetData("DP_2","DL719O2RYNC0Y217V0FVT1R77","17","E","25062031E202","2067222011")</f>
        <v>0</v>
      </c>
      <c r="G1765" s="48">
        <f>[1]!BexGetData("DP_2","DL719O2RYNEBZX0HTMQQ0BY0J","17","E","25062031E202","2067222011")</f>
        <v>0</v>
      </c>
      <c r="H1765" s="48">
        <f>[1]!BexGetData("DP_2","DL719O2RYNGN1RZRS91K7M4TV","17","E","25062031E202","2067222011")</f>
        <v>0</v>
      </c>
      <c r="I1765" s="48">
        <f>[1]!BexGetData("DP_2","DL719O2RYNIY3MZ1QVCEEWBN7","17","E","25062031E202","2067222011")</f>
        <v>0</v>
      </c>
    </row>
    <row r="1766" spans="1:9" x14ac:dyDescent="0.2">
      <c r="A1766" s="46" t="s">
        <v>32</v>
      </c>
      <c r="B1766" s="46" t="s">
        <v>32</v>
      </c>
      <c r="C1766" s="46" t="s">
        <v>32</v>
      </c>
      <c r="D1766" s="46" t="s">
        <v>32</v>
      </c>
      <c r="E1766" s="46" t="s">
        <v>32</v>
      </c>
      <c r="F1766" s="47">
        <f>[1]!BexGetData("DP_2","DL719O2RYNC0Y217V0FVT1R77","17","E","25062031E202","2067223011")</f>
        <v>1221.98</v>
      </c>
      <c r="G1766" s="48">
        <f>[1]!BexGetData("DP_2","DL719O2RYNEBZX0HTMQQ0BY0J","17","E","25062031E202","2067223011")</f>
        <v>1221.98</v>
      </c>
      <c r="H1766" s="48">
        <f>[1]!BexGetData("DP_2","DL719O2RYNGN1RZRS91K7M4TV","17","E","25062031E202","2067223011")</f>
        <v>760.01</v>
      </c>
      <c r="I1766" s="48">
        <f>[1]!BexGetData("DP_2","DL719O2RYNIY3MZ1QVCEEWBN7","17","E","25062031E202","2067223011")</f>
        <v>0</v>
      </c>
    </row>
    <row r="1767" spans="1:9" x14ac:dyDescent="0.2">
      <c r="A1767" s="46" t="s">
        <v>32</v>
      </c>
      <c r="B1767" s="46" t="s">
        <v>32</v>
      </c>
      <c r="C1767" s="46" t="s">
        <v>32</v>
      </c>
      <c r="D1767" s="46" t="s">
        <v>32</v>
      </c>
      <c r="E1767" s="46" t="s">
        <v>32</v>
      </c>
      <c r="F1767" s="47">
        <f>[1]!BexGetData("DP_2","DL719O2RYNC0Y217V0FVT1R77","17","E","25062031E202","2067246011")</f>
        <v>2670.33</v>
      </c>
      <c r="G1767" s="48">
        <f>[1]!BexGetData("DP_2","DL719O2RYNEBZX0HTMQQ0BY0J","17","E","25062031E202","2067246011")</f>
        <v>2670.33</v>
      </c>
      <c r="H1767" s="48">
        <f>[1]!BexGetData("DP_2","DL719O2RYNGN1RZRS91K7M4TV","17","E","25062031E202","2067246011")</f>
        <v>2670.33</v>
      </c>
      <c r="I1767" s="48">
        <f>[1]!BexGetData("DP_2","DL719O2RYNIY3MZ1QVCEEWBN7","17","E","25062031E202","2067246011")</f>
        <v>0</v>
      </c>
    </row>
    <row r="1768" spans="1:9" x14ac:dyDescent="0.2">
      <c r="A1768" s="46" t="s">
        <v>32</v>
      </c>
      <c r="B1768" s="46" t="s">
        <v>32</v>
      </c>
      <c r="C1768" s="46" t="s">
        <v>32</v>
      </c>
      <c r="D1768" s="46" t="s">
        <v>32</v>
      </c>
      <c r="E1768" s="46" t="s">
        <v>32</v>
      </c>
      <c r="F1768" s="47">
        <f>[1]!BexGetData("DP_2","DL719O2RYNC0Y217V0FVT1R77","17","E","25062031E202","2067247011")</f>
        <v>1339.25</v>
      </c>
      <c r="G1768" s="48">
        <f>[1]!BexGetData("DP_2","DL719O2RYNEBZX0HTMQQ0BY0J","17","E","25062031E202","2067247011")</f>
        <v>1339.25</v>
      </c>
      <c r="H1768" s="48">
        <f>[1]!BexGetData("DP_2","DL719O2RYNGN1RZRS91K7M4TV","17","E","25062031E202","2067247011")</f>
        <v>1339.25</v>
      </c>
      <c r="I1768" s="48">
        <f>[1]!BexGetData("DP_2","DL719O2RYNIY3MZ1QVCEEWBN7","17","E","25062031E202","2067247011")</f>
        <v>0</v>
      </c>
    </row>
    <row r="1769" spans="1:9" x14ac:dyDescent="0.2">
      <c r="A1769" s="46" t="s">
        <v>32</v>
      </c>
      <c r="B1769" s="46" t="s">
        <v>32</v>
      </c>
      <c r="C1769" s="46" t="s">
        <v>32</v>
      </c>
      <c r="D1769" s="46" t="s">
        <v>32</v>
      </c>
      <c r="E1769" s="46" t="s">
        <v>32</v>
      </c>
      <c r="F1769" s="47">
        <f>[1]!BexGetData("DP_2","DL719O2RYNC0Y217V0FVT1R77","17","E","25062031E202","2067249011")</f>
        <v>304</v>
      </c>
      <c r="G1769" s="48">
        <f>[1]!BexGetData("DP_2","DL719O2RYNEBZX0HTMQQ0BY0J","17","E","25062031E202","2067249011")</f>
        <v>304</v>
      </c>
      <c r="H1769" s="48">
        <f>[1]!BexGetData("DP_2","DL719O2RYNGN1RZRS91K7M4TV","17","E","25062031E202","2067249011")</f>
        <v>304</v>
      </c>
      <c r="I1769" s="48">
        <f>[1]!BexGetData("DP_2","DL719O2RYNIY3MZ1QVCEEWBN7","17","E","25062031E202","2067249011")</f>
        <v>0</v>
      </c>
    </row>
    <row r="1770" spans="1:9" x14ac:dyDescent="0.2">
      <c r="A1770" s="46" t="s">
        <v>32</v>
      </c>
      <c r="B1770" s="46" t="s">
        <v>32</v>
      </c>
      <c r="C1770" s="46" t="s">
        <v>32</v>
      </c>
      <c r="D1770" s="46" t="s">
        <v>32</v>
      </c>
      <c r="E1770" s="46" t="s">
        <v>32</v>
      </c>
      <c r="F1770" s="47">
        <f>[1]!BexGetData("DP_2","DL719O2RYNC0Y217V0FVT1R77","17","E","25062031E202","2067256011")</f>
        <v>1143.49</v>
      </c>
      <c r="G1770" s="48">
        <f>[1]!BexGetData("DP_2","DL719O2RYNEBZX0HTMQQ0BY0J","17","E","25062031E202","2067256011")</f>
        <v>1143.49</v>
      </c>
      <c r="H1770" s="48">
        <f>[1]!BexGetData("DP_2","DL719O2RYNGN1RZRS91K7M4TV","17","E","25062031E202","2067256011")</f>
        <v>236.49</v>
      </c>
      <c r="I1770" s="48">
        <f>[1]!BexGetData("DP_2","DL719O2RYNIY3MZ1QVCEEWBN7","17","E","25062031E202","2067256011")</f>
        <v>0</v>
      </c>
    </row>
    <row r="1771" spans="1:9" x14ac:dyDescent="0.2">
      <c r="A1771" s="46" t="s">
        <v>32</v>
      </c>
      <c r="B1771" s="46" t="s">
        <v>32</v>
      </c>
      <c r="C1771" s="46" t="s">
        <v>32</v>
      </c>
      <c r="D1771" s="46" t="s">
        <v>32</v>
      </c>
      <c r="E1771" s="46" t="s">
        <v>32</v>
      </c>
      <c r="F1771" s="47">
        <f>[1]!BexGetData("DP_2","DL719O2RYNC0Y217V0FVT1R77","17","E","25062031E202","2067272011")</f>
        <v>85.84</v>
      </c>
      <c r="G1771" s="48">
        <f>[1]!BexGetData("DP_2","DL719O2RYNEBZX0HTMQQ0BY0J","17","E","25062031E202","2067272011")</f>
        <v>85.84</v>
      </c>
      <c r="H1771" s="48">
        <f>[1]!BexGetData("DP_2","DL719O2RYNGN1RZRS91K7M4TV","17","E","25062031E202","2067272011")</f>
        <v>85.84</v>
      </c>
      <c r="I1771" s="48">
        <f>[1]!BexGetData("DP_2","DL719O2RYNIY3MZ1QVCEEWBN7","17","E","25062031E202","2067272011")</f>
        <v>0</v>
      </c>
    </row>
    <row r="1772" spans="1:9" x14ac:dyDescent="0.2">
      <c r="A1772" s="46" t="s">
        <v>32</v>
      </c>
      <c r="B1772" s="46" t="s">
        <v>32</v>
      </c>
      <c r="C1772" s="46" t="s">
        <v>32</v>
      </c>
      <c r="D1772" s="46" t="s">
        <v>32</v>
      </c>
      <c r="E1772" s="46" t="s">
        <v>32</v>
      </c>
      <c r="F1772" s="47">
        <f>[1]!BexGetData("DP_2","DL719O2RYNC0Y217V0FVT1R77","17","E","25062031E202","2067292011")</f>
        <v>260</v>
      </c>
      <c r="G1772" s="48">
        <f>[1]!BexGetData("DP_2","DL719O2RYNEBZX0HTMQQ0BY0J","17","E","25062031E202","2067292011")</f>
        <v>260</v>
      </c>
      <c r="H1772" s="48">
        <f>[1]!BexGetData("DP_2","DL719O2RYNGN1RZRS91K7M4TV","17","E","25062031E202","2067292011")</f>
        <v>260</v>
      </c>
      <c r="I1772" s="48">
        <f>[1]!BexGetData("DP_2","DL719O2RYNIY3MZ1QVCEEWBN7","17","E","25062031E202","2067292011")</f>
        <v>0</v>
      </c>
    </row>
    <row r="1773" spans="1:9" x14ac:dyDescent="0.2">
      <c r="A1773" s="46" t="s">
        <v>32</v>
      </c>
      <c r="B1773" s="46" t="s">
        <v>32</v>
      </c>
      <c r="C1773" s="46" t="s">
        <v>32</v>
      </c>
      <c r="D1773" s="46" t="s">
        <v>32</v>
      </c>
      <c r="E1773" s="46" t="s">
        <v>32</v>
      </c>
      <c r="F1773" s="47">
        <f>[1]!BexGetData("DP_2","DL719O2RYNC0Y217V0FVT1R77","17","E","25062031E202","2067311011")</f>
        <v>63774.59</v>
      </c>
      <c r="G1773" s="48">
        <f>[1]!BexGetData("DP_2","DL719O2RYNEBZX0HTMQQ0BY0J","17","E","25062031E202","2067311011")</f>
        <v>63774.59</v>
      </c>
      <c r="H1773" s="48">
        <f>[1]!BexGetData("DP_2","DL719O2RYNGN1RZRS91K7M4TV","17","E","25062031E202","2067311011")</f>
        <v>60817.59</v>
      </c>
      <c r="I1773" s="48">
        <f>[1]!BexGetData("DP_2","DL719O2RYNIY3MZ1QVCEEWBN7","17","E","25062031E202","2067311011")</f>
        <v>0</v>
      </c>
    </row>
    <row r="1774" spans="1:9" x14ac:dyDescent="0.2">
      <c r="A1774" s="46" t="s">
        <v>32</v>
      </c>
      <c r="B1774" s="46" t="s">
        <v>32</v>
      </c>
      <c r="C1774" s="46" t="s">
        <v>32</v>
      </c>
      <c r="D1774" s="46" t="s">
        <v>32</v>
      </c>
      <c r="E1774" s="46" t="s">
        <v>32</v>
      </c>
      <c r="F1774" s="47">
        <f>[1]!BexGetData("DP_2","DL719O2RYNC0Y217V0FVT1R77","17","E","25062031E202","2067312011")</f>
        <v>14814.67</v>
      </c>
      <c r="G1774" s="48">
        <f>[1]!BexGetData("DP_2","DL719O2RYNEBZX0HTMQQ0BY0J","17","E","25062031E202","2067312011")</f>
        <v>14814.67</v>
      </c>
      <c r="H1774" s="48">
        <f>[1]!BexGetData("DP_2","DL719O2RYNGN1RZRS91K7M4TV","17","E","25062031E202","2067312011")</f>
        <v>14814.67</v>
      </c>
      <c r="I1774" s="48">
        <f>[1]!BexGetData("DP_2","DL719O2RYNIY3MZ1QVCEEWBN7","17","E","25062031E202","2067312011")</f>
        <v>0</v>
      </c>
    </row>
    <row r="1775" spans="1:9" x14ac:dyDescent="0.2">
      <c r="A1775" s="46" t="s">
        <v>32</v>
      </c>
      <c r="B1775" s="46" t="s">
        <v>32</v>
      </c>
      <c r="C1775" s="46" t="s">
        <v>32</v>
      </c>
      <c r="D1775" s="46" t="s">
        <v>32</v>
      </c>
      <c r="E1775" s="46" t="s">
        <v>32</v>
      </c>
      <c r="F1775" s="47">
        <f>[1]!BexGetData("DP_2","DL719O2RYNC0Y217V0FVT1R77","17","E","25062031E202","2067313011")</f>
        <v>42738</v>
      </c>
      <c r="G1775" s="48">
        <f>[1]!BexGetData("DP_2","DL719O2RYNEBZX0HTMQQ0BY0J","17","E","25062031E202","2067313011")</f>
        <v>42738</v>
      </c>
      <c r="H1775" s="48">
        <f>[1]!BexGetData("DP_2","DL719O2RYNGN1RZRS91K7M4TV","17","E","25062031E202","2067313011")</f>
        <v>42738</v>
      </c>
      <c r="I1775" s="48">
        <f>[1]!BexGetData("DP_2","DL719O2RYNIY3MZ1QVCEEWBN7","17","E","25062031E202","2067313011")</f>
        <v>0</v>
      </c>
    </row>
    <row r="1776" spans="1:9" x14ac:dyDescent="0.2">
      <c r="A1776" s="46" t="s">
        <v>32</v>
      </c>
      <c r="B1776" s="46" t="s">
        <v>32</v>
      </c>
      <c r="C1776" s="46" t="s">
        <v>32</v>
      </c>
      <c r="D1776" s="46" t="s">
        <v>32</v>
      </c>
      <c r="E1776" s="46" t="s">
        <v>32</v>
      </c>
      <c r="F1776" s="47">
        <f>[1]!BexGetData("DP_2","DL719O2RYNC0Y217V0FVT1R77","17","E","25062031E202","2067314011")</f>
        <v>39712.019999999997</v>
      </c>
      <c r="G1776" s="48">
        <f>[1]!BexGetData("DP_2","DL719O2RYNEBZX0HTMQQ0BY0J","17","E","25062031E202","2067314011")</f>
        <v>39712.019999999997</v>
      </c>
      <c r="H1776" s="48">
        <f>[1]!BexGetData("DP_2","DL719O2RYNGN1RZRS91K7M4TV","17","E","25062031E202","2067314011")</f>
        <v>39712.019999999997</v>
      </c>
      <c r="I1776" s="48">
        <f>[1]!BexGetData("DP_2","DL719O2RYNIY3MZ1QVCEEWBN7","17","E","25062031E202","2067314011")</f>
        <v>0</v>
      </c>
    </row>
    <row r="1777" spans="1:9" x14ac:dyDescent="0.2">
      <c r="A1777" s="46" t="s">
        <v>32</v>
      </c>
      <c r="B1777" s="46" t="s">
        <v>32</v>
      </c>
      <c r="C1777" s="46" t="s">
        <v>32</v>
      </c>
      <c r="D1777" s="46" t="s">
        <v>32</v>
      </c>
      <c r="E1777" s="46" t="s">
        <v>32</v>
      </c>
      <c r="F1777" s="47">
        <f>[1]!BexGetData("DP_2","DL719O2RYNC0Y217V0FVT1R77","17","E","25062031E202","2067322021")</f>
        <v>1394017.85</v>
      </c>
      <c r="G1777" s="48">
        <f>[1]!BexGetData("DP_2","DL719O2RYNEBZX0HTMQQ0BY0J","17","E","25062031E202","2067322021")</f>
        <v>1394017.85</v>
      </c>
      <c r="H1777" s="48">
        <f>[1]!BexGetData("DP_2","DL719O2RYNGN1RZRS91K7M4TV","17","E","25062031E202","2067322021")</f>
        <v>1283462</v>
      </c>
      <c r="I1777" s="48">
        <f>[1]!BexGetData("DP_2","DL719O2RYNIY3MZ1QVCEEWBN7","17","E","25062031E202","2067322021")</f>
        <v>0</v>
      </c>
    </row>
    <row r="1778" spans="1:9" x14ac:dyDescent="0.2">
      <c r="A1778" s="46" t="s">
        <v>32</v>
      </c>
      <c r="B1778" s="46" t="s">
        <v>32</v>
      </c>
      <c r="C1778" s="46" t="s">
        <v>32</v>
      </c>
      <c r="D1778" s="46" t="s">
        <v>32</v>
      </c>
      <c r="E1778" s="46" t="s">
        <v>32</v>
      </c>
      <c r="F1778" s="47">
        <f>[1]!BexGetData("DP_2","DL719O2RYNC0Y217V0FVT1R77","17","E","25062031E202","2067336011")</f>
        <v>9342.2900000000009</v>
      </c>
      <c r="G1778" s="48">
        <f>[1]!BexGetData("DP_2","DL719O2RYNEBZX0HTMQQ0BY0J","17","E","25062031E202","2067336011")</f>
        <v>9342.2900000000009</v>
      </c>
      <c r="H1778" s="48">
        <f>[1]!BexGetData("DP_2","DL719O2RYNGN1RZRS91K7M4TV","17","E","25062031E202","2067336011")</f>
        <v>4554.68</v>
      </c>
      <c r="I1778" s="48">
        <f>[1]!BexGetData("DP_2","DL719O2RYNIY3MZ1QVCEEWBN7","17","E","25062031E202","2067336011")</f>
        <v>0</v>
      </c>
    </row>
    <row r="1779" spans="1:9" x14ac:dyDescent="0.2">
      <c r="A1779" s="46" t="s">
        <v>32</v>
      </c>
      <c r="B1779" s="46" t="s">
        <v>32</v>
      </c>
      <c r="C1779" s="46" t="s">
        <v>32</v>
      </c>
      <c r="D1779" s="46" t="s">
        <v>32</v>
      </c>
      <c r="E1779" s="46" t="s">
        <v>32</v>
      </c>
      <c r="F1779" s="47">
        <f>[1]!BexGetData("DP_2","DL719O2RYNC0Y217V0FVT1R77","17","E","25062031E202","2067339011")</f>
        <v>2080</v>
      </c>
      <c r="G1779" s="48">
        <f>[1]!BexGetData("DP_2","DL719O2RYNEBZX0HTMQQ0BY0J","17","E","25062031E202","2067339011")</f>
        <v>2080</v>
      </c>
      <c r="H1779" s="48">
        <f>[1]!BexGetData("DP_2","DL719O2RYNGN1RZRS91K7M4TV","17","E","25062031E202","2067339011")</f>
        <v>2080</v>
      </c>
      <c r="I1779" s="48">
        <f>[1]!BexGetData("DP_2","DL719O2RYNIY3MZ1QVCEEWBN7","17","E","25062031E202","2067339011")</f>
        <v>0</v>
      </c>
    </row>
    <row r="1780" spans="1:9" x14ac:dyDescent="0.2">
      <c r="A1780" s="46" t="s">
        <v>32</v>
      </c>
      <c r="B1780" s="46" t="s">
        <v>32</v>
      </c>
      <c r="C1780" s="46" t="s">
        <v>32</v>
      </c>
      <c r="D1780" s="46" t="s">
        <v>32</v>
      </c>
      <c r="E1780" s="46" t="s">
        <v>32</v>
      </c>
      <c r="F1780" s="47">
        <f>[1]!BexGetData("DP_2","DL719O2RYNC0Y217V0FVT1R77","17","E","25062031E202","2067347011")</f>
        <v>5476</v>
      </c>
      <c r="G1780" s="48">
        <f>[1]!BexGetData("DP_2","DL719O2RYNEBZX0HTMQQ0BY0J","17","E","25062031E202","2067347011")</f>
        <v>5476</v>
      </c>
      <c r="H1780" s="48">
        <f>[1]!BexGetData("DP_2","DL719O2RYNGN1RZRS91K7M4TV","17","E","25062031E202","2067347011")</f>
        <v>5476</v>
      </c>
      <c r="I1780" s="48">
        <f>[1]!BexGetData("DP_2","DL719O2RYNIY3MZ1QVCEEWBN7","17","E","25062031E202","2067347011")</f>
        <v>0</v>
      </c>
    </row>
    <row r="1781" spans="1:9" x14ac:dyDescent="0.2">
      <c r="A1781" s="46" t="s">
        <v>32</v>
      </c>
      <c r="B1781" s="46" t="s">
        <v>32</v>
      </c>
      <c r="C1781" s="46" t="s">
        <v>32</v>
      </c>
      <c r="D1781" s="46" t="s">
        <v>32</v>
      </c>
      <c r="E1781" s="46" t="s">
        <v>32</v>
      </c>
      <c r="F1781" s="47">
        <f>[1]!BexGetData("DP_2","DL719O2RYNC0Y217V0FVT1R77","17","E","25062031E202","2067351011")</f>
        <v>249059.34</v>
      </c>
      <c r="G1781" s="48">
        <f>[1]!BexGetData("DP_2","DL719O2RYNEBZX0HTMQQ0BY0J","17","E","25062031E202","2067351011")</f>
        <v>249059.34</v>
      </c>
      <c r="H1781" s="48">
        <f>[1]!BexGetData("DP_2","DL719O2RYNGN1RZRS91K7M4TV","17","E","25062031E202","2067351011")</f>
        <v>0</v>
      </c>
      <c r="I1781" s="48">
        <f>[1]!BexGetData("DP_2","DL719O2RYNIY3MZ1QVCEEWBN7","17","E","25062031E202","2067351011")</f>
        <v>0</v>
      </c>
    </row>
    <row r="1782" spans="1:9" x14ac:dyDescent="0.2">
      <c r="A1782" s="46" t="s">
        <v>32</v>
      </c>
      <c r="B1782" s="46" t="s">
        <v>32</v>
      </c>
      <c r="C1782" s="46" t="s">
        <v>32</v>
      </c>
      <c r="D1782" s="46" t="s">
        <v>32</v>
      </c>
      <c r="E1782" s="46" t="s">
        <v>32</v>
      </c>
      <c r="F1782" s="47">
        <f>[1]!BexGetData("DP_2","DL719O2RYNC0Y217V0FVT1R77","17","E","25062031E202","2067372011")</f>
        <v>1988</v>
      </c>
      <c r="G1782" s="48">
        <f>[1]!BexGetData("DP_2","DL719O2RYNEBZX0HTMQQ0BY0J","17","E","25062031E202","2067372011")</f>
        <v>1988</v>
      </c>
      <c r="H1782" s="48">
        <f>[1]!BexGetData("DP_2","DL719O2RYNGN1RZRS91K7M4TV","17","E","25062031E202","2067372011")</f>
        <v>1988</v>
      </c>
      <c r="I1782" s="48">
        <f>[1]!BexGetData("DP_2","DL719O2RYNIY3MZ1QVCEEWBN7","17","E","25062031E202","2067372011")</f>
        <v>0</v>
      </c>
    </row>
    <row r="1783" spans="1:9" x14ac:dyDescent="0.2">
      <c r="A1783" s="46" t="s">
        <v>32</v>
      </c>
      <c r="B1783" s="46" t="s">
        <v>32</v>
      </c>
      <c r="C1783" s="46" t="s">
        <v>32</v>
      </c>
      <c r="D1783" s="46" t="s">
        <v>32</v>
      </c>
      <c r="E1783" s="46" t="s">
        <v>32</v>
      </c>
      <c r="F1783" s="47">
        <f>[1]!BexGetData("DP_2","DL719O2RYNC0Y217V0FVT1R77","17","E","25062031E202","2067399031")</f>
        <v>2533.1999999999998</v>
      </c>
      <c r="G1783" s="48">
        <f>[1]!BexGetData("DP_2","DL719O2RYNEBZX0HTMQQ0BY0J","17","E","25062031E202","2067399031")</f>
        <v>2533.1999999999998</v>
      </c>
      <c r="H1783" s="48">
        <f>[1]!BexGetData("DP_2","DL719O2RYNGN1RZRS91K7M4TV","17","E","25062031E202","2067399031")</f>
        <v>2533.1999999999998</v>
      </c>
      <c r="I1783" s="48">
        <f>[1]!BexGetData("DP_2","DL719O2RYNIY3MZ1QVCEEWBN7","17","E","25062031E202","2067399031")</f>
        <v>0</v>
      </c>
    </row>
    <row r="1784" spans="1:9" x14ac:dyDescent="0.2">
      <c r="A1784" s="46" t="s">
        <v>32</v>
      </c>
      <c r="B1784" s="46" t="s">
        <v>32</v>
      </c>
      <c r="C1784" s="46" t="s">
        <v>32</v>
      </c>
      <c r="D1784" s="46" t="s">
        <v>32</v>
      </c>
      <c r="E1784" s="46" t="s">
        <v>32</v>
      </c>
      <c r="F1784" s="47">
        <f>[1]!BexGetData("DP_2","DL719O2RYNC0Y217V0FVT1R77","17","E","25062031E202","2067445011")</f>
        <v>9800</v>
      </c>
      <c r="G1784" s="48">
        <f>[1]!BexGetData("DP_2","DL719O2RYNEBZX0HTMQQ0BY0J","17","E","25062031E202","2067445011")</f>
        <v>9800</v>
      </c>
      <c r="H1784" s="48">
        <f>[1]!BexGetData("DP_2","DL719O2RYNGN1RZRS91K7M4TV","17","E","25062031E202","2067445011")</f>
        <v>9800</v>
      </c>
      <c r="I1784" s="48">
        <f>[1]!BexGetData("DP_2","DL719O2RYNIY3MZ1QVCEEWBN7","17","E","25062031E202","2067445011")</f>
        <v>0</v>
      </c>
    </row>
    <row r="1785" spans="1:9" x14ac:dyDescent="0.2">
      <c r="A1785" s="46" t="s">
        <v>32</v>
      </c>
      <c r="B1785" s="46" t="s">
        <v>32</v>
      </c>
      <c r="C1785" s="46" t="s">
        <v>32</v>
      </c>
      <c r="D1785" s="46" t="s">
        <v>32</v>
      </c>
      <c r="E1785" s="46" t="s">
        <v>32</v>
      </c>
      <c r="F1785" s="47">
        <f>[1]!BexGetData("DP_2","DL719O2RYNC0Y217V0FVT1R77","17","E","25062031E202","2067519012")</f>
        <v>8903</v>
      </c>
      <c r="G1785" s="48">
        <f>[1]!BexGetData("DP_2","DL719O2RYNEBZX0HTMQQ0BY0J","17","E","25062031E202","2067519012")</f>
        <v>8903</v>
      </c>
      <c r="H1785" s="48">
        <f>[1]!BexGetData("DP_2","DL719O2RYNGN1RZRS91K7M4TV","17","E","25062031E202","2067519012")</f>
        <v>0</v>
      </c>
      <c r="I1785" s="48">
        <f>[1]!BexGetData("DP_2","DL719O2RYNIY3MZ1QVCEEWBN7","17","E","25062031E202","2067519012")</f>
        <v>0</v>
      </c>
    </row>
    <row r="1786" spans="1:9" x14ac:dyDescent="0.2">
      <c r="A1786" s="46" t="s">
        <v>32</v>
      </c>
      <c r="B1786" s="46" t="s">
        <v>32</v>
      </c>
      <c r="C1786" s="46" t="s">
        <v>124</v>
      </c>
      <c r="D1786" s="46" t="s">
        <v>124</v>
      </c>
      <c r="E1786" s="46" t="s">
        <v>32</v>
      </c>
      <c r="F1786" s="47">
        <f>[1]!BexGetData("DP_2","DL719O2RYNC0Y217V0FVT1R77","17","E","26012071E213","2067113011")</f>
        <v>4167319.61</v>
      </c>
      <c r="G1786" s="48">
        <f>[1]!BexGetData("DP_2","DL719O2RYNEBZX0HTMQQ0BY0J","17","E","26012071E213","2067113011")</f>
        <v>4167319.61</v>
      </c>
      <c r="H1786" s="48">
        <f>[1]!BexGetData("DP_2","DL719O2RYNGN1RZRS91K7M4TV","17","E","26012071E213","2067113011")</f>
        <v>4167319.61</v>
      </c>
      <c r="I1786" s="48">
        <f>[1]!BexGetData("DP_2","DL719O2RYNIY3MZ1QVCEEWBN7","17","E","26012071E213","2067113011")</f>
        <v>-1.0000000000000001E-9</v>
      </c>
    </row>
    <row r="1787" spans="1:9" x14ac:dyDescent="0.2">
      <c r="A1787" s="46" t="s">
        <v>32</v>
      </c>
      <c r="B1787" s="46" t="s">
        <v>32</v>
      </c>
      <c r="C1787" s="46" t="s">
        <v>32</v>
      </c>
      <c r="D1787" s="46" t="s">
        <v>32</v>
      </c>
      <c r="E1787" s="46" t="s">
        <v>32</v>
      </c>
      <c r="F1787" s="47">
        <f>[1]!BexGetData("DP_2","DL719O2RYNC0Y217V0FVT1R77","17","E","26012071E213","2067113021")</f>
        <v>2575874.9900000002</v>
      </c>
      <c r="G1787" s="48">
        <f>[1]!BexGetData("DP_2","DL719O2RYNEBZX0HTMQQ0BY0J","17","E","26012071E213","2067113021")</f>
        <v>2575874.9900000002</v>
      </c>
      <c r="H1787" s="48">
        <f>[1]!BexGetData("DP_2","DL719O2RYNGN1RZRS91K7M4TV","17","E","26012071E213","2067113021")</f>
        <v>2575874.9900000002</v>
      </c>
      <c r="I1787" s="48">
        <f>[1]!BexGetData("DP_2","DL719O2RYNIY3MZ1QVCEEWBN7","17","E","26012071E213","2067113021")</f>
        <v>0</v>
      </c>
    </row>
    <row r="1788" spans="1:9" x14ac:dyDescent="0.2">
      <c r="A1788" s="46" t="s">
        <v>32</v>
      </c>
      <c r="B1788" s="46" t="s">
        <v>32</v>
      </c>
      <c r="C1788" s="46" t="s">
        <v>32</v>
      </c>
      <c r="D1788" s="46" t="s">
        <v>32</v>
      </c>
      <c r="E1788" s="46" t="s">
        <v>32</v>
      </c>
      <c r="F1788" s="47">
        <f>[1]!BexGetData("DP_2","DL719O2RYNC0Y217V0FVT1R77","17","E","26012071E213","2067122011")</f>
        <v>1694074.25</v>
      </c>
      <c r="G1788" s="48">
        <f>[1]!BexGetData("DP_2","DL719O2RYNEBZX0HTMQQ0BY0J","17","E","26012071E213","2067122011")</f>
        <v>1694074.25</v>
      </c>
      <c r="H1788" s="48">
        <f>[1]!BexGetData("DP_2","DL719O2RYNGN1RZRS91K7M4TV","17","E","26012071E213","2067122011")</f>
        <v>1694074.25</v>
      </c>
      <c r="I1788" s="48">
        <f>[1]!BexGetData("DP_2","DL719O2RYNIY3MZ1QVCEEWBN7","17","E","26012071E213","2067122011")</f>
        <v>0</v>
      </c>
    </row>
    <row r="1789" spans="1:9" x14ac:dyDescent="0.2">
      <c r="A1789" s="46" t="s">
        <v>32</v>
      </c>
      <c r="B1789" s="46" t="s">
        <v>32</v>
      </c>
      <c r="C1789" s="46" t="s">
        <v>32</v>
      </c>
      <c r="D1789" s="46" t="s">
        <v>32</v>
      </c>
      <c r="E1789" s="46" t="s">
        <v>32</v>
      </c>
      <c r="F1789" s="47">
        <f>[1]!BexGetData("DP_2","DL719O2RYNC0Y217V0FVT1R77","17","E","26012071E213","2067131011")</f>
        <v>353148.48</v>
      </c>
      <c r="G1789" s="48">
        <f>[1]!BexGetData("DP_2","DL719O2RYNEBZX0HTMQQ0BY0J","17","E","26012071E213","2067131011")</f>
        <v>353148.48</v>
      </c>
      <c r="H1789" s="48">
        <f>[1]!BexGetData("DP_2","DL719O2RYNGN1RZRS91K7M4TV","17","E","26012071E213","2067131011")</f>
        <v>353148.48</v>
      </c>
      <c r="I1789" s="48">
        <f>[1]!BexGetData("DP_2","DL719O2RYNIY3MZ1QVCEEWBN7","17","E","26012071E213","2067131011")</f>
        <v>0</v>
      </c>
    </row>
    <row r="1790" spans="1:9" x14ac:dyDescent="0.2">
      <c r="A1790" s="46" t="s">
        <v>32</v>
      </c>
      <c r="B1790" s="46" t="s">
        <v>32</v>
      </c>
      <c r="C1790" s="46" t="s">
        <v>32</v>
      </c>
      <c r="D1790" s="46" t="s">
        <v>32</v>
      </c>
      <c r="E1790" s="46" t="s">
        <v>32</v>
      </c>
      <c r="F1790" s="47">
        <f>[1]!BexGetData("DP_2","DL719O2RYNC0Y217V0FVT1R77","17","E","26012071E213","2067131021")</f>
        <v>14253.55</v>
      </c>
      <c r="G1790" s="48">
        <f>[1]!BexGetData("DP_2","DL719O2RYNEBZX0HTMQQ0BY0J","17","E","26012071E213","2067131021")</f>
        <v>14253.55</v>
      </c>
      <c r="H1790" s="48">
        <f>[1]!BexGetData("DP_2","DL719O2RYNGN1RZRS91K7M4TV","17","E","26012071E213","2067131021")</f>
        <v>14253.55</v>
      </c>
      <c r="I1790" s="48">
        <f>[1]!BexGetData("DP_2","DL719O2RYNIY3MZ1QVCEEWBN7","17","E","26012071E213","2067131021")</f>
        <v>0</v>
      </c>
    </row>
    <row r="1791" spans="1:9" x14ac:dyDescent="0.2">
      <c r="A1791" s="46" t="s">
        <v>32</v>
      </c>
      <c r="B1791" s="46" t="s">
        <v>32</v>
      </c>
      <c r="C1791" s="46" t="s">
        <v>32</v>
      </c>
      <c r="D1791" s="46" t="s">
        <v>32</v>
      </c>
      <c r="E1791" s="46" t="s">
        <v>32</v>
      </c>
      <c r="F1791" s="47">
        <f>[1]!BexGetData("DP_2","DL719O2RYNC0Y217V0FVT1R77","17","E","26012071E213","2067132011")</f>
        <v>272630.15000000002</v>
      </c>
      <c r="G1791" s="48">
        <f>[1]!BexGetData("DP_2","DL719O2RYNEBZX0HTMQQ0BY0J","17","E","26012071E213","2067132011")</f>
        <v>272630.15000000002</v>
      </c>
      <c r="H1791" s="48">
        <f>[1]!BexGetData("DP_2","DL719O2RYNGN1RZRS91K7M4TV","17","E","26012071E213","2067132011")</f>
        <v>272630.15000000002</v>
      </c>
      <c r="I1791" s="48">
        <f>[1]!BexGetData("DP_2","DL719O2RYNIY3MZ1QVCEEWBN7","17","E","26012071E213","2067132011")</f>
        <v>0</v>
      </c>
    </row>
    <row r="1792" spans="1:9" x14ac:dyDescent="0.2">
      <c r="A1792" s="46" t="s">
        <v>32</v>
      </c>
      <c r="B1792" s="46" t="s">
        <v>32</v>
      </c>
      <c r="C1792" s="46" t="s">
        <v>32</v>
      </c>
      <c r="D1792" s="46" t="s">
        <v>32</v>
      </c>
      <c r="E1792" s="46" t="s">
        <v>32</v>
      </c>
      <c r="F1792" s="47">
        <f>[1]!BexGetData("DP_2","DL719O2RYNC0Y217V0FVT1R77","17","E","26012071E213","2067132021")</f>
        <v>1478912.95</v>
      </c>
      <c r="G1792" s="48">
        <f>[1]!BexGetData("DP_2","DL719O2RYNEBZX0HTMQQ0BY0J","17","E","26012071E213","2067132021")</f>
        <v>1478912.95</v>
      </c>
      <c r="H1792" s="48">
        <f>[1]!BexGetData("DP_2","DL719O2RYNGN1RZRS91K7M4TV","17","E","26012071E213","2067132021")</f>
        <v>1478912.95</v>
      </c>
      <c r="I1792" s="48">
        <f>[1]!BexGetData("DP_2","DL719O2RYNIY3MZ1QVCEEWBN7","17","E","26012071E213","2067132021")</f>
        <v>0</v>
      </c>
    </row>
    <row r="1793" spans="1:9" x14ac:dyDescent="0.2">
      <c r="A1793" s="46" t="s">
        <v>32</v>
      </c>
      <c r="B1793" s="46" t="s">
        <v>32</v>
      </c>
      <c r="C1793" s="46" t="s">
        <v>32</v>
      </c>
      <c r="D1793" s="46" t="s">
        <v>32</v>
      </c>
      <c r="E1793" s="46" t="s">
        <v>32</v>
      </c>
      <c r="F1793" s="47">
        <f>[1]!BexGetData("DP_2","DL719O2RYNC0Y217V0FVT1R77","17","E","26012071E213","2067133011")</f>
        <v>494186.18</v>
      </c>
      <c r="G1793" s="48">
        <f>[1]!BexGetData("DP_2","DL719O2RYNEBZX0HTMQQ0BY0J","17","E","26012071E213","2067133011")</f>
        <v>494186.18</v>
      </c>
      <c r="H1793" s="48">
        <f>[1]!BexGetData("DP_2","DL719O2RYNGN1RZRS91K7M4TV","17","E","26012071E213","2067133011")</f>
        <v>494186.18</v>
      </c>
      <c r="I1793" s="48">
        <f>[1]!BexGetData("DP_2","DL719O2RYNIY3MZ1QVCEEWBN7","17","E","26012071E213","2067133011")</f>
        <v>0</v>
      </c>
    </row>
    <row r="1794" spans="1:9" x14ac:dyDescent="0.2">
      <c r="A1794" s="46" t="s">
        <v>32</v>
      </c>
      <c r="B1794" s="46" t="s">
        <v>32</v>
      </c>
      <c r="C1794" s="46" t="s">
        <v>32</v>
      </c>
      <c r="D1794" s="46" t="s">
        <v>32</v>
      </c>
      <c r="E1794" s="46" t="s">
        <v>32</v>
      </c>
      <c r="F1794" s="47">
        <f>[1]!BexGetData("DP_2","DL719O2RYNC0Y217V0FVT1R77","17","E","26012071E213","2067134011")</f>
        <v>2416357.09</v>
      </c>
      <c r="G1794" s="48">
        <f>[1]!BexGetData("DP_2","DL719O2RYNEBZX0HTMQQ0BY0J","17","E","26012071E213","2067134011")</f>
        <v>2416357.09</v>
      </c>
      <c r="H1794" s="48">
        <f>[1]!BexGetData("DP_2","DL719O2RYNGN1RZRS91K7M4TV","17","E","26012071E213","2067134011")</f>
        <v>2456468.31</v>
      </c>
      <c r="I1794" s="48">
        <f>[1]!BexGetData("DP_2","DL719O2RYNIY3MZ1QVCEEWBN7","17","E","26012071E213","2067134011")</f>
        <v>0</v>
      </c>
    </row>
    <row r="1795" spans="1:9" x14ac:dyDescent="0.2">
      <c r="A1795" s="46" t="s">
        <v>32</v>
      </c>
      <c r="B1795" s="46" t="s">
        <v>32</v>
      </c>
      <c r="C1795" s="46" t="s">
        <v>32</v>
      </c>
      <c r="D1795" s="46" t="s">
        <v>32</v>
      </c>
      <c r="E1795" s="46" t="s">
        <v>32</v>
      </c>
      <c r="F1795" s="47">
        <f>[1]!BexGetData("DP_2","DL719O2RYNC0Y217V0FVT1R77","17","E","26012071E213","2067134021")</f>
        <v>3529341.55</v>
      </c>
      <c r="G1795" s="48">
        <f>[1]!BexGetData("DP_2","DL719O2RYNEBZX0HTMQQ0BY0J","17","E","26012071E213","2067134021")</f>
        <v>3529341.55</v>
      </c>
      <c r="H1795" s="48">
        <f>[1]!BexGetData("DP_2","DL719O2RYNGN1RZRS91K7M4TV","17","E","26012071E213","2067134021")</f>
        <v>3529341.55</v>
      </c>
      <c r="I1795" s="48">
        <f>[1]!BexGetData("DP_2","DL719O2RYNIY3MZ1QVCEEWBN7","17","E","26012071E213","2067134021")</f>
        <v>0</v>
      </c>
    </row>
    <row r="1796" spans="1:9" x14ac:dyDescent="0.2">
      <c r="A1796" s="46" t="s">
        <v>32</v>
      </c>
      <c r="B1796" s="46" t="s">
        <v>32</v>
      </c>
      <c r="C1796" s="46" t="s">
        <v>32</v>
      </c>
      <c r="D1796" s="46" t="s">
        <v>32</v>
      </c>
      <c r="E1796" s="46" t="s">
        <v>32</v>
      </c>
      <c r="F1796" s="47">
        <f>[1]!BexGetData("DP_2","DL719O2RYNC0Y217V0FVT1R77","17","E","26012071E213","2067141011")</f>
        <v>1555158.67</v>
      </c>
      <c r="G1796" s="48">
        <f>[1]!BexGetData("DP_2","DL719O2RYNEBZX0HTMQQ0BY0J","17","E","26012071E213","2067141011")</f>
        <v>1555158.67</v>
      </c>
      <c r="H1796" s="48">
        <f>[1]!BexGetData("DP_2","DL719O2RYNGN1RZRS91K7M4TV","17","E","26012071E213","2067141011")</f>
        <v>1555158.67</v>
      </c>
      <c r="I1796" s="48">
        <f>[1]!BexGetData("DP_2","DL719O2RYNIY3MZ1QVCEEWBN7","17","E","26012071E213","2067141011")</f>
        <v>0</v>
      </c>
    </row>
    <row r="1797" spans="1:9" x14ac:dyDescent="0.2">
      <c r="A1797" s="46" t="s">
        <v>32</v>
      </c>
      <c r="B1797" s="46" t="s">
        <v>32</v>
      </c>
      <c r="C1797" s="46" t="s">
        <v>32</v>
      </c>
      <c r="D1797" s="46" t="s">
        <v>32</v>
      </c>
      <c r="E1797" s="46" t="s">
        <v>32</v>
      </c>
      <c r="F1797" s="47">
        <f>[1]!BexGetData("DP_2","DL719O2RYNC0Y217V0FVT1R77","17","E","26012071E213","2067141021")</f>
        <v>496029.31</v>
      </c>
      <c r="G1797" s="48">
        <f>[1]!BexGetData("DP_2","DL719O2RYNEBZX0HTMQQ0BY0J","17","E","26012071E213","2067141021")</f>
        <v>496029.31</v>
      </c>
      <c r="H1797" s="48">
        <f>[1]!BexGetData("DP_2","DL719O2RYNGN1RZRS91K7M4TV","17","E","26012071E213","2067141021")</f>
        <v>496029.31</v>
      </c>
      <c r="I1797" s="48">
        <f>[1]!BexGetData("DP_2","DL719O2RYNIY3MZ1QVCEEWBN7","17","E","26012071E213","2067141021")</f>
        <v>0</v>
      </c>
    </row>
    <row r="1798" spans="1:9" x14ac:dyDescent="0.2">
      <c r="A1798" s="46" t="s">
        <v>32</v>
      </c>
      <c r="B1798" s="46" t="s">
        <v>32</v>
      </c>
      <c r="C1798" s="46" t="s">
        <v>32</v>
      </c>
      <c r="D1798" s="46" t="s">
        <v>32</v>
      </c>
      <c r="E1798" s="46" t="s">
        <v>32</v>
      </c>
      <c r="F1798" s="47">
        <f>[1]!BexGetData("DP_2","DL719O2RYNC0Y217V0FVT1R77","17","E","26012071E213","2067143011")</f>
        <v>234754.04</v>
      </c>
      <c r="G1798" s="48">
        <f>[1]!BexGetData("DP_2","DL719O2RYNEBZX0HTMQQ0BY0J","17","E","26012071E213","2067143011")</f>
        <v>234754.04</v>
      </c>
      <c r="H1798" s="48">
        <f>[1]!BexGetData("DP_2","DL719O2RYNGN1RZRS91K7M4TV","17","E","26012071E213","2067143011")</f>
        <v>234754.04</v>
      </c>
      <c r="I1798" s="48">
        <f>[1]!BexGetData("DP_2","DL719O2RYNIY3MZ1QVCEEWBN7","17","E","26012071E213","2067143011")</f>
        <v>0</v>
      </c>
    </row>
    <row r="1799" spans="1:9" x14ac:dyDescent="0.2">
      <c r="A1799" s="46" t="s">
        <v>32</v>
      </c>
      <c r="B1799" s="46" t="s">
        <v>32</v>
      </c>
      <c r="C1799" s="46" t="s">
        <v>32</v>
      </c>
      <c r="D1799" s="46" t="s">
        <v>32</v>
      </c>
      <c r="E1799" s="46" t="s">
        <v>32</v>
      </c>
      <c r="F1799" s="47">
        <f>[1]!BexGetData("DP_2","DL719O2RYNC0Y217V0FVT1R77","17","E","26012071E213","2067151011")</f>
        <v>809539.44</v>
      </c>
      <c r="G1799" s="48">
        <f>[1]!BexGetData("DP_2","DL719O2RYNEBZX0HTMQQ0BY0J","17","E","26012071E213","2067151011")</f>
        <v>809539.44</v>
      </c>
      <c r="H1799" s="48">
        <f>[1]!BexGetData("DP_2","DL719O2RYNGN1RZRS91K7M4TV","17","E","26012071E213","2067151011")</f>
        <v>809539.44</v>
      </c>
      <c r="I1799" s="48">
        <f>[1]!BexGetData("DP_2","DL719O2RYNIY3MZ1QVCEEWBN7","17","E","26012071E213","2067151011")</f>
        <v>0</v>
      </c>
    </row>
    <row r="1800" spans="1:9" x14ac:dyDescent="0.2">
      <c r="A1800" s="46" t="s">
        <v>32</v>
      </c>
      <c r="B1800" s="46" t="s">
        <v>32</v>
      </c>
      <c r="C1800" s="46" t="s">
        <v>32</v>
      </c>
      <c r="D1800" s="46" t="s">
        <v>32</v>
      </c>
      <c r="E1800" s="46" t="s">
        <v>32</v>
      </c>
      <c r="F1800" s="47">
        <f>[1]!BexGetData("DP_2","DL719O2RYNC0Y217V0FVT1R77","17","E","26012071E213","2067154011")</f>
        <v>3639801.69</v>
      </c>
      <c r="G1800" s="48">
        <f>[1]!BexGetData("DP_2","DL719O2RYNEBZX0HTMQQ0BY0J","17","E","26012071E213","2067154011")</f>
        <v>3639801.69</v>
      </c>
      <c r="H1800" s="48">
        <f>[1]!BexGetData("DP_2","DL719O2RYNGN1RZRS91K7M4TV","17","E","26012071E213","2067154011")</f>
        <v>3639801.69</v>
      </c>
      <c r="I1800" s="48">
        <f>[1]!BexGetData("DP_2","DL719O2RYNIY3MZ1QVCEEWBN7","17","E","26012071E213","2067154011")</f>
        <v>0</v>
      </c>
    </row>
    <row r="1801" spans="1:9" x14ac:dyDescent="0.2">
      <c r="A1801" s="46" t="s">
        <v>32</v>
      </c>
      <c r="B1801" s="46" t="s">
        <v>32</v>
      </c>
      <c r="C1801" s="46" t="s">
        <v>32</v>
      </c>
      <c r="D1801" s="46" t="s">
        <v>32</v>
      </c>
      <c r="E1801" s="46" t="s">
        <v>32</v>
      </c>
      <c r="F1801" s="47">
        <f>[1]!BexGetData("DP_2","DL719O2RYNC0Y217V0FVT1R77","17","E","26012071E213","2067414011")</f>
        <v>13890548.710000001</v>
      </c>
      <c r="G1801" s="48">
        <f>[1]!BexGetData("DP_2","DL719O2RYNEBZX0HTMQQ0BY0J","17","E","26012071E213","2067414011")</f>
        <v>13890548.710000001</v>
      </c>
      <c r="H1801" s="48">
        <f>[1]!BexGetData("DP_2","DL719O2RYNGN1RZRS91K7M4TV","17","E","26012071E213","2067414011")</f>
        <v>10801553.01</v>
      </c>
      <c r="I1801" s="48">
        <f>[1]!BexGetData("DP_2","DL719O2RYNIY3MZ1QVCEEWBN7","17","E","26012071E213","2067414011")</f>
        <v>-2.0000000000000001E-9</v>
      </c>
    </row>
    <row r="1802" spans="1:9" x14ac:dyDescent="0.2">
      <c r="A1802" s="46" t="s">
        <v>32</v>
      </c>
      <c r="B1802" s="46" t="s">
        <v>32</v>
      </c>
      <c r="C1802" s="46" t="s">
        <v>125</v>
      </c>
      <c r="D1802" s="46" t="s">
        <v>125</v>
      </c>
      <c r="E1802" s="46" t="s">
        <v>32</v>
      </c>
      <c r="F1802" s="47">
        <f>[1]!BexGetData("DP_2","DL719O2RYNC0Y217V0FVT1R77","17","E","26082012E212","2067414011")</f>
        <v>0</v>
      </c>
      <c r="G1802" s="48">
        <f>[1]!BexGetData("DP_2","DL719O2RYNEBZX0HTMQQ0BY0J","17","E","26082012E212","2067414011")</f>
        <v>0</v>
      </c>
      <c r="H1802" s="48">
        <f>[1]!BexGetData("DP_2","DL719O2RYNGN1RZRS91K7M4TV","17","E","26082012E212","2067414011")</f>
        <v>0</v>
      </c>
      <c r="I1802" s="48">
        <f>[1]!BexGetData("DP_2","DL719O2RYNIY3MZ1QVCEEWBN7","17","E","26082012E212","2067414011")</f>
        <v>0</v>
      </c>
    </row>
    <row r="1803" spans="1:9" x14ac:dyDescent="0.2">
      <c r="A1803" s="46" t="s">
        <v>32</v>
      </c>
      <c r="B1803" s="46" t="s">
        <v>32</v>
      </c>
      <c r="C1803" s="46" t="s">
        <v>126</v>
      </c>
      <c r="D1803" s="46" t="s">
        <v>126</v>
      </c>
      <c r="E1803" s="46" t="s">
        <v>32</v>
      </c>
      <c r="F1803" s="47">
        <f>[1]!BexGetData("DP_2","DL719O2RYNC0Y217V0FVT1R77","17","E","26082081E211","2067113011")</f>
        <v>1169161.9099999999</v>
      </c>
      <c r="G1803" s="48">
        <f>[1]!BexGetData("DP_2","DL719O2RYNEBZX0HTMQQ0BY0J","17","E","26082081E211","2067113011")</f>
        <v>1169161.9099999999</v>
      </c>
      <c r="H1803" s="48">
        <f>[1]!BexGetData("DP_2","DL719O2RYNGN1RZRS91K7M4TV","17","E","26082081E211","2067113011")</f>
        <v>1169161.9099999999</v>
      </c>
      <c r="I1803" s="48">
        <f>[1]!BexGetData("DP_2","DL719O2RYNIY3MZ1QVCEEWBN7","17","E","26082081E211","2067113011")</f>
        <v>0</v>
      </c>
    </row>
    <row r="1804" spans="1:9" x14ac:dyDescent="0.2">
      <c r="A1804" s="46" t="s">
        <v>32</v>
      </c>
      <c r="B1804" s="46" t="s">
        <v>32</v>
      </c>
      <c r="C1804" s="46" t="s">
        <v>32</v>
      </c>
      <c r="D1804" s="46" t="s">
        <v>32</v>
      </c>
      <c r="E1804" s="46" t="s">
        <v>32</v>
      </c>
      <c r="F1804" s="47">
        <f>[1]!BexGetData("DP_2","DL719O2RYNC0Y217V0FVT1R77","17","E","26082081E211","2067113021")</f>
        <v>1381418.37</v>
      </c>
      <c r="G1804" s="48">
        <f>[1]!BexGetData("DP_2","DL719O2RYNEBZX0HTMQQ0BY0J","17","E","26082081E211","2067113021")</f>
        <v>1381418.37</v>
      </c>
      <c r="H1804" s="48">
        <f>[1]!BexGetData("DP_2","DL719O2RYNGN1RZRS91K7M4TV","17","E","26082081E211","2067113021")</f>
        <v>1381418.37</v>
      </c>
      <c r="I1804" s="48">
        <f>[1]!BexGetData("DP_2","DL719O2RYNIY3MZ1QVCEEWBN7","17","E","26082081E211","2067113021")</f>
        <v>0</v>
      </c>
    </row>
    <row r="1805" spans="1:9" x14ac:dyDescent="0.2">
      <c r="A1805" s="46" t="s">
        <v>32</v>
      </c>
      <c r="B1805" s="46" t="s">
        <v>32</v>
      </c>
      <c r="C1805" s="46" t="s">
        <v>32</v>
      </c>
      <c r="D1805" s="46" t="s">
        <v>32</v>
      </c>
      <c r="E1805" s="46" t="s">
        <v>32</v>
      </c>
      <c r="F1805" s="47">
        <f>[1]!BexGetData("DP_2","DL719O2RYNC0Y217V0FVT1R77","17","E","26082081E211","2067131011")</f>
        <v>64322</v>
      </c>
      <c r="G1805" s="48">
        <f>[1]!BexGetData("DP_2","DL719O2RYNEBZX0HTMQQ0BY0J","17","E","26082081E211","2067131011")</f>
        <v>64322</v>
      </c>
      <c r="H1805" s="48">
        <f>[1]!BexGetData("DP_2","DL719O2RYNGN1RZRS91K7M4TV","17","E","26082081E211","2067131011")</f>
        <v>64322</v>
      </c>
      <c r="I1805" s="48">
        <f>[1]!BexGetData("DP_2","DL719O2RYNIY3MZ1QVCEEWBN7","17","E","26082081E211","2067131011")</f>
        <v>0</v>
      </c>
    </row>
    <row r="1806" spans="1:9" x14ac:dyDescent="0.2">
      <c r="A1806" s="46" t="s">
        <v>32</v>
      </c>
      <c r="B1806" s="46" t="s">
        <v>32</v>
      </c>
      <c r="C1806" s="46" t="s">
        <v>32</v>
      </c>
      <c r="D1806" s="46" t="s">
        <v>32</v>
      </c>
      <c r="E1806" s="46" t="s">
        <v>32</v>
      </c>
      <c r="F1806" s="47">
        <f>[1]!BexGetData("DP_2","DL719O2RYNC0Y217V0FVT1R77","17","E","26082081E211","2067131021")</f>
        <v>4428.57</v>
      </c>
      <c r="G1806" s="48">
        <f>[1]!BexGetData("DP_2","DL719O2RYNEBZX0HTMQQ0BY0J","17","E","26082081E211","2067131021")</f>
        <v>4428.57</v>
      </c>
      <c r="H1806" s="48">
        <f>[1]!BexGetData("DP_2","DL719O2RYNGN1RZRS91K7M4TV","17","E","26082081E211","2067131021")</f>
        <v>4428.57</v>
      </c>
      <c r="I1806" s="48">
        <f>[1]!BexGetData("DP_2","DL719O2RYNIY3MZ1QVCEEWBN7","17","E","26082081E211","2067131021")</f>
        <v>0</v>
      </c>
    </row>
    <row r="1807" spans="1:9" x14ac:dyDescent="0.2">
      <c r="A1807" s="46" t="s">
        <v>32</v>
      </c>
      <c r="B1807" s="46" t="s">
        <v>32</v>
      </c>
      <c r="C1807" s="46" t="s">
        <v>32</v>
      </c>
      <c r="D1807" s="46" t="s">
        <v>32</v>
      </c>
      <c r="E1807" s="46" t="s">
        <v>32</v>
      </c>
      <c r="F1807" s="47">
        <f>[1]!BexGetData("DP_2","DL719O2RYNC0Y217V0FVT1R77","17","E","26082081E211","2067132011")</f>
        <v>84456.99</v>
      </c>
      <c r="G1807" s="48">
        <f>[1]!BexGetData("DP_2","DL719O2RYNEBZX0HTMQQ0BY0J","17","E","26082081E211","2067132011")</f>
        <v>84456.99</v>
      </c>
      <c r="H1807" s="48">
        <f>[1]!BexGetData("DP_2","DL719O2RYNGN1RZRS91K7M4TV","17","E","26082081E211","2067132011")</f>
        <v>84456.99</v>
      </c>
      <c r="I1807" s="48">
        <f>[1]!BexGetData("DP_2","DL719O2RYNIY3MZ1QVCEEWBN7","17","E","26082081E211","2067132011")</f>
        <v>0</v>
      </c>
    </row>
    <row r="1808" spans="1:9" x14ac:dyDescent="0.2">
      <c r="A1808" s="46" t="s">
        <v>32</v>
      </c>
      <c r="B1808" s="46" t="s">
        <v>32</v>
      </c>
      <c r="C1808" s="46" t="s">
        <v>32</v>
      </c>
      <c r="D1808" s="46" t="s">
        <v>32</v>
      </c>
      <c r="E1808" s="46" t="s">
        <v>32</v>
      </c>
      <c r="F1808" s="47">
        <f>[1]!BexGetData("DP_2","DL719O2RYNC0Y217V0FVT1R77","17","E","26082081E211","2067132021")</f>
        <v>533203.35</v>
      </c>
      <c r="G1808" s="48">
        <f>[1]!BexGetData("DP_2","DL719O2RYNEBZX0HTMQQ0BY0J","17","E","26082081E211","2067132021")</f>
        <v>533203.35</v>
      </c>
      <c r="H1808" s="48">
        <f>[1]!BexGetData("DP_2","DL719O2RYNGN1RZRS91K7M4TV","17","E","26082081E211","2067132021")</f>
        <v>533203.35</v>
      </c>
      <c r="I1808" s="48">
        <f>[1]!BexGetData("DP_2","DL719O2RYNIY3MZ1QVCEEWBN7","17","E","26082081E211","2067132021")</f>
        <v>0</v>
      </c>
    </row>
    <row r="1809" spans="1:9" x14ac:dyDescent="0.2">
      <c r="A1809" s="46" t="s">
        <v>32</v>
      </c>
      <c r="B1809" s="46" t="s">
        <v>32</v>
      </c>
      <c r="C1809" s="46" t="s">
        <v>32</v>
      </c>
      <c r="D1809" s="46" t="s">
        <v>32</v>
      </c>
      <c r="E1809" s="46" t="s">
        <v>32</v>
      </c>
      <c r="F1809" s="47">
        <f>[1]!BexGetData("DP_2","DL719O2RYNC0Y217V0FVT1R77","17","E","26082081E211","2067134011")</f>
        <v>501022.35</v>
      </c>
      <c r="G1809" s="48">
        <f>[1]!BexGetData("DP_2","DL719O2RYNEBZX0HTMQQ0BY0J","17","E","26082081E211","2067134011")</f>
        <v>501022.35</v>
      </c>
      <c r="H1809" s="48">
        <f>[1]!BexGetData("DP_2","DL719O2RYNGN1RZRS91K7M4TV","17","E","26082081E211","2067134011")</f>
        <v>509360.32</v>
      </c>
      <c r="I1809" s="48">
        <f>[1]!BexGetData("DP_2","DL719O2RYNIY3MZ1QVCEEWBN7","17","E","26082081E211","2067134011")</f>
        <v>0</v>
      </c>
    </row>
    <row r="1810" spans="1:9" x14ac:dyDescent="0.2">
      <c r="A1810" s="46" t="s">
        <v>32</v>
      </c>
      <c r="B1810" s="46" t="s">
        <v>32</v>
      </c>
      <c r="C1810" s="46" t="s">
        <v>32</v>
      </c>
      <c r="D1810" s="46" t="s">
        <v>32</v>
      </c>
      <c r="E1810" s="46" t="s">
        <v>32</v>
      </c>
      <c r="F1810" s="47">
        <f>[1]!BexGetData("DP_2","DL719O2RYNC0Y217V0FVT1R77","17","E","26082081E211","2067134021")</f>
        <v>2378736.66</v>
      </c>
      <c r="G1810" s="48">
        <f>[1]!BexGetData("DP_2","DL719O2RYNEBZX0HTMQQ0BY0J","17","E","26082081E211","2067134021")</f>
        <v>2378736.66</v>
      </c>
      <c r="H1810" s="48">
        <f>[1]!BexGetData("DP_2","DL719O2RYNGN1RZRS91K7M4TV","17","E","26082081E211","2067134021")</f>
        <v>2378736.66</v>
      </c>
      <c r="I1810" s="48">
        <f>[1]!BexGetData("DP_2","DL719O2RYNIY3MZ1QVCEEWBN7","17","E","26082081E211","2067134021")</f>
        <v>0</v>
      </c>
    </row>
    <row r="1811" spans="1:9" x14ac:dyDescent="0.2">
      <c r="A1811" s="46" t="s">
        <v>32</v>
      </c>
      <c r="B1811" s="46" t="s">
        <v>32</v>
      </c>
      <c r="C1811" s="46" t="s">
        <v>32</v>
      </c>
      <c r="D1811" s="46" t="s">
        <v>32</v>
      </c>
      <c r="E1811" s="46" t="s">
        <v>32</v>
      </c>
      <c r="F1811" s="47">
        <f>[1]!BexGetData("DP_2","DL719O2RYNC0Y217V0FVT1R77","17","E","26082081E211","2067141011")</f>
        <v>483298.97</v>
      </c>
      <c r="G1811" s="48">
        <f>[1]!BexGetData("DP_2","DL719O2RYNEBZX0HTMQQ0BY0J","17","E","26082081E211","2067141011")</f>
        <v>483298.97</v>
      </c>
      <c r="H1811" s="48">
        <f>[1]!BexGetData("DP_2","DL719O2RYNGN1RZRS91K7M4TV","17","E","26082081E211","2067141011")</f>
        <v>483298.97</v>
      </c>
      <c r="I1811" s="48">
        <f>[1]!BexGetData("DP_2","DL719O2RYNIY3MZ1QVCEEWBN7","17","E","26082081E211","2067141011")</f>
        <v>0</v>
      </c>
    </row>
    <row r="1812" spans="1:9" x14ac:dyDescent="0.2">
      <c r="A1812" s="46" t="s">
        <v>32</v>
      </c>
      <c r="B1812" s="46" t="s">
        <v>32</v>
      </c>
      <c r="C1812" s="46" t="s">
        <v>32</v>
      </c>
      <c r="D1812" s="46" t="s">
        <v>32</v>
      </c>
      <c r="E1812" s="46" t="s">
        <v>32</v>
      </c>
      <c r="F1812" s="47">
        <f>[1]!BexGetData("DP_2","DL719O2RYNC0Y217V0FVT1R77","17","E","26082081E211","2067141021")</f>
        <v>154023.07999999999</v>
      </c>
      <c r="G1812" s="48">
        <f>[1]!BexGetData("DP_2","DL719O2RYNEBZX0HTMQQ0BY0J","17","E","26082081E211","2067141021")</f>
        <v>154023.07999999999</v>
      </c>
      <c r="H1812" s="48">
        <f>[1]!BexGetData("DP_2","DL719O2RYNGN1RZRS91K7M4TV","17","E","26082081E211","2067141021")</f>
        <v>154023.07999999999</v>
      </c>
      <c r="I1812" s="48">
        <f>[1]!BexGetData("DP_2","DL719O2RYNIY3MZ1QVCEEWBN7","17","E","26082081E211","2067141021")</f>
        <v>0</v>
      </c>
    </row>
    <row r="1813" spans="1:9" x14ac:dyDescent="0.2">
      <c r="A1813" s="46" t="s">
        <v>32</v>
      </c>
      <c r="B1813" s="46" t="s">
        <v>32</v>
      </c>
      <c r="C1813" s="46" t="s">
        <v>32</v>
      </c>
      <c r="D1813" s="46" t="s">
        <v>32</v>
      </c>
      <c r="E1813" s="46" t="s">
        <v>32</v>
      </c>
      <c r="F1813" s="47">
        <f>[1]!BexGetData("DP_2","DL719O2RYNC0Y217V0FVT1R77","17","E","26082081E211","2067143011")</f>
        <v>73967.02</v>
      </c>
      <c r="G1813" s="48">
        <f>[1]!BexGetData("DP_2","DL719O2RYNEBZX0HTMQQ0BY0J","17","E","26082081E211","2067143011")</f>
        <v>73967.02</v>
      </c>
      <c r="H1813" s="48">
        <f>[1]!BexGetData("DP_2","DL719O2RYNGN1RZRS91K7M4TV","17","E","26082081E211","2067143011")</f>
        <v>73967.02</v>
      </c>
      <c r="I1813" s="48">
        <f>[1]!BexGetData("DP_2","DL719O2RYNIY3MZ1QVCEEWBN7","17","E","26082081E211","2067143011")</f>
        <v>0</v>
      </c>
    </row>
    <row r="1814" spans="1:9" x14ac:dyDescent="0.2">
      <c r="A1814" s="46" t="s">
        <v>32</v>
      </c>
      <c r="B1814" s="46" t="s">
        <v>32</v>
      </c>
      <c r="C1814" s="46" t="s">
        <v>32</v>
      </c>
      <c r="D1814" s="46" t="s">
        <v>32</v>
      </c>
      <c r="E1814" s="46" t="s">
        <v>32</v>
      </c>
      <c r="F1814" s="47">
        <f>[1]!BexGetData("DP_2","DL719O2RYNC0Y217V0FVT1R77","17","E","26082081E211","2067151011")</f>
        <v>306861</v>
      </c>
      <c r="G1814" s="48">
        <f>[1]!BexGetData("DP_2","DL719O2RYNEBZX0HTMQQ0BY0J","17","E","26082081E211","2067151011")</f>
        <v>306861</v>
      </c>
      <c r="H1814" s="48">
        <f>[1]!BexGetData("DP_2","DL719O2RYNGN1RZRS91K7M4TV","17","E","26082081E211","2067151011")</f>
        <v>306861</v>
      </c>
      <c r="I1814" s="48">
        <f>[1]!BexGetData("DP_2","DL719O2RYNIY3MZ1QVCEEWBN7","17","E","26082081E211","2067151011")</f>
        <v>0</v>
      </c>
    </row>
    <row r="1815" spans="1:9" x14ac:dyDescent="0.2">
      <c r="A1815" s="46" t="s">
        <v>32</v>
      </c>
      <c r="B1815" s="46" t="s">
        <v>32</v>
      </c>
      <c r="C1815" s="46" t="s">
        <v>32</v>
      </c>
      <c r="D1815" s="46" t="s">
        <v>32</v>
      </c>
      <c r="E1815" s="46" t="s">
        <v>32</v>
      </c>
      <c r="F1815" s="47">
        <f>[1]!BexGetData("DP_2","DL719O2RYNC0Y217V0FVT1R77","17","E","26082081E211","2067154011")</f>
        <v>1175483.46</v>
      </c>
      <c r="G1815" s="48">
        <f>[1]!BexGetData("DP_2","DL719O2RYNEBZX0HTMQQ0BY0J","17","E","26082081E211","2067154011")</f>
        <v>1175483.46</v>
      </c>
      <c r="H1815" s="48">
        <f>[1]!BexGetData("DP_2","DL719O2RYNGN1RZRS91K7M4TV","17","E","26082081E211","2067154011")</f>
        <v>1175483.46</v>
      </c>
      <c r="I1815" s="48">
        <f>[1]!BexGetData("DP_2","DL719O2RYNIY3MZ1QVCEEWBN7","17","E","26082081E211","2067154011")</f>
        <v>0</v>
      </c>
    </row>
    <row r="1816" spans="1:9" x14ac:dyDescent="0.2">
      <c r="A1816" s="46" t="s">
        <v>32</v>
      </c>
      <c r="B1816" s="46" t="s">
        <v>32</v>
      </c>
      <c r="C1816" s="46" t="s">
        <v>32</v>
      </c>
      <c r="D1816" s="46" t="s">
        <v>32</v>
      </c>
      <c r="E1816" s="46" t="s">
        <v>32</v>
      </c>
      <c r="F1816" s="47">
        <f>[1]!BexGetData("DP_2","DL719O2RYNC0Y217V0FVT1R77","17","E","26082081E211","2067414011")</f>
        <v>2105028</v>
      </c>
      <c r="G1816" s="48">
        <f>[1]!BexGetData("DP_2","DL719O2RYNEBZX0HTMQQ0BY0J","17","E","26082081E211","2067414011")</f>
        <v>2105028</v>
      </c>
      <c r="H1816" s="48">
        <f>[1]!BexGetData("DP_2","DL719O2RYNGN1RZRS91K7M4TV","17","E","26082081E211","2067414011")</f>
        <v>2105028</v>
      </c>
      <c r="I1816" s="48">
        <f>[1]!BexGetData("DP_2","DL719O2RYNIY3MZ1QVCEEWBN7","17","E","26082081E211","2067414011")</f>
        <v>0</v>
      </c>
    </row>
    <row r="1817" spans="1:9" x14ac:dyDescent="0.2">
      <c r="A1817" s="46" t="s">
        <v>32</v>
      </c>
      <c r="B1817" s="46" t="s">
        <v>32</v>
      </c>
      <c r="C1817" s="46" t="s">
        <v>127</v>
      </c>
      <c r="D1817" s="46" t="s">
        <v>127</v>
      </c>
      <c r="E1817" s="46" t="s">
        <v>32</v>
      </c>
      <c r="F1817" s="47">
        <f>[1]!BexGetData("DP_2","DL719O2RYNC0Y217V0FVT1R77","17","E","26082121E202","2067113011")</f>
        <v>1465213.11</v>
      </c>
      <c r="G1817" s="48">
        <f>[1]!BexGetData("DP_2","DL719O2RYNEBZX0HTMQQ0BY0J","17","E","26082121E202","2067113011")</f>
        <v>1465213.11</v>
      </c>
      <c r="H1817" s="48">
        <f>[1]!BexGetData("DP_2","DL719O2RYNGN1RZRS91K7M4TV","17","E","26082121E202","2067113011")</f>
        <v>1465213.11</v>
      </c>
      <c r="I1817" s="48">
        <f>[1]!BexGetData("DP_2","DL719O2RYNIY3MZ1QVCEEWBN7","17","E","26082121E202","2067113011")</f>
        <v>0</v>
      </c>
    </row>
    <row r="1818" spans="1:9" x14ac:dyDescent="0.2">
      <c r="A1818" s="46" t="s">
        <v>32</v>
      </c>
      <c r="B1818" s="46" t="s">
        <v>32</v>
      </c>
      <c r="C1818" s="46" t="s">
        <v>32</v>
      </c>
      <c r="D1818" s="46" t="s">
        <v>32</v>
      </c>
      <c r="E1818" s="46" t="s">
        <v>32</v>
      </c>
      <c r="F1818" s="47">
        <f>[1]!BexGetData("DP_2","DL719O2RYNC0Y217V0FVT1R77","17","E","26082121E202","2067113021")</f>
        <v>1164063.26</v>
      </c>
      <c r="G1818" s="48">
        <f>[1]!BexGetData("DP_2","DL719O2RYNEBZX0HTMQQ0BY0J","17","E","26082121E202","2067113021")</f>
        <v>1164063.26</v>
      </c>
      <c r="H1818" s="48">
        <f>[1]!BexGetData("DP_2","DL719O2RYNGN1RZRS91K7M4TV","17","E","26082121E202","2067113021")</f>
        <v>1164063.26</v>
      </c>
      <c r="I1818" s="48">
        <f>[1]!BexGetData("DP_2","DL719O2RYNIY3MZ1QVCEEWBN7","17","E","26082121E202","2067113021")</f>
        <v>0</v>
      </c>
    </row>
    <row r="1819" spans="1:9" x14ac:dyDescent="0.2">
      <c r="A1819" s="46" t="s">
        <v>32</v>
      </c>
      <c r="B1819" s="46" t="s">
        <v>32</v>
      </c>
      <c r="C1819" s="46" t="s">
        <v>32</v>
      </c>
      <c r="D1819" s="46" t="s">
        <v>32</v>
      </c>
      <c r="E1819" s="46" t="s">
        <v>32</v>
      </c>
      <c r="F1819" s="47">
        <f>[1]!BexGetData("DP_2","DL719O2RYNC0Y217V0FVT1R77","17","E","26082121E202","2067121011")</f>
        <v>2284410.3199999998</v>
      </c>
      <c r="G1819" s="48">
        <f>[1]!BexGetData("DP_2","DL719O2RYNEBZX0HTMQQ0BY0J","17","E","26082121E202","2067121011")</f>
        <v>2284410.3199999998</v>
      </c>
      <c r="H1819" s="48">
        <f>[1]!BexGetData("DP_2","DL719O2RYNGN1RZRS91K7M4TV","17","E","26082121E202","2067121011")</f>
        <v>2143256.33</v>
      </c>
      <c r="I1819" s="48">
        <f>[1]!BexGetData("DP_2","DL719O2RYNIY3MZ1QVCEEWBN7","17","E","26082121E202","2067121011")</f>
        <v>0</v>
      </c>
    </row>
    <row r="1820" spans="1:9" x14ac:dyDescent="0.2">
      <c r="A1820" s="46" t="s">
        <v>32</v>
      </c>
      <c r="B1820" s="46" t="s">
        <v>32</v>
      </c>
      <c r="C1820" s="46" t="s">
        <v>32</v>
      </c>
      <c r="D1820" s="46" t="s">
        <v>32</v>
      </c>
      <c r="E1820" s="46" t="s">
        <v>32</v>
      </c>
      <c r="F1820" s="47">
        <f>[1]!BexGetData("DP_2","DL719O2RYNC0Y217V0FVT1R77","17","E","26082121E202","2067122011")</f>
        <v>711684.08</v>
      </c>
      <c r="G1820" s="48">
        <f>[1]!BexGetData("DP_2","DL719O2RYNEBZX0HTMQQ0BY0J","17","E","26082121E202","2067122011")</f>
        <v>711684.08</v>
      </c>
      <c r="H1820" s="48">
        <f>[1]!BexGetData("DP_2","DL719O2RYNGN1RZRS91K7M4TV","17","E","26082121E202","2067122011")</f>
        <v>711684.08</v>
      </c>
      <c r="I1820" s="48">
        <f>[1]!BexGetData("DP_2","DL719O2RYNIY3MZ1QVCEEWBN7","17","E","26082121E202","2067122011")</f>
        <v>0</v>
      </c>
    </row>
    <row r="1821" spans="1:9" x14ac:dyDescent="0.2">
      <c r="A1821" s="46" t="s">
        <v>32</v>
      </c>
      <c r="B1821" s="46" t="s">
        <v>32</v>
      </c>
      <c r="C1821" s="46" t="s">
        <v>32</v>
      </c>
      <c r="D1821" s="46" t="s">
        <v>32</v>
      </c>
      <c r="E1821" s="46" t="s">
        <v>32</v>
      </c>
      <c r="F1821" s="47">
        <f>[1]!BexGetData("DP_2","DL719O2RYNC0Y217V0FVT1R77","17","E","26082121E202","2067131011")</f>
        <v>112839.37</v>
      </c>
      <c r="G1821" s="48">
        <f>[1]!BexGetData("DP_2","DL719O2RYNEBZX0HTMQQ0BY0J","17","E","26082121E202","2067131011")</f>
        <v>112839.37</v>
      </c>
      <c r="H1821" s="48">
        <f>[1]!BexGetData("DP_2","DL719O2RYNGN1RZRS91K7M4TV","17","E","26082121E202","2067131011")</f>
        <v>112839.37</v>
      </c>
      <c r="I1821" s="48">
        <f>[1]!BexGetData("DP_2","DL719O2RYNIY3MZ1QVCEEWBN7","17","E","26082121E202","2067131011")</f>
        <v>0</v>
      </c>
    </row>
    <row r="1822" spans="1:9" x14ac:dyDescent="0.2">
      <c r="A1822" s="46" t="s">
        <v>32</v>
      </c>
      <c r="B1822" s="46" t="s">
        <v>32</v>
      </c>
      <c r="C1822" s="46" t="s">
        <v>32</v>
      </c>
      <c r="D1822" s="46" t="s">
        <v>32</v>
      </c>
      <c r="E1822" s="46" t="s">
        <v>32</v>
      </c>
      <c r="F1822" s="47">
        <f>[1]!BexGetData("DP_2","DL719O2RYNC0Y217V0FVT1R77","17","E","26082121E202","2067131021")</f>
        <v>22752.959999999999</v>
      </c>
      <c r="G1822" s="48">
        <f>[1]!BexGetData("DP_2","DL719O2RYNEBZX0HTMQQ0BY0J","17","E","26082121E202","2067131021")</f>
        <v>22752.959999999999</v>
      </c>
      <c r="H1822" s="48">
        <f>[1]!BexGetData("DP_2","DL719O2RYNGN1RZRS91K7M4TV","17","E","26082121E202","2067131021")</f>
        <v>22752.959999999999</v>
      </c>
      <c r="I1822" s="48">
        <f>[1]!BexGetData("DP_2","DL719O2RYNIY3MZ1QVCEEWBN7","17","E","26082121E202","2067131021")</f>
        <v>0</v>
      </c>
    </row>
    <row r="1823" spans="1:9" x14ac:dyDescent="0.2">
      <c r="A1823" s="46" t="s">
        <v>32</v>
      </c>
      <c r="B1823" s="46" t="s">
        <v>32</v>
      </c>
      <c r="C1823" s="46" t="s">
        <v>32</v>
      </c>
      <c r="D1823" s="46" t="s">
        <v>32</v>
      </c>
      <c r="E1823" s="46" t="s">
        <v>32</v>
      </c>
      <c r="F1823" s="47">
        <f>[1]!BexGetData("DP_2","DL719O2RYNC0Y217V0FVT1R77","17","E","26082121E202","2067132011")</f>
        <v>102283.45</v>
      </c>
      <c r="G1823" s="48">
        <f>[1]!BexGetData("DP_2","DL719O2RYNEBZX0HTMQQ0BY0J","17","E","26082121E202","2067132011")</f>
        <v>102283.45</v>
      </c>
      <c r="H1823" s="48">
        <f>[1]!BexGetData("DP_2","DL719O2RYNGN1RZRS91K7M4TV","17","E","26082121E202","2067132011")</f>
        <v>102283.45</v>
      </c>
      <c r="I1823" s="48">
        <f>[1]!BexGetData("DP_2","DL719O2RYNIY3MZ1QVCEEWBN7","17","E","26082121E202","2067132011")</f>
        <v>0</v>
      </c>
    </row>
    <row r="1824" spans="1:9" x14ac:dyDescent="0.2">
      <c r="A1824" s="46" t="s">
        <v>32</v>
      </c>
      <c r="B1824" s="46" t="s">
        <v>32</v>
      </c>
      <c r="C1824" s="46" t="s">
        <v>32</v>
      </c>
      <c r="D1824" s="46" t="s">
        <v>32</v>
      </c>
      <c r="E1824" s="46" t="s">
        <v>32</v>
      </c>
      <c r="F1824" s="47">
        <f>[1]!BexGetData("DP_2","DL719O2RYNC0Y217V0FVT1R77","17","E","26082121E202","2067132021")</f>
        <v>595474.31999999995</v>
      </c>
      <c r="G1824" s="48">
        <f>[1]!BexGetData("DP_2","DL719O2RYNEBZX0HTMQQ0BY0J","17","E","26082121E202","2067132021")</f>
        <v>595474.31999999995</v>
      </c>
      <c r="H1824" s="48">
        <f>[1]!BexGetData("DP_2","DL719O2RYNGN1RZRS91K7M4TV","17","E","26082121E202","2067132021")</f>
        <v>595474.31999999995</v>
      </c>
      <c r="I1824" s="48">
        <f>[1]!BexGetData("DP_2","DL719O2RYNIY3MZ1QVCEEWBN7","17","E","26082121E202","2067132021")</f>
        <v>0</v>
      </c>
    </row>
    <row r="1825" spans="1:9" x14ac:dyDescent="0.2">
      <c r="A1825" s="46" t="s">
        <v>32</v>
      </c>
      <c r="B1825" s="46" t="s">
        <v>32</v>
      </c>
      <c r="C1825" s="46" t="s">
        <v>32</v>
      </c>
      <c r="D1825" s="46" t="s">
        <v>32</v>
      </c>
      <c r="E1825" s="46" t="s">
        <v>32</v>
      </c>
      <c r="F1825" s="47">
        <f>[1]!BexGetData("DP_2","DL719O2RYNC0Y217V0FVT1R77","17","E","26082121E202","2067134011")</f>
        <v>1566926.57</v>
      </c>
      <c r="G1825" s="48">
        <f>[1]!BexGetData("DP_2","DL719O2RYNEBZX0HTMQQ0BY0J","17","E","26082121E202","2067134011")</f>
        <v>1566926.57</v>
      </c>
      <c r="H1825" s="48">
        <f>[1]!BexGetData("DP_2","DL719O2RYNGN1RZRS91K7M4TV","17","E","26082121E202","2067134011")</f>
        <v>1573105.36</v>
      </c>
      <c r="I1825" s="48">
        <f>[1]!BexGetData("DP_2","DL719O2RYNIY3MZ1QVCEEWBN7","17","E","26082121E202","2067134011")</f>
        <v>0</v>
      </c>
    </row>
    <row r="1826" spans="1:9" x14ac:dyDescent="0.2">
      <c r="A1826" s="46" t="s">
        <v>32</v>
      </c>
      <c r="B1826" s="46" t="s">
        <v>32</v>
      </c>
      <c r="C1826" s="46" t="s">
        <v>32</v>
      </c>
      <c r="D1826" s="46" t="s">
        <v>32</v>
      </c>
      <c r="E1826" s="46" t="s">
        <v>32</v>
      </c>
      <c r="F1826" s="47">
        <f>[1]!BexGetData("DP_2","DL719O2RYNC0Y217V0FVT1R77","17","E","26082121E202","2067134021")</f>
        <v>757968.52</v>
      </c>
      <c r="G1826" s="48">
        <f>[1]!BexGetData("DP_2","DL719O2RYNEBZX0HTMQQ0BY0J","17","E","26082121E202","2067134021")</f>
        <v>757968.52</v>
      </c>
      <c r="H1826" s="48">
        <f>[1]!BexGetData("DP_2","DL719O2RYNGN1RZRS91K7M4TV","17","E","26082121E202","2067134021")</f>
        <v>757968.52</v>
      </c>
      <c r="I1826" s="48">
        <f>[1]!BexGetData("DP_2","DL719O2RYNIY3MZ1QVCEEWBN7","17","E","26082121E202","2067134021")</f>
        <v>0</v>
      </c>
    </row>
    <row r="1827" spans="1:9" x14ac:dyDescent="0.2">
      <c r="A1827" s="46" t="s">
        <v>32</v>
      </c>
      <c r="B1827" s="46" t="s">
        <v>32</v>
      </c>
      <c r="C1827" s="46" t="s">
        <v>32</v>
      </c>
      <c r="D1827" s="46" t="s">
        <v>32</v>
      </c>
      <c r="E1827" s="46" t="s">
        <v>32</v>
      </c>
      <c r="F1827" s="47">
        <f>[1]!BexGetData("DP_2","DL719O2RYNC0Y217V0FVT1R77","17","E","26082121E202","2067141011")</f>
        <v>616556.49</v>
      </c>
      <c r="G1827" s="48">
        <f>[1]!BexGetData("DP_2","DL719O2RYNEBZX0HTMQQ0BY0J","17","E","26082121E202","2067141011")</f>
        <v>616556.49</v>
      </c>
      <c r="H1827" s="48">
        <f>[1]!BexGetData("DP_2","DL719O2RYNGN1RZRS91K7M4TV","17","E","26082121E202","2067141011")</f>
        <v>616556.49</v>
      </c>
      <c r="I1827" s="48">
        <f>[1]!BexGetData("DP_2","DL719O2RYNIY3MZ1QVCEEWBN7","17","E","26082121E202","2067141011")</f>
        <v>0</v>
      </c>
    </row>
    <row r="1828" spans="1:9" x14ac:dyDescent="0.2">
      <c r="A1828" s="46" t="s">
        <v>32</v>
      </c>
      <c r="B1828" s="46" t="s">
        <v>32</v>
      </c>
      <c r="C1828" s="46" t="s">
        <v>32</v>
      </c>
      <c r="D1828" s="46" t="s">
        <v>32</v>
      </c>
      <c r="E1828" s="46" t="s">
        <v>32</v>
      </c>
      <c r="F1828" s="47">
        <f>[1]!BexGetData("DP_2","DL719O2RYNC0Y217V0FVT1R77","17","E","26082121E202","2067141021")</f>
        <v>208567.51</v>
      </c>
      <c r="G1828" s="48">
        <f>[1]!BexGetData("DP_2","DL719O2RYNEBZX0HTMQQ0BY0J","17","E","26082121E202","2067141021")</f>
        <v>208567.51</v>
      </c>
      <c r="H1828" s="48">
        <f>[1]!BexGetData("DP_2","DL719O2RYNGN1RZRS91K7M4TV","17","E","26082121E202","2067141021")</f>
        <v>208567.51</v>
      </c>
      <c r="I1828" s="48">
        <f>[1]!BexGetData("DP_2","DL719O2RYNIY3MZ1QVCEEWBN7","17","E","26082121E202","2067141021")</f>
        <v>0</v>
      </c>
    </row>
    <row r="1829" spans="1:9" x14ac:dyDescent="0.2">
      <c r="A1829" s="46" t="s">
        <v>32</v>
      </c>
      <c r="B1829" s="46" t="s">
        <v>32</v>
      </c>
      <c r="C1829" s="46" t="s">
        <v>32</v>
      </c>
      <c r="D1829" s="46" t="s">
        <v>32</v>
      </c>
      <c r="E1829" s="46" t="s">
        <v>32</v>
      </c>
      <c r="F1829" s="47">
        <f>[1]!BexGetData("DP_2","DL719O2RYNC0Y217V0FVT1R77","17","E","26082121E202","2067143011")</f>
        <v>98516.76</v>
      </c>
      <c r="G1829" s="48">
        <f>[1]!BexGetData("DP_2","DL719O2RYNEBZX0HTMQQ0BY0J","17","E","26082121E202","2067143011")</f>
        <v>98516.76</v>
      </c>
      <c r="H1829" s="48">
        <f>[1]!BexGetData("DP_2","DL719O2RYNGN1RZRS91K7M4TV","17","E","26082121E202","2067143011")</f>
        <v>98516.76</v>
      </c>
      <c r="I1829" s="48">
        <f>[1]!BexGetData("DP_2","DL719O2RYNIY3MZ1QVCEEWBN7","17","E","26082121E202","2067143011")</f>
        <v>0</v>
      </c>
    </row>
    <row r="1830" spans="1:9" x14ac:dyDescent="0.2">
      <c r="A1830" s="46" t="s">
        <v>32</v>
      </c>
      <c r="B1830" s="46" t="s">
        <v>32</v>
      </c>
      <c r="C1830" s="46" t="s">
        <v>32</v>
      </c>
      <c r="D1830" s="46" t="s">
        <v>32</v>
      </c>
      <c r="E1830" s="46" t="s">
        <v>32</v>
      </c>
      <c r="F1830" s="47">
        <f>[1]!BexGetData("DP_2","DL719O2RYNC0Y217V0FVT1R77","17","E","26082121E202","2067151011")</f>
        <v>315564.24</v>
      </c>
      <c r="G1830" s="48">
        <f>[1]!BexGetData("DP_2","DL719O2RYNEBZX0HTMQQ0BY0J","17","E","26082121E202","2067151011")</f>
        <v>315564.24</v>
      </c>
      <c r="H1830" s="48">
        <f>[1]!BexGetData("DP_2","DL719O2RYNGN1RZRS91K7M4TV","17","E","26082121E202","2067151011")</f>
        <v>315564.24</v>
      </c>
      <c r="I1830" s="48">
        <f>[1]!BexGetData("DP_2","DL719O2RYNIY3MZ1QVCEEWBN7","17","E","26082121E202","2067151011")</f>
        <v>0</v>
      </c>
    </row>
    <row r="1831" spans="1:9" x14ac:dyDescent="0.2">
      <c r="A1831" s="46" t="s">
        <v>32</v>
      </c>
      <c r="B1831" s="46" t="s">
        <v>32</v>
      </c>
      <c r="C1831" s="46" t="s">
        <v>32</v>
      </c>
      <c r="D1831" s="46" t="s">
        <v>32</v>
      </c>
      <c r="E1831" s="46" t="s">
        <v>32</v>
      </c>
      <c r="F1831" s="47">
        <f>[1]!BexGetData("DP_2","DL719O2RYNC0Y217V0FVT1R77","17","E","26082121E202","2067153011")</f>
        <v>0</v>
      </c>
      <c r="G1831" s="48">
        <f>[1]!BexGetData("DP_2","DL719O2RYNEBZX0HTMQQ0BY0J","17","E","26082121E202","2067153011")</f>
        <v>0</v>
      </c>
      <c r="H1831" s="48">
        <f>[1]!BexGetData("DP_2","DL719O2RYNGN1RZRS91K7M4TV","17","E","26082121E202","2067153011")</f>
        <v>0</v>
      </c>
      <c r="I1831" s="48">
        <f>[1]!BexGetData("DP_2","DL719O2RYNIY3MZ1QVCEEWBN7","17","E","26082121E202","2067153011")</f>
        <v>0</v>
      </c>
    </row>
    <row r="1832" spans="1:9" x14ac:dyDescent="0.2">
      <c r="A1832" s="46" t="s">
        <v>32</v>
      </c>
      <c r="B1832" s="46" t="s">
        <v>32</v>
      </c>
      <c r="C1832" s="46" t="s">
        <v>32</v>
      </c>
      <c r="D1832" s="46" t="s">
        <v>32</v>
      </c>
      <c r="E1832" s="46" t="s">
        <v>32</v>
      </c>
      <c r="F1832" s="47">
        <f>[1]!BexGetData("DP_2","DL719O2RYNC0Y217V0FVT1R77","17","E","26082121E202","2067154011")</f>
        <v>1385066.07</v>
      </c>
      <c r="G1832" s="48">
        <f>[1]!BexGetData("DP_2","DL719O2RYNEBZX0HTMQQ0BY0J","17","E","26082121E202","2067154011")</f>
        <v>1385066.07</v>
      </c>
      <c r="H1832" s="48">
        <f>[1]!BexGetData("DP_2","DL719O2RYNGN1RZRS91K7M4TV","17","E","26082121E202","2067154011")</f>
        <v>1385066.07</v>
      </c>
      <c r="I1832" s="48">
        <f>[1]!BexGetData("DP_2","DL719O2RYNIY3MZ1QVCEEWBN7","17","E","26082121E202","2067154011")</f>
        <v>0</v>
      </c>
    </row>
    <row r="1833" spans="1:9" x14ac:dyDescent="0.2">
      <c r="A1833" s="46" t="s">
        <v>32</v>
      </c>
      <c r="B1833" s="46" t="s">
        <v>32</v>
      </c>
      <c r="C1833" s="46" t="s">
        <v>32</v>
      </c>
      <c r="D1833" s="46" t="s">
        <v>32</v>
      </c>
      <c r="E1833" s="46" t="s">
        <v>32</v>
      </c>
      <c r="F1833" s="47">
        <f>[1]!BexGetData("DP_2","DL719O2RYNC0Y217V0FVT1R77","17","E","26082121E202","2067211011")</f>
        <v>72160.41</v>
      </c>
      <c r="G1833" s="48">
        <f>[1]!BexGetData("DP_2","DL719O2RYNEBZX0HTMQQ0BY0J","17","E","26082121E202","2067211011")</f>
        <v>72160.41</v>
      </c>
      <c r="H1833" s="48">
        <f>[1]!BexGetData("DP_2","DL719O2RYNGN1RZRS91K7M4TV","17","E","26082121E202","2067211011")</f>
        <v>57011.5</v>
      </c>
      <c r="I1833" s="48">
        <f>[1]!BexGetData("DP_2","DL719O2RYNIY3MZ1QVCEEWBN7","17","E","26082121E202","2067211011")</f>
        <v>0</v>
      </c>
    </row>
    <row r="1834" spans="1:9" x14ac:dyDescent="0.2">
      <c r="A1834" s="46" t="s">
        <v>32</v>
      </c>
      <c r="B1834" s="46" t="s">
        <v>32</v>
      </c>
      <c r="C1834" s="46" t="s">
        <v>32</v>
      </c>
      <c r="D1834" s="46" t="s">
        <v>32</v>
      </c>
      <c r="E1834" s="46" t="s">
        <v>32</v>
      </c>
      <c r="F1834" s="47">
        <f>[1]!BexGetData("DP_2","DL719O2RYNC0Y217V0FVT1R77","17","E","26082121E202","2067211021")</f>
        <v>3972</v>
      </c>
      <c r="G1834" s="48">
        <f>[1]!BexGetData("DP_2","DL719O2RYNEBZX0HTMQQ0BY0J","17","E","26082121E202","2067211021")</f>
        <v>3972</v>
      </c>
      <c r="H1834" s="48">
        <f>[1]!BexGetData("DP_2","DL719O2RYNGN1RZRS91K7M4TV","17","E","26082121E202","2067211021")</f>
        <v>3972</v>
      </c>
      <c r="I1834" s="48">
        <f>[1]!BexGetData("DP_2","DL719O2RYNIY3MZ1QVCEEWBN7","17","E","26082121E202","2067211021")</f>
        <v>0</v>
      </c>
    </row>
    <row r="1835" spans="1:9" x14ac:dyDescent="0.2">
      <c r="A1835" s="46" t="s">
        <v>32</v>
      </c>
      <c r="B1835" s="46" t="s">
        <v>32</v>
      </c>
      <c r="C1835" s="46" t="s">
        <v>32</v>
      </c>
      <c r="D1835" s="46" t="s">
        <v>32</v>
      </c>
      <c r="E1835" s="46" t="s">
        <v>32</v>
      </c>
      <c r="F1835" s="47">
        <f>[1]!BexGetData("DP_2","DL719O2RYNC0Y217V0FVT1R77","17","E","26082121E202","2067214011")</f>
        <v>22005.07</v>
      </c>
      <c r="G1835" s="48">
        <f>[1]!BexGetData("DP_2","DL719O2RYNEBZX0HTMQQ0BY0J","17","E","26082121E202","2067214011")</f>
        <v>22005.07</v>
      </c>
      <c r="H1835" s="48">
        <f>[1]!BexGetData("DP_2","DL719O2RYNGN1RZRS91K7M4TV","17","E","26082121E202","2067214011")</f>
        <v>6753.77</v>
      </c>
      <c r="I1835" s="48">
        <f>[1]!BexGetData("DP_2","DL719O2RYNIY3MZ1QVCEEWBN7","17","E","26082121E202","2067214011")</f>
        <v>0</v>
      </c>
    </row>
    <row r="1836" spans="1:9" x14ac:dyDescent="0.2">
      <c r="A1836" s="46" t="s">
        <v>32</v>
      </c>
      <c r="B1836" s="46" t="s">
        <v>32</v>
      </c>
      <c r="C1836" s="46" t="s">
        <v>32</v>
      </c>
      <c r="D1836" s="46" t="s">
        <v>32</v>
      </c>
      <c r="E1836" s="46" t="s">
        <v>32</v>
      </c>
      <c r="F1836" s="47">
        <f>[1]!BexGetData("DP_2","DL719O2RYNC0Y217V0FVT1R77","17","E","26082121E202","2067214021")</f>
        <v>1191.2</v>
      </c>
      <c r="G1836" s="48">
        <f>[1]!BexGetData("DP_2","DL719O2RYNEBZX0HTMQQ0BY0J","17","E","26082121E202","2067214021")</f>
        <v>1191.2</v>
      </c>
      <c r="H1836" s="48">
        <f>[1]!BexGetData("DP_2","DL719O2RYNGN1RZRS91K7M4TV","17","E","26082121E202","2067214021")</f>
        <v>1191.2</v>
      </c>
      <c r="I1836" s="48">
        <f>[1]!BexGetData("DP_2","DL719O2RYNIY3MZ1QVCEEWBN7","17","E","26082121E202","2067214021")</f>
        <v>0</v>
      </c>
    </row>
    <row r="1837" spans="1:9" x14ac:dyDescent="0.2">
      <c r="A1837" s="46" t="s">
        <v>32</v>
      </c>
      <c r="B1837" s="46" t="s">
        <v>32</v>
      </c>
      <c r="C1837" s="46" t="s">
        <v>32</v>
      </c>
      <c r="D1837" s="46" t="s">
        <v>32</v>
      </c>
      <c r="E1837" s="46" t="s">
        <v>32</v>
      </c>
      <c r="F1837" s="47">
        <f>[1]!BexGetData("DP_2","DL719O2RYNC0Y217V0FVT1R77","17","E","26082121E202","2067215021")</f>
        <v>13258.22</v>
      </c>
      <c r="G1837" s="48">
        <f>[1]!BexGetData("DP_2","DL719O2RYNEBZX0HTMQQ0BY0J","17","E","26082121E202","2067215021")</f>
        <v>9268.4</v>
      </c>
      <c r="H1837" s="48">
        <f>[1]!BexGetData("DP_2","DL719O2RYNGN1RZRS91K7M4TV","17","E","26082121E202","2067215021")</f>
        <v>9268.4</v>
      </c>
      <c r="I1837" s="48">
        <f>[1]!BexGetData("DP_2","DL719O2RYNIY3MZ1QVCEEWBN7","17","E","26082121E202","2067215021")</f>
        <v>3989.82</v>
      </c>
    </row>
    <row r="1838" spans="1:9" x14ac:dyDescent="0.2">
      <c r="A1838" s="46" t="s">
        <v>32</v>
      </c>
      <c r="B1838" s="46" t="s">
        <v>32</v>
      </c>
      <c r="C1838" s="46" t="s">
        <v>32</v>
      </c>
      <c r="D1838" s="46" t="s">
        <v>32</v>
      </c>
      <c r="E1838" s="46" t="s">
        <v>32</v>
      </c>
      <c r="F1838" s="47">
        <f>[1]!BexGetData("DP_2","DL719O2RYNC0Y217V0FVT1R77","17","E","26082121E202","2067216011")</f>
        <v>59982.61</v>
      </c>
      <c r="G1838" s="48">
        <f>[1]!BexGetData("DP_2","DL719O2RYNEBZX0HTMQQ0BY0J","17","E","26082121E202","2067216011")</f>
        <v>59982.61</v>
      </c>
      <c r="H1838" s="48">
        <f>[1]!BexGetData("DP_2","DL719O2RYNGN1RZRS91K7M4TV","17","E","26082121E202","2067216011")</f>
        <v>59982.61</v>
      </c>
      <c r="I1838" s="48">
        <f>[1]!BexGetData("DP_2","DL719O2RYNIY3MZ1QVCEEWBN7","17","E","26082121E202","2067216011")</f>
        <v>0</v>
      </c>
    </row>
    <row r="1839" spans="1:9" x14ac:dyDescent="0.2">
      <c r="A1839" s="46" t="s">
        <v>32</v>
      </c>
      <c r="B1839" s="46" t="s">
        <v>32</v>
      </c>
      <c r="C1839" s="46" t="s">
        <v>32</v>
      </c>
      <c r="D1839" s="46" t="s">
        <v>32</v>
      </c>
      <c r="E1839" s="46" t="s">
        <v>32</v>
      </c>
      <c r="F1839" s="47">
        <f>[1]!BexGetData("DP_2","DL719O2RYNC0Y217V0FVT1R77","17","E","26082121E202","2067217011")</f>
        <v>5863.89</v>
      </c>
      <c r="G1839" s="48">
        <f>[1]!BexGetData("DP_2","DL719O2RYNEBZX0HTMQQ0BY0J","17","E","26082121E202","2067217011")</f>
        <v>5863.89</v>
      </c>
      <c r="H1839" s="48">
        <f>[1]!BexGetData("DP_2","DL719O2RYNGN1RZRS91K7M4TV","17","E","26082121E202","2067217011")</f>
        <v>2624.1</v>
      </c>
      <c r="I1839" s="48">
        <f>[1]!BexGetData("DP_2","DL719O2RYNIY3MZ1QVCEEWBN7","17","E","26082121E202","2067217011")</f>
        <v>0</v>
      </c>
    </row>
    <row r="1840" spans="1:9" x14ac:dyDescent="0.2">
      <c r="A1840" s="46" t="s">
        <v>32</v>
      </c>
      <c r="B1840" s="46" t="s">
        <v>32</v>
      </c>
      <c r="C1840" s="46" t="s">
        <v>32</v>
      </c>
      <c r="D1840" s="46" t="s">
        <v>32</v>
      </c>
      <c r="E1840" s="46" t="s">
        <v>32</v>
      </c>
      <c r="F1840" s="47">
        <f>[1]!BexGetData("DP_2","DL719O2RYNC0Y217V0FVT1R77","17","E","26082121E202","2067221011")</f>
        <v>29640.959999999999</v>
      </c>
      <c r="G1840" s="48">
        <f>[1]!BexGetData("DP_2","DL719O2RYNEBZX0HTMQQ0BY0J","17","E","26082121E202","2067221011")</f>
        <v>29640.959999999999</v>
      </c>
      <c r="H1840" s="48">
        <f>[1]!BexGetData("DP_2","DL719O2RYNGN1RZRS91K7M4TV","17","E","26082121E202","2067221011")</f>
        <v>29640.959999999999</v>
      </c>
      <c r="I1840" s="48">
        <f>[1]!BexGetData("DP_2","DL719O2RYNIY3MZ1QVCEEWBN7","17","E","26082121E202","2067221011")</f>
        <v>0</v>
      </c>
    </row>
    <row r="1841" spans="1:9" x14ac:dyDescent="0.2">
      <c r="A1841" s="46" t="s">
        <v>32</v>
      </c>
      <c r="B1841" s="46" t="s">
        <v>32</v>
      </c>
      <c r="C1841" s="46" t="s">
        <v>32</v>
      </c>
      <c r="D1841" s="46" t="s">
        <v>32</v>
      </c>
      <c r="E1841" s="46" t="s">
        <v>32</v>
      </c>
      <c r="F1841" s="47">
        <f>[1]!BexGetData("DP_2","DL719O2RYNC0Y217V0FVT1R77","17","E","26082121E202","2067221021")</f>
        <v>70832</v>
      </c>
      <c r="G1841" s="48">
        <f>[1]!BexGetData("DP_2","DL719O2RYNEBZX0HTMQQ0BY0J","17","E","26082121E202","2067221021")</f>
        <v>70832</v>
      </c>
      <c r="H1841" s="48">
        <f>[1]!BexGetData("DP_2","DL719O2RYNGN1RZRS91K7M4TV","17","E","26082121E202","2067221021")</f>
        <v>70832</v>
      </c>
      <c r="I1841" s="48">
        <f>[1]!BexGetData("DP_2","DL719O2RYNIY3MZ1QVCEEWBN7","17","E","26082121E202","2067221021")</f>
        <v>0</v>
      </c>
    </row>
    <row r="1842" spans="1:9" x14ac:dyDescent="0.2">
      <c r="A1842" s="46" t="s">
        <v>32</v>
      </c>
      <c r="B1842" s="46" t="s">
        <v>32</v>
      </c>
      <c r="C1842" s="46" t="s">
        <v>32</v>
      </c>
      <c r="D1842" s="46" t="s">
        <v>32</v>
      </c>
      <c r="E1842" s="46" t="s">
        <v>32</v>
      </c>
      <c r="F1842" s="47">
        <f>[1]!BexGetData("DP_2","DL719O2RYNC0Y217V0FVT1R77","17","E","26082121E202","2067246011")</f>
        <v>24282.27</v>
      </c>
      <c r="G1842" s="48">
        <f>[1]!BexGetData("DP_2","DL719O2RYNEBZX0HTMQQ0BY0J","17","E","26082121E202","2067246011")</f>
        <v>24282.27</v>
      </c>
      <c r="H1842" s="48">
        <f>[1]!BexGetData("DP_2","DL719O2RYNGN1RZRS91K7M4TV","17","E","26082121E202","2067246011")</f>
        <v>24282.27</v>
      </c>
      <c r="I1842" s="48">
        <f>[1]!BexGetData("DP_2","DL719O2RYNIY3MZ1QVCEEWBN7","17","E","26082121E202","2067246011")</f>
        <v>0</v>
      </c>
    </row>
    <row r="1843" spans="1:9" x14ac:dyDescent="0.2">
      <c r="A1843" s="46" t="s">
        <v>32</v>
      </c>
      <c r="B1843" s="46" t="s">
        <v>32</v>
      </c>
      <c r="C1843" s="46" t="s">
        <v>32</v>
      </c>
      <c r="D1843" s="46" t="s">
        <v>32</v>
      </c>
      <c r="E1843" s="46" t="s">
        <v>32</v>
      </c>
      <c r="F1843" s="47">
        <f>[1]!BexGetData("DP_2","DL719O2RYNC0Y217V0FVT1R77","17","E","26082121E202","2067247011")</f>
        <v>27648.48</v>
      </c>
      <c r="G1843" s="48">
        <f>[1]!BexGetData("DP_2","DL719O2RYNEBZX0HTMQQ0BY0J","17","E","26082121E202","2067247011")</f>
        <v>27648.48</v>
      </c>
      <c r="H1843" s="48">
        <f>[1]!BexGetData("DP_2","DL719O2RYNGN1RZRS91K7M4TV","17","E","26082121E202","2067247011")</f>
        <v>27648.48</v>
      </c>
      <c r="I1843" s="48">
        <f>[1]!BexGetData("DP_2","DL719O2RYNIY3MZ1QVCEEWBN7","17","E","26082121E202","2067247011")</f>
        <v>0</v>
      </c>
    </row>
    <row r="1844" spans="1:9" x14ac:dyDescent="0.2">
      <c r="A1844" s="46" t="s">
        <v>32</v>
      </c>
      <c r="B1844" s="46" t="s">
        <v>32</v>
      </c>
      <c r="C1844" s="46" t="s">
        <v>32</v>
      </c>
      <c r="D1844" s="46" t="s">
        <v>32</v>
      </c>
      <c r="E1844" s="46" t="s">
        <v>32</v>
      </c>
      <c r="F1844" s="47">
        <f>[1]!BexGetData("DP_2","DL719O2RYNC0Y217V0FVT1R77","17","E","26082121E202","2067248011")</f>
        <v>49</v>
      </c>
      <c r="G1844" s="48">
        <f>[1]!BexGetData("DP_2","DL719O2RYNEBZX0HTMQQ0BY0J","17","E","26082121E202","2067248011")</f>
        <v>49</v>
      </c>
      <c r="H1844" s="48">
        <f>[1]!BexGetData("DP_2","DL719O2RYNGN1RZRS91K7M4TV","17","E","26082121E202","2067248011")</f>
        <v>49</v>
      </c>
      <c r="I1844" s="48">
        <f>[1]!BexGetData("DP_2","DL719O2RYNIY3MZ1QVCEEWBN7","17","E","26082121E202","2067248011")</f>
        <v>0</v>
      </c>
    </row>
    <row r="1845" spans="1:9" x14ac:dyDescent="0.2">
      <c r="A1845" s="46" t="s">
        <v>32</v>
      </c>
      <c r="B1845" s="46" t="s">
        <v>32</v>
      </c>
      <c r="C1845" s="46" t="s">
        <v>32</v>
      </c>
      <c r="D1845" s="46" t="s">
        <v>32</v>
      </c>
      <c r="E1845" s="46" t="s">
        <v>32</v>
      </c>
      <c r="F1845" s="47">
        <f>[1]!BexGetData("DP_2","DL719O2RYNC0Y217V0FVT1R77","17","E","26082121E202","2067249011")</f>
        <v>85173.89</v>
      </c>
      <c r="G1845" s="48">
        <f>[1]!BexGetData("DP_2","DL719O2RYNEBZX0HTMQQ0BY0J","17","E","26082121E202","2067249011")</f>
        <v>85173.89</v>
      </c>
      <c r="H1845" s="48">
        <f>[1]!BexGetData("DP_2","DL719O2RYNGN1RZRS91K7M4TV","17","E","26082121E202","2067249011")</f>
        <v>70705.919999999998</v>
      </c>
      <c r="I1845" s="48">
        <f>[1]!BexGetData("DP_2","DL719O2RYNIY3MZ1QVCEEWBN7","17","E","26082121E202","2067249011")</f>
        <v>0</v>
      </c>
    </row>
    <row r="1846" spans="1:9" x14ac:dyDescent="0.2">
      <c r="A1846" s="46" t="s">
        <v>32</v>
      </c>
      <c r="B1846" s="46" t="s">
        <v>32</v>
      </c>
      <c r="C1846" s="46" t="s">
        <v>32</v>
      </c>
      <c r="D1846" s="46" t="s">
        <v>32</v>
      </c>
      <c r="E1846" s="46" t="s">
        <v>32</v>
      </c>
      <c r="F1846" s="47">
        <f>[1]!BexGetData("DP_2","DL719O2RYNC0Y217V0FVT1R77","17","E","26082121E202","2067254021")</f>
        <v>106.33</v>
      </c>
      <c r="G1846" s="48">
        <f>[1]!BexGetData("DP_2","DL719O2RYNEBZX0HTMQQ0BY0J","17","E","26082121E202","2067254021")</f>
        <v>106.33</v>
      </c>
      <c r="H1846" s="48">
        <f>[1]!BexGetData("DP_2","DL719O2RYNGN1RZRS91K7M4TV","17","E","26082121E202","2067254021")</f>
        <v>106.33</v>
      </c>
      <c r="I1846" s="48">
        <f>[1]!BexGetData("DP_2","DL719O2RYNIY3MZ1QVCEEWBN7","17","E","26082121E202","2067254021")</f>
        <v>0</v>
      </c>
    </row>
    <row r="1847" spans="1:9" x14ac:dyDescent="0.2">
      <c r="A1847" s="46" t="s">
        <v>32</v>
      </c>
      <c r="B1847" s="46" t="s">
        <v>32</v>
      </c>
      <c r="C1847" s="46" t="s">
        <v>32</v>
      </c>
      <c r="D1847" s="46" t="s">
        <v>32</v>
      </c>
      <c r="E1847" s="46" t="s">
        <v>32</v>
      </c>
      <c r="F1847" s="47">
        <f>[1]!BexGetData("DP_2","DL719O2RYNC0Y217V0FVT1R77","17","E","26082121E202","2067256011")</f>
        <v>13167.16</v>
      </c>
      <c r="G1847" s="48">
        <f>[1]!BexGetData("DP_2","DL719O2RYNEBZX0HTMQQ0BY0J","17","E","26082121E202","2067256011")</f>
        <v>13167.16</v>
      </c>
      <c r="H1847" s="48">
        <f>[1]!BexGetData("DP_2","DL719O2RYNGN1RZRS91K7M4TV","17","E","26082121E202","2067256011")</f>
        <v>13167.16</v>
      </c>
      <c r="I1847" s="48">
        <f>[1]!BexGetData("DP_2","DL719O2RYNIY3MZ1QVCEEWBN7","17","E","26082121E202","2067256011")</f>
        <v>0</v>
      </c>
    </row>
    <row r="1848" spans="1:9" x14ac:dyDescent="0.2">
      <c r="A1848" s="46" t="s">
        <v>32</v>
      </c>
      <c r="B1848" s="46" t="s">
        <v>32</v>
      </c>
      <c r="C1848" s="46" t="s">
        <v>32</v>
      </c>
      <c r="D1848" s="46" t="s">
        <v>32</v>
      </c>
      <c r="E1848" s="46" t="s">
        <v>32</v>
      </c>
      <c r="F1848" s="47">
        <f>[1]!BexGetData("DP_2","DL719O2RYNC0Y217V0FVT1R77","17","E","26082121E202","2067261011")</f>
        <v>58000.1</v>
      </c>
      <c r="G1848" s="48">
        <f>[1]!BexGetData("DP_2","DL719O2RYNEBZX0HTMQQ0BY0J","17","E","26082121E202","2067261011")</f>
        <v>58000.1</v>
      </c>
      <c r="H1848" s="48">
        <f>[1]!BexGetData("DP_2","DL719O2RYNGN1RZRS91K7M4TV","17","E","26082121E202","2067261011")</f>
        <v>52000.1</v>
      </c>
      <c r="I1848" s="48">
        <f>[1]!BexGetData("DP_2","DL719O2RYNIY3MZ1QVCEEWBN7","17","E","26082121E202","2067261011")</f>
        <v>0</v>
      </c>
    </row>
    <row r="1849" spans="1:9" x14ac:dyDescent="0.2">
      <c r="A1849" s="46" t="s">
        <v>32</v>
      </c>
      <c r="B1849" s="46" t="s">
        <v>32</v>
      </c>
      <c r="C1849" s="46" t="s">
        <v>32</v>
      </c>
      <c r="D1849" s="46" t="s">
        <v>32</v>
      </c>
      <c r="E1849" s="46" t="s">
        <v>32</v>
      </c>
      <c r="F1849" s="47">
        <f>[1]!BexGetData("DP_2","DL719O2RYNC0Y217V0FVT1R77","17","E","26082121E202","2067261021")</f>
        <v>0</v>
      </c>
      <c r="G1849" s="48">
        <f>[1]!BexGetData("DP_2","DL719O2RYNEBZX0HTMQQ0BY0J","17","E","26082121E202","2067261021")</f>
        <v>0</v>
      </c>
      <c r="H1849" s="48">
        <f>[1]!BexGetData("DP_2","DL719O2RYNGN1RZRS91K7M4TV","17","E","26082121E202","2067261021")</f>
        <v>0</v>
      </c>
      <c r="I1849" s="48">
        <f>[1]!BexGetData("DP_2","DL719O2RYNIY3MZ1QVCEEWBN7","17","E","26082121E202","2067261021")</f>
        <v>0</v>
      </c>
    </row>
    <row r="1850" spans="1:9" x14ac:dyDescent="0.2">
      <c r="A1850" s="46" t="s">
        <v>32</v>
      </c>
      <c r="B1850" s="46" t="s">
        <v>32</v>
      </c>
      <c r="C1850" s="46" t="s">
        <v>32</v>
      </c>
      <c r="D1850" s="46" t="s">
        <v>32</v>
      </c>
      <c r="E1850" s="46" t="s">
        <v>32</v>
      </c>
      <c r="F1850" s="47">
        <f>[1]!BexGetData("DP_2","DL719O2RYNC0Y217V0FVT1R77","17","E","26082121E202","2067271011")</f>
        <v>599.95000000000005</v>
      </c>
      <c r="G1850" s="48">
        <f>[1]!BexGetData("DP_2","DL719O2RYNEBZX0HTMQQ0BY0J","17","E","26082121E202","2067271011")</f>
        <v>599.95000000000005</v>
      </c>
      <c r="H1850" s="48">
        <f>[1]!BexGetData("DP_2","DL719O2RYNGN1RZRS91K7M4TV","17","E","26082121E202","2067271011")</f>
        <v>599.95000000000005</v>
      </c>
      <c r="I1850" s="48">
        <f>[1]!BexGetData("DP_2","DL719O2RYNIY3MZ1QVCEEWBN7","17","E","26082121E202","2067271011")</f>
        <v>0</v>
      </c>
    </row>
    <row r="1851" spans="1:9" x14ac:dyDescent="0.2">
      <c r="A1851" s="46" t="s">
        <v>32</v>
      </c>
      <c r="B1851" s="46" t="s">
        <v>32</v>
      </c>
      <c r="C1851" s="46" t="s">
        <v>32</v>
      </c>
      <c r="D1851" s="46" t="s">
        <v>32</v>
      </c>
      <c r="E1851" s="46" t="s">
        <v>32</v>
      </c>
      <c r="F1851" s="47">
        <f>[1]!BexGetData("DP_2","DL719O2RYNC0Y217V0FVT1R77","17","E","26082121E202","2067272011")</f>
        <v>1045.77</v>
      </c>
      <c r="G1851" s="48">
        <f>[1]!BexGetData("DP_2","DL719O2RYNEBZX0HTMQQ0BY0J","17","E","26082121E202","2067272011")</f>
        <v>1045.77</v>
      </c>
      <c r="H1851" s="48">
        <f>[1]!BexGetData("DP_2","DL719O2RYNGN1RZRS91K7M4TV","17","E","26082121E202","2067272011")</f>
        <v>1045.77</v>
      </c>
      <c r="I1851" s="48">
        <f>[1]!BexGetData("DP_2","DL719O2RYNIY3MZ1QVCEEWBN7","17","E","26082121E202","2067272011")</f>
        <v>0</v>
      </c>
    </row>
    <row r="1852" spans="1:9" x14ac:dyDescent="0.2">
      <c r="A1852" s="46" t="s">
        <v>32</v>
      </c>
      <c r="B1852" s="46" t="s">
        <v>32</v>
      </c>
      <c r="C1852" s="46" t="s">
        <v>32</v>
      </c>
      <c r="D1852" s="46" t="s">
        <v>32</v>
      </c>
      <c r="E1852" s="46" t="s">
        <v>32</v>
      </c>
      <c r="F1852" s="47">
        <f>[1]!BexGetData("DP_2","DL719O2RYNC0Y217V0FVT1R77","17","E","26082121E202","2067274011")</f>
        <v>421.7</v>
      </c>
      <c r="G1852" s="48">
        <f>[1]!BexGetData("DP_2","DL719O2RYNEBZX0HTMQQ0BY0J","17","E","26082121E202","2067274011")</f>
        <v>421.7</v>
      </c>
      <c r="H1852" s="48">
        <f>[1]!BexGetData("DP_2","DL719O2RYNGN1RZRS91K7M4TV","17","E","26082121E202","2067274011")</f>
        <v>421.7</v>
      </c>
      <c r="I1852" s="48">
        <f>[1]!BexGetData("DP_2","DL719O2RYNIY3MZ1QVCEEWBN7","17","E","26082121E202","2067274011")</f>
        <v>0</v>
      </c>
    </row>
    <row r="1853" spans="1:9" x14ac:dyDescent="0.2">
      <c r="A1853" s="46" t="s">
        <v>32</v>
      </c>
      <c r="B1853" s="46" t="s">
        <v>32</v>
      </c>
      <c r="C1853" s="46" t="s">
        <v>32</v>
      </c>
      <c r="D1853" s="46" t="s">
        <v>32</v>
      </c>
      <c r="E1853" s="46" t="s">
        <v>32</v>
      </c>
      <c r="F1853" s="47">
        <f>[1]!BexGetData("DP_2","DL719O2RYNC0Y217V0FVT1R77","17","E","26082121E202","2067291011")</f>
        <v>21432.799999999999</v>
      </c>
      <c r="G1853" s="48">
        <f>[1]!BexGetData("DP_2","DL719O2RYNEBZX0HTMQQ0BY0J","17","E","26082121E202","2067291011")</f>
        <v>21432.799999999999</v>
      </c>
      <c r="H1853" s="48">
        <f>[1]!BexGetData("DP_2","DL719O2RYNGN1RZRS91K7M4TV","17","E","26082121E202","2067291011")</f>
        <v>21432.799999999999</v>
      </c>
      <c r="I1853" s="48">
        <f>[1]!BexGetData("DP_2","DL719O2RYNIY3MZ1QVCEEWBN7","17","E","26082121E202","2067291011")</f>
        <v>0</v>
      </c>
    </row>
    <row r="1854" spans="1:9" x14ac:dyDescent="0.2">
      <c r="A1854" s="46" t="s">
        <v>32</v>
      </c>
      <c r="B1854" s="46" t="s">
        <v>32</v>
      </c>
      <c r="C1854" s="46" t="s">
        <v>32</v>
      </c>
      <c r="D1854" s="46" t="s">
        <v>32</v>
      </c>
      <c r="E1854" s="46" t="s">
        <v>32</v>
      </c>
      <c r="F1854" s="47">
        <f>[1]!BexGetData("DP_2","DL719O2RYNC0Y217V0FVT1R77","17","E","26082121E202","2067292011")</f>
        <v>10175.16</v>
      </c>
      <c r="G1854" s="48">
        <f>[1]!BexGetData("DP_2","DL719O2RYNEBZX0HTMQQ0BY0J","17","E","26082121E202","2067292011")</f>
        <v>10175.16</v>
      </c>
      <c r="H1854" s="48">
        <f>[1]!BexGetData("DP_2","DL719O2RYNGN1RZRS91K7M4TV","17","E","26082121E202","2067292011")</f>
        <v>10175.16</v>
      </c>
      <c r="I1854" s="48">
        <f>[1]!BexGetData("DP_2","DL719O2RYNIY3MZ1QVCEEWBN7","17","E","26082121E202","2067292011")</f>
        <v>0</v>
      </c>
    </row>
    <row r="1855" spans="1:9" x14ac:dyDescent="0.2">
      <c r="A1855" s="46" t="s">
        <v>32</v>
      </c>
      <c r="B1855" s="46" t="s">
        <v>32</v>
      </c>
      <c r="C1855" s="46" t="s">
        <v>32</v>
      </c>
      <c r="D1855" s="46" t="s">
        <v>32</v>
      </c>
      <c r="E1855" s="46" t="s">
        <v>32</v>
      </c>
      <c r="F1855" s="47">
        <f>[1]!BexGetData("DP_2","DL719O2RYNC0Y217V0FVT1R77","17","E","26082121E202","2067294011")</f>
        <v>510</v>
      </c>
      <c r="G1855" s="48">
        <f>[1]!BexGetData("DP_2","DL719O2RYNEBZX0HTMQQ0BY0J","17","E","26082121E202","2067294011")</f>
        <v>510</v>
      </c>
      <c r="H1855" s="48">
        <f>[1]!BexGetData("DP_2","DL719O2RYNGN1RZRS91K7M4TV","17","E","26082121E202","2067294011")</f>
        <v>510</v>
      </c>
      <c r="I1855" s="48">
        <f>[1]!BexGetData("DP_2","DL719O2RYNIY3MZ1QVCEEWBN7","17","E","26082121E202","2067294011")</f>
        <v>0</v>
      </c>
    </row>
    <row r="1856" spans="1:9" x14ac:dyDescent="0.2">
      <c r="A1856" s="46" t="s">
        <v>32</v>
      </c>
      <c r="B1856" s="46" t="s">
        <v>32</v>
      </c>
      <c r="C1856" s="46" t="s">
        <v>32</v>
      </c>
      <c r="D1856" s="46" t="s">
        <v>32</v>
      </c>
      <c r="E1856" s="46" t="s">
        <v>32</v>
      </c>
      <c r="F1856" s="47">
        <f>[1]!BexGetData("DP_2","DL719O2RYNC0Y217V0FVT1R77","17","E","26082121E202","2067296011")</f>
        <v>6360</v>
      </c>
      <c r="G1856" s="48">
        <f>[1]!BexGetData("DP_2","DL719O2RYNEBZX0HTMQQ0BY0J","17","E","26082121E202","2067296011")</f>
        <v>6360</v>
      </c>
      <c r="H1856" s="48">
        <f>[1]!BexGetData("DP_2","DL719O2RYNGN1RZRS91K7M4TV","17","E","26082121E202","2067296011")</f>
        <v>6360</v>
      </c>
      <c r="I1856" s="48">
        <f>[1]!BexGetData("DP_2","DL719O2RYNIY3MZ1QVCEEWBN7","17","E","26082121E202","2067296011")</f>
        <v>0</v>
      </c>
    </row>
    <row r="1857" spans="1:9" x14ac:dyDescent="0.2">
      <c r="A1857" s="46" t="s">
        <v>32</v>
      </c>
      <c r="B1857" s="46" t="s">
        <v>32</v>
      </c>
      <c r="C1857" s="46" t="s">
        <v>32</v>
      </c>
      <c r="D1857" s="46" t="s">
        <v>32</v>
      </c>
      <c r="E1857" s="46" t="s">
        <v>32</v>
      </c>
      <c r="F1857" s="47">
        <f>[1]!BexGetData("DP_2","DL719O2RYNC0Y217V0FVT1R77","17","E","26082121E202","2067299011")</f>
        <v>696</v>
      </c>
      <c r="G1857" s="48">
        <f>[1]!BexGetData("DP_2","DL719O2RYNEBZX0HTMQQ0BY0J","17","E","26082121E202","2067299011")</f>
        <v>696</v>
      </c>
      <c r="H1857" s="48">
        <f>[1]!BexGetData("DP_2","DL719O2RYNGN1RZRS91K7M4TV","17","E","26082121E202","2067299011")</f>
        <v>696</v>
      </c>
      <c r="I1857" s="48">
        <f>[1]!BexGetData("DP_2","DL719O2RYNIY3MZ1QVCEEWBN7","17","E","26082121E202","2067299011")</f>
        <v>0</v>
      </c>
    </row>
    <row r="1858" spans="1:9" x14ac:dyDescent="0.2">
      <c r="A1858" s="46" t="s">
        <v>32</v>
      </c>
      <c r="B1858" s="46" t="s">
        <v>32</v>
      </c>
      <c r="C1858" s="46" t="s">
        <v>32</v>
      </c>
      <c r="D1858" s="46" t="s">
        <v>32</v>
      </c>
      <c r="E1858" s="46" t="s">
        <v>32</v>
      </c>
      <c r="F1858" s="47">
        <f>[1]!BexGetData("DP_2","DL719O2RYNC0Y217V0FVT1R77","17","E","26082121E202","2067311011")</f>
        <v>11710.86</v>
      </c>
      <c r="G1858" s="48">
        <f>[1]!BexGetData("DP_2","DL719O2RYNEBZX0HTMQQ0BY0J","17","E","26082121E202","2067311011")</f>
        <v>11710.86</v>
      </c>
      <c r="H1858" s="48">
        <f>[1]!BexGetData("DP_2","DL719O2RYNGN1RZRS91K7M4TV","17","E","26082121E202","2067311011")</f>
        <v>9936.86</v>
      </c>
      <c r="I1858" s="48">
        <f>[1]!BexGetData("DP_2","DL719O2RYNIY3MZ1QVCEEWBN7","17","E","26082121E202","2067311011")</f>
        <v>0</v>
      </c>
    </row>
    <row r="1859" spans="1:9" x14ac:dyDescent="0.2">
      <c r="A1859" s="46" t="s">
        <v>32</v>
      </c>
      <c r="B1859" s="46" t="s">
        <v>32</v>
      </c>
      <c r="C1859" s="46" t="s">
        <v>32</v>
      </c>
      <c r="D1859" s="46" t="s">
        <v>32</v>
      </c>
      <c r="E1859" s="46" t="s">
        <v>32</v>
      </c>
      <c r="F1859" s="47">
        <f>[1]!BexGetData("DP_2","DL719O2RYNC0Y217V0FVT1R77","17","E","26082121E202","2067313011")</f>
        <v>3815</v>
      </c>
      <c r="G1859" s="48">
        <f>[1]!BexGetData("DP_2","DL719O2RYNEBZX0HTMQQ0BY0J","17","E","26082121E202","2067313011")</f>
        <v>3815</v>
      </c>
      <c r="H1859" s="48">
        <f>[1]!BexGetData("DP_2","DL719O2RYNGN1RZRS91K7M4TV","17","E","26082121E202","2067313011")</f>
        <v>3815</v>
      </c>
      <c r="I1859" s="48">
        <f>[1]!BexGetData("DP_2","DL719O2RYNIY3MZ1QVCEEWBN7","17","E","26082121E202","2067313011")</f>
        <v>0</v>
      </c>
    </row>
    <row r="1860" spans="1:9" x14ac:dyDescent="0.2">
      <c r="A1860" s="46" t="s">
        <v>32</v>
      </c>
      <c r="B1860" s="46" t="s">
        <v>32</v>
      </c>
      <c r="C1860" s="46" t="s">
        <v>32</v>
      </c>
      <c r="D1860" s="46" t="s">
        <v>32</v>
      </c>
      <c r="E1860" s="46" t="s">
        <v>32</v>
      </c>
      <c r="F1860" s="47">
        <f>[1]!BexGetData("DP_2","DL719O2RYNC0Y217V0FVT1R77","17","E","26082121E202","2067314011")</f>
        <v>34288.03</v>
      </c>
      <c r="G1860" s="48">
        <f>[1]!BexGetData("DP_2","DL719O2RYNEBZX0HTMQQ0BY0J","17","E","26082121E202","2067314011")</f>
        <v>34288.03</v>
      </c>
      <c r="H1860" s="48">
        <f>[1]!BexGetData("DP_2","DL719O2RYNGN1RZRS91K7M4TV","17","E","26082121E202","2067314011")</f>
        <v>34288.03</v>
      </c>
      <c r="I1860" s="48">
        <f>[1]!BexGetData("DP_2","DL719O2RYNIY3MZ1QVCEEWBN7","17","E","26082121E202","2067314011")</f>
        <v>0</v>
      </c>
    </row>
    <row r="1861" spans="1:9" x14ac:dyDescent="0.2">
      <c r="A1861" s="46" t="s">
        <v>32</v>
      </c>
      <c r="B1861" s="46" t="s">
        <v>32</v>
      </c>
      <c r="C1861" s="46" t="s">
        <v>32</v>
      </c>
      <c r="D1861" s="46" t="s">
        <v>32</v>
      </c>
      <c r="E1861" s="46" t="s">
        <v>32</v>
      </c>
      <c r="F1861" s="47">
        <f>[1]!BexGetData("DP_2","DL719O2RYNC0Y217V0FVT1R77","17","E","26082121E202","2067315011")</f>
        <v>0</v>
      </c>
      <c r="G1861" s="48">
        <f>[1]!BexGetData("DP_2","DL719O2RYNEBZX0HTMQQ0BY0J","17","E","26082121E202","2067315011")</f>
        <v>0</v>
      </c>
      <c r="H1861" s="48">
        <f>[1]!BexGetData("DP_2","DL719O2RYNGN1RZRS91K7M4TV","17","E","26082121E202","2067315011")</f>
        <v>0</v>
      </c>
      <c r="I1861" s="48">
        <f>[1]!BexGetData("DP_2","DL719O2RYNIY3MZ1QVCEEWBN7","17","E","26082121E202","2067315011")</f>
        <v>0</v>
      </c>
    </row>
    <row r="1862" spans="1:9" x14ac:dyDescent="0.2">
      <c r="A1862" s="46" t="s">
        <v>32</v>
      </c>
      <c r="B1862" s="46" t="s">
        <v>32</v>
      </c>
      <c r="C1862" s="46" t="s">
        <v>32</v>
      </c>
      <c r="D1862" s="46" t="s">
        <v>32</v>
      </c>
      <c r="E1862" s="46" t="s">
        <v>32</v>
      </c>
      <c r="F1862" s="47">
        <f>[1]!BexGetData("DP_2","DL719O2RYNC0Y217V0FVT1R77","17","E","26082121E202","2067322011")</f>
        <v>218903.19</v>
      </c>
      <c r="G1862" s="48">
        <f>[1]!BexGetData("DP_2","DL719O2RYNEBZX0HTMQQ0BY0J","17","E","26082121E202","2067322011")</f>
        <v>218903.19</v>
      </c>
      <c r="H1862" s="48">
        <f>[1]!BexGetData("DP_2","DL719O2RYNGN1RZRS91K7M4TV","17","E","26082121E202","2067322011")</f>
        <v>218903.19</v>
      </c>
      <c r="I1862" s="48">
        <f>[1]!BexGetData("DP_2","DL719O2RYNIY3MZ1QVCEEWBN7","17","E","26082121E202","2067322011")</f>
        <v>0</v>
      </c>
    </row>
    <row r="1863" spans="1:9" x14ac:dyDescent="0.2">
      <c r="A1863" s="46" t="s">
        <v>32</v>
      </c>
      <c r="B1863" s="46" t="s">
        <v>32</v>
      </c>
      <c r="C1863" s="46" t="s">
        <v>32</v>
      </c>
      <c r="D1863" s="46" t="s">
        <v>32</v>
      </c>
      <c r="E1863" s="46" t="s">
        <v>32</v>
      </c>
      <c r="F1863" s="47">
        <f>[1]!BexGetData("DP_2","DL719O2RYNC0Y217V0FVT1R77","17","E","26082121E202","2067329011")</f>
        <v>63691.6</v>
      </c>
      <c r="G1863" s="48">
        <f>[1]!BexGetData("DP_2","DL719O2RYNEBZX0HTMQQ0BY0J","17","E","26082121E202","2067329011")</f>
        <v>63691.6</v>
      </c>
      <c r="H1863" s="48">
        <f>[1]!BexGetData("DP_2","DL719O2RYNGN1RZRS91K7M4TV","17","E","26082121E202","2067329011")</f>
        <v>2200</v>
      </c>
      <c r="I1863" s="48">
        <f>[1]!BexGetData("DP_2","DL719O2RYNIY3MZ1QVCEEWBN7","17","E","26082121E202","2067329011")</f>
        <v>0</v>
      </c>
    </row>
    <row r="1864" spans="1:9" x14ac:dyDescent="0.2">
      <c r="A1864" s="46" t="s">
        <v>32</v>
      </c>
      <c r="B1864" s="46" t="s">
        <v>32</v>
      </c>
      <c r="C1864" s="46" t="s">
        <v>32</v>
      </c>
      <c r="D1864" s="46" t="s">
        <v>32</v>
      </c>
      <c r="E1864" s="46" t="s">
        <v>32</v>
      </c>
      <c r="F1864" s="47">
        <f>[1]!BexGetData("DP_2","DL719O2RYNC0Y217V0FVT1R77","17","E","26082121E202","2067336011")</f>
        <v>91762.31</v>
      </c>
      <c r="G1864" s="48">
        <f>[1]!BexGetData("DP_2","DL719O2RYNEBZX0HTMQQ0BY0J","17","E","26082121E202","2067336011")</f>
        <v>91762.31</v>
      </c>
      <c r="H1864" s="48">
        <f>[1]!BexGetData("DP_2","DL719O2RYNGN1RZRS91K7M4TV","17","E","26082121E202","2067336011")</f>
        <v>84872.49</v>
      </c>
      <c r="I1864" s="48">
        <f>[1]!BexGetData("DP_2","DL719O2RYNIY3MZ1QVCEEWBN7","17","E","26082121E202","2067336011")</f>
        <v>0</v>
      </c>
    </row>
    <row r="1865" spans="1:9" x14ac:dyDescent="0.2">
      <c r="A1865" s="46" t="s">
        <v>32</v>
      </c>
      <c r="B1865" s="46" t="s">
        <v>32</v>
      </c>
      <c r="C1865" s="46" t="s">
        <v>32</v>
      </c>
      <c r="D1865" s="46" t="s">
        <v>32</v>
      </c>
      <c r="E1865" s="46" t="s">
        <v>32</v>
      </c>
      <c r="F1865" s="47">
        <f>[1]!BexGetData("DP_2","DL719O2RYNC0Y217V0FVT1R77","17","E","26082121E202","2067351011")</f>
        <v>66443.64</v>
      </c>
      <c r="G1865" s="48">
        <f>[1]!BexGetData("DP_2","DL719O2RYNEBZX0HTMQQ0BY0J","17","E","26082121E202","2067351011")</f>
        <v>66443.64</v>
      </c>
      <c r="H1865" s="48">
        <f>[1]!BexGetData("DP_2","DL719O2RYNGN1RZRS91K7M4TV","17","E","26082121E202","2067351011")</f>
        <v>61803.64</v>
      </c>
      <c r="I1865" s="48">
        <f>[1]!BexGetData("DP_2","DL719O2RYNIY3MZ1QVCEEWBN7","17","E","26082121E202","2067351011")</f>
        <v>0</v>
      </c>
    </row>
    <row r="1866" spans="1:9" x14ac:dyDescent="0.2">
      <c r="A1866" s="46" t="s">
        <v>32</v>
      </c>
      <c r="B1866" s="46" t="s">
        <v>32</v>
      </c>
      <c r="C1866" s="46" t="s">
        <v>32</v>
      </c>
      <c r="D1866" s="46" t="s">
        <v>32</v>
      </c>
      <c r="E1866" s="46" t="s">
        <v>32</v>
      </c>
      <c r="F1866" s="47">
        <f>[1]!BexGetData("DP_2","DL719O2RYNC0Y217V0FVT1R77","17","E","26082121E202","2067353011")</f>
        <v>180</v>
      </c>
      <c r="G1866" s="48">
        <f>[1]!BexGetData("DP_2","DL719O2RYNEBZX0HTMQQ0BY0J","17","E","26082121E202","2067353011")</f>
        <v>180</v>
      </c>
      <c r="H1866" s="48">
        <f>[1]!BexGetData("DP_2","DL719O2RYNGN1RZRS91K7M4TV","17","E","26082121E202","2067353011")</f>
        <v>180</v>
      </c>
      <c r="I1866" s="48">
        <f>[1]!BexGetData("DP_2","DL719O2RYNIY3MZ1QVCEEWBN7","17","E","26082121E202","2067353011")</f>
        <v>0</v>
      </c>
    </row>
    <row r="1867" spans="1:9" x14ac:dyDescent="0.2">
      <c r="A1867" s="46" t="s">
        <v>32</v>
      </c>
      <c r="B1867" s="46" t="s">
        <v>32</v>
      </c>
      <c r="C1867" s="46" t="s">
        <v>32</v>
      </c>
      <c r="D1867" s="46" t="s">
        <v>32</v>
      </c>
      <c r="E1867" s="46" t="s">
        <v>32</v>
      </c>
      <c r="F1867" s="47">
        <f>[1]!BexGetData("DP_2","DL719O2RYNC0Y217V0FVT1R77","17","E","26082121E202","2067355011")</f>
        <v>7759.24</v>
      </c>
      <c r="G1867" s="48">
        <f>[1]!BexGetData("DP_2","DL719O2RYNEBZX0HTMQQ0BY0J","17","E","26082121E202","2067355011")</f>
        <v>7759.24</v>
      </c>
      <c r="H1867" s="48">
        <f>[1]!BexGetData("DP_2","DL719O2RYNGN1RZRS91K7M4TV","17","E","26082121E202","2067355011")</f>
        <v>7759.24</v>
      </c>
      <c r="I1867" s="48">
        <f>[1]!BexGetData("DP_2","DL719O2RYNIY3MZ1QVCEEWBN7","17","E","26082121E202","2067355011")</f>
        <v>0</v>
      </c>
    </row>
    <row r="1868" spans="1:9" x14ac:dyDescent="0.2">
      <c r="A1868" s="46" t="s">
        <v>32</v>
      </c>
      <c r="B1868" s="46" t="s">
        <v>32</v>
      </c>
      <c r="C1868" s="46" t="s">
        <v>32</v>
      </c>
      <c r="D1868" s="46" t="s">
        <v>32</v>
      </c>
      <c r="E1868" s="46" t="s">
        <v>32</v>
      </c>
      <c r="F1868" s="47">
        <f>[1]!BexGetData("DP_2","DL719O2RYNC0Y217V0FVT1R77","17","E","26082121E202","2067361011")</f>
        <v>812</v>
      </c>
      <c r="G1868" s="48">
        <f>[1]!BexGetData("DP_2","DL719O2RYNEBZX0HTMQQ0BY0J","17","E","26082121E202","2067361011")</f>
        <v>812</v>
      </c>
      <c r="H1868" s="48">
        <f>[1]!BexGetData("DP_2","DL719O2RYNGN1RZRS91K7M4TV","17","E","26082121E202","2067361011")</f>
        <v>812</v>
      </c>
      <c r="I1868" s="48">
        <f>[1]!BexGetData("DP_2","DL719O2RYNIY3MZ1QVCEEWBN7","17","E","26082121E202","2067361011")</f>
        <v>0</v>
      </c>
    </row>
    <row r="1869" spans="1:9" x14ac:dyDescent="0.2">
      <c r="A1869" s="46" t="s">
        <v>32</v>
      </c>
      <c r="B1869" s="46" t="s">
        <v>32</v>
      </c>
      <c r="C1869" s="46" t="s">
        <v>32</v>
      </c>
      <c r="D1869" s="46" t="s">
        <v>32</v>
      </c>
      <c r="E1869" s="46" t="s">
        <v>32</v>
      </c>
      <c r="F1869" s="47">
        <f>[1]!BexGetData("DP_2","DL719O2RYNC0Y217V0FVT1R77","17","E","26082121E202","2067371011")</f>
        <v>31350.73</v>
      </c>
      <c r="G1869" s="48">
        <f>[1]!BexGetData("DP_2","DL719O2RYNEBZX0HTMQQ0BY0J","17","E","26082121E202","2067371011")</f>
        <v>31350.73</v>
      </c>
      <c r="H1869" s="48">
        <f>[1]!BexGetData("DP_2","DL719O2RYNGN1RZRS91K7M4TV","17","E","26082121E202","2067371011")</f>
        <v>31350.73</v>
      </c>
      <c r="I1869" s="48">
        <f>[1]!BexGetData("DP_2","DL719O2RYNIY3MZ1QVCEEWBN7","17","E","26082121E202","2067371011")</f>
        <v>0</v>
      </c>
    </row>
    <row r="1870" spans="1:9" x14ac:dyDescent="0.2">
      <c r="A1870" s="46" t="s">
        <v>32</v>
      </c>
      <c r="B1870" s="46" t="s">
        <v>32</v>
      </c>
      <c r="C1870" s="46" t="s">
        <v>32</v>
      </c>
      <c r="D1870" s="46" t="s">
        <v>32</v>
      </c>
      <c r="E1870" s="46" t="s">
        <v>32</v>
      </c>
      <c r="F1870" s="47">
        <f>[1]!BexGetData("DP_2","DL719O2RYNC0Y217V0FVT1R77","17","E","26082121E202","2067372011")</f>
        <v>21818</v>
      </c>
      <c r="G1870" s="48">
        <f>[1]!BexGetData("DP_2","DL719O2RYNEBZX0HTMQQ0BY0J","17","E","26082121E202","2067372011")</f>
        <v>21818</v>
      </c>
      <c r="H1870" s="48">
        <f>[1]!BexGetData("DP_2","DL719O2RYNGN1RZRS91K7M4TV","17","E","26082121E202","2067372011")</f>
        <v>21818</v>
      </c>
      <c r="I1870" s="48">
        <f>[1]!BexGetData("DP_2","DL719O2RYNIY3MZ1QVCEEWBN7","17","E","26082121E202","2067372011")</f>
        <v>0</v>
      </c>
    </row>
    <row r="1871" spans="1:9" x14ac:dyDescent="0.2">
      <c r="A1871" s="46" t="s">
        <v>32</v>
      </c>
      <c r="B1871" s="46" t="s">
        <v>32</v>
      </c>
      <c r="C1871" s="46" t="s">
        <v>32</v>
      </c>
      <c r="D1871" s="46" t="s">
        <v>32</v>
      </c>
      <c r="E1871" s="46" t="s">
        <v>32</v>
      </c>
      <c r="F1871" s="47">
        <f>[1]!BexGetData("DP_2","DL719O2RYNC0Y217V0FVT1R77","17","E","26082121E202","2067372021")</f>
        <v>0</v>
      </c>
      <c r="G1871" s="48">
        <f>[1]!BexGetData("DP_2","DL719O2RYNEBZX0HTMQQ0BY0J","17","E","26082121E202","2067372021")</f>
        <v>0</v>
      </c>
      <c r="H1871" s="48">
        <f>[1]!BexGetData("DP_2","DL719O2RYNGN1RZRS91K7M4TV","17","E","26082121E202","2067372021")</f>
        <v>0</v>
      </c>
      <c r="I1871" s="48">
        <f>[1]!BexGetData("DP_2","DL719O2RYNIY3MZ1QVCEEWBN7","17","E","26082121E202","2067372021")</f>
        <v>0</v>
      </c>
    </row>
    <row r="1872" spans="1:9" x14ac:dyDescent="0.2">
      <c r="A1872" s="46" t="s">
        <v>32</v>
      </c>
      <c r="B1872" s="46" t="s">
        <v>32</v>
      </c>
      <c r="C1872" s="46" t="s">
        <v>32</v>
      </c>
      <c r="D1872" s="46" t="s">
        <v>32</v>
      </c>
      <c r="E1872" s="46" t="s">
        <v>32</v>
      </c>
      <c r="F1872" s="47">
        <f>[1]!BexGetData("DP_2","DL719O2RYNC0Y217V0FVT1R77","17","E","26082121E202","2067375011")</f>
        <v>30000</v>
      </c>
      <c r="G1872" s="48">
        <f>[1]!BexGetData("DP_2","DL719O2RYNEBZX0HTMQQ0BY0J","17","E","26082121E202","2067375011")</f>
        <v>30000</v>
      </c>
      <c r="H1872" s="48">
        <f>[1]!BexGetData("DP_2","DL719O2RYNGN1RZRS91K7M4TV","17","E","26082121E202","2067375011")</f>
        <v>30000</v>
      </c>
      <c r="I1872" s="48">
        <f>[1]!BexGetData("DP_2","DL719O2RYNIY3MZ1QVCEEWBN7","17","E","26082121E202","2067375011")</f>
        <v>0</v>
      </c>
    </row>
    <row r="1873" spans="1:9" x14ac:dyDescent="0.2">
      <c r="A1873" s="46" t="s">
        <v>32</v>
      </c>
      <c r="B1873" s="46" t="s">
        <v>32</v>
      </c>
      <c r="C1873" s="46" t="s">
        <v>32</v>
      </c>
      <c r="D1873" s="46" t="s">
        <v>32</v>
      </c>
      <c r="E1873" s="46" t="s">
        <v>32</v>
      </c>
      <c r="F1873" s="47">
        <f>[1]!BexGetData("DP_2","DL719O2RYNC0Y217V0FVT1R77","17","E","26082121E202","2067399031")</f>
        <v>410</v>
      </c>
      <c r="G1873" s="48">
        <f>[1]!BexGetData("DP_2","DL719O2RYNEBZX0HTMQQ0BY0J","17","E","26082121E202","2067399031")</f>
        <v>410</v>
      </c>
      <c r="H1873" s="48">
        <f>[1]!BexGetData("DP_2","DL719O2RYNGN1RZRS91K7M4TV","17","E","26082121E202","2067399031")</f>
        <v>410</v>
      </c>
      <c r="I1873" s="48">
        <f>[1]!BexGetData("DP_2","DL719O2RYNIY3MZ1QVCEEWBN7","17","E","26082121E202","2067399031")</f>
        <v>0</v>
      </c>
    </row>
    <row r="1874" spans="1:9" x14ac:dyDescent="0.2">
      <c r="A1874" s="46" t="s">
        <v>32</v>
      </c>
      <c r="B1874" s="46" t="s">
        <v>32</v>
      </c>
      <c r="C1874" s="46" t="s">
        <v>128</v>
      </c>
      <c r="D1874" s="46" t="s">
        <v>129</v>
      </c>
      <c r="E1874" s="46" t="s">
        <v>32</v>
      </c>
      <c r="F1874" s="49" t="str">
        <f>[1]!BexGetData("DP_2","DL719O2RYNC0Y217V0FVT1R77","17","E","26082121E203","2067122011")</f>
        <v/>
      </c>
      <c r="G1874" s="48">
        <f>[1]!BexGetData("DP_2","DL719O2RYNEBZX0HTMQQ0BY0J","17","E","26082121E203","2067122011")</f>
        <v>0</v>
      </c>
      <c r="H1874" s="48">
        <f>[1]!BexGetData("DP_2","DL719O2RYNGN1RZRS91K7M4TV","17","E","26082121E203","2067122011")</f>
        <v>0</v>
      </c>
      <c r="I1874" s="48">
        <f>[1]!BexGetData("DP_2","DL719O2RYNIY3MZ1QVCEEWBN7","17","E","26082121E203","2067122011")</f>
        <v>0</v>
      </c>
    </row>
    <row r="1875" spans="1:9" x14ac:dyDescent="0.2">
      <c r="A1875" s="46" t="s">
        <v>32</v>
      </c>
      <c r="B1875" s="46" t="s">
        <v>32</v>
      </c>
      <c r="C1875" s="46" t="s">
        <v>130</v>
      </c>
      <c r="D1875" s="46" t="s">
        <v>130</v>
      </c>
      <c r="E1875" s="46" t="s">
        <v>32</v>
      </c>
      <c r="F1875" s="47">
        <f>[1]!BexGetData("DP_2","DL719O2RYNC0Y217V0FVT1R77","17","E","27012054E203","2067113021")</f>
        <v>285554</v>
      </c>
      <c r="G1875" s="48">
        <f>[1]!BexGetData("DP_2","DL719O2RYNEBZX0HTMQQ0BY0J","17","E","27012054E203","2067113021")</f>
        <v>285554</v>
      </c>
      <c r="H1875" s="48">
        <f>[1]!BexGetData("DP_2","DL719O2RYNGN1RZRS91K7M4TV","17","E","27012054E203","2067113021")</f>
        <v>285554</v>
      </c>
      <c r="I1875" s="48">
        <f>[1]!BexGetData("DP_2","DL719O2RYNIY3MZ1QVCEEWBN7","17","E","27012054E203","2067113021")</f>
        <v>0</v>
      </c>
    </row>
    <row r="1876" spans="1:9" x14ac:dyDescent="0.2">
      <c r="A1876" s="46" t="s">
        <v>32</v>
      </c>
      <c r="B1876" s="46" t="s">
        <v>32</v>
      </c>
      <c r="C1876" s="46" t="s">
        <v>32</v>
      </c>
      <c r="D1876" s="46" t="s">
        <v>32</v>
      </c>
      <c r="E1876" s="46" t="s">
        <v>32</v>
      </c>
      <c r="F1876" s="47">
        <f>[1]!BexGetData("DP_2","DL719O2RYNC0Y217V0FVT1R77","17","E","27012054E203","2067131021")</f>
        <v>10657.68</v>
      </c>
      <c r="G1876" s="48">
        <f>[1]!BexGetData("DP_2","DL719O2RYNEBZX0HTMQQ0BY0J","17","E","27012054E203","2067131021")</f>
        <v>10657.68</v>
      </c>
      <c r="H1876" s="48">
        <f>[1]!BexGetData("DP_2","DL719O2RYNGN1RZRS91K7M4TV","17","E","27012054E203","2067131021")</f>
        <v>10657.68</v>
      </c>
      <c r="I1876" s="48">
        <f>[1]!BexGetData("DP_2","DL719O2RYNIY3MZ1QVCEEWBN7","17","E","27012054E203","2067131021")</f>
        <v>0</v>
      </c>
    </row>
    <row r="1877" spans="1:9" x14ac:dyDescent="0.2">
      <c r="A1877" s="46" t="s">
        <v>32</v>
      </c>
      <c r="B1877" s="46" t="s">
        <v>32</v>
      </c>
      <c r="C1877" s="46" t="s">
        <v>32</v>
      </c>
      <c r="D1877" s="46" t="s">
        <v>32</v>
      </c>
      <c r="E1877" s="46" t="s">
        <v>32</v>
      </c>
      <c r="F1877" s="47">
        <f>[1]!BexGetData("DP_2","DL719O2RYNC0Y217V0FVT1R77","17","E","27012054E203","2067132011")</f>
        <v>10365.299999999999</v>
      </c>
      <c r="G1877" s="48">
        <f>[1]!BexGetData("DP_2","DL719O2RYNEBZX0HTMQQ0BY0J","17","E","27012054E203","2067132011")</f>
        <v>10365.299999999999</v>
      </c>
      <c r="H1877" s="48">
        <f>[1]!BexGetData("DP_2","DL719O2RYNGN1RZRS91K7M4TV","17","E","27012054E203","2067132011")</f>
        <v>10365.299999999999</v>
      </c>
      <c r="I1877" s="48">
        <f>[1]!BexGetData("DP_2","DL719O2RYNIY3MZ1QVCEEWBN7","17","E","27012054E203","2067132011")</f>
        <v>0</v>
      </c>
    </row>
    <row r="1878" spans="1:9" x14ac:dyDescent="0.2">
      <c r="A1878" s="46" t="s">
        <v>32</v>
      </c>
      <c r="B1878" s="46" t="s">
        <v>32</v>
      </c>
      <c r="C1878" s="46" t="s">
        <v>32</v>
      </c>
      <c r="D1878" s="46" t="s">
        <v>32</v>
      </c>
      <c r="E1878" s="46" t="s">
        <v>32</v>
      </c>
      <c r="F1878" s="47">
        <f>[1]!BexGetData("DP_2","DL719O2RYNC0Y217V0FVT1R77","17","E","27012054E203","2067132021")</f>
        <v>63611.37</v>
      </c>
      <c r="G1878" s="48">
        <f>[1]!BexGetData("DP_2","DL719O2RYNEBZX0HTMQQ0BY0J","17","E","27012054E203","2067132021")</f>
        <v>63611.37</v>
      </c>
      <c r="H1878" s="48">
        <f>[1]!BexGetData("DP_2","DL719O2RYNGN1RZRS91K7M4TV","17","E","27012054E203","2067132021")</f>
        <v>63611.37</v>
      </c>
      <c r="I1878" s="48">
        <f>[1]!BexGetData("DP_2","DL719O2RYNIY3MZ1QVCEEWBN7","17","E","27012054E203","2067132021")</f>
        <v>0</v>
      </c>
    </row>
    <row r="1879" spans="1:9" x14ac:dyDescent="0.2">
      <c r="A1879" s="46" t="s">
        <v>32</v>
      </c>
      <c r="B1879" s="46" t="s">
        <v>32</v>
      </c>
      <c r="C1879" s="46" t="s">
        <v>32</v>
      </c>
      <c r="D1879" s="46" t="s">
        <v>32</v>
      </c>
      <c r="E1879" s="46" t="s">
        <v>32</v>
      </c>
      <c r="F1879" s="47">
        <f>[1]!BexGetData("DP_2","DL719O2RYNC0Y217V0FVT1R77","17","E","27012054E203","2067134011")</f>
        <v>229972</v>
      </c>
      <c r="G1879" s="48">
        <f>[1]!BexGetData("DP_2","DL719O2RYNEBZX0HTMQQ0BY0J","17","E","27012054E203","2067134011")</f>
        <v>229972</v>
      </c>
      <c r="H1879" s="48">
        <f>[1]!BexGetData("DP_2","DL719O2RYNGN1RZRS91K7M4TV","17","E","27012054E203","2067134011")</f>
        <v>233475.4</v>
      </c>
      <c r="I1879" s="48">
        <f>[1]!BexGetData("DP_2","DL719O2RYNIY3MZ1QVCEEWBN7","17","E","27012054E203","2067134011")</f>
        <v>0</v>
      </c>
    </row>
    <row r="1880" spans="1:9" x14ac:dyDescent="0.2">
      <c r="A1880" s="46" t="s">
        <v>32</v>
      </c>
      <c r="B1880" s="46" t="s">
        <v>32</v>
      </c>
      <c r="C1880" s="46" t="s">
        <v>32</v>
      </c>
      <c r="D1880" s="46" t="s">
        <v>32</v>
      </c>
      <c r="E1880" s="46" t="s">
        <v>32</v>
      </c>
      <c r="F1880" s="47">
        <f>[1]!BexGetData("DP_2","DL719O2RYNC0Y217V0FVT1R77","17","E","27012054E203","2067134021")</f>
        <v>486143.48</v>
      </c>
      <c r="G1880" s="48">
        <f>[1]!BexGetData("DP_2","DL719O2RYNEBZX0HTMQQ0BY0J","17","E","27012054E203","2067134021")</f>
        <v>486143.48</v>
      </c>
      <c r="H1880" s="48">
        <f>[1]!BexGetData("DP_2","DL719O2RYNGN1RZRS91K7M4TV","17","E","27012054E203","2067134021")</f>
        <v>486143.48</v>
      </c>
      <c r="I1880" s="48">
        <f>[1]!BexGetData("DP_2","DL719O2RYNIY3MZ1QVCEEWBN7","17","E","27012054E203","2067134021")</f>
        <v>0</v>
      </c>
    </row>
    <row r="1881" spans="1:9" x14ac:dyDescent="0.2">
      <c r="A1881" s="46" t="s">
        <v>32</v>
      </c>
      <c r="B1881" s="46" t="s">
        <v>32</v>
      </c>
      <c r="C1881" s="46" t="s">
        <v>32</v>
      </c>
      <c r="D1881" s="46" t="s">
        <v>32</v>
      </c>
      <c r="E1881" s="46" t="s">
        <v>32</v>
      </c>
      <c r="F1881" s="47">
        <f>[1]!BexGetData("DP_2","DL719O2RYNC0Y217V0FVT1R77","17","E","27012054E203","2067141011")</f>
        <v>54845.59</v>
      </c>
      <c r="G1881" s="48">
        <f>[1]!BexGetData("DP_2","DL719O2RYNEBZX0HTMQQ0BY0J","17","E","27012054E203","2067141011")</f>
        <v>54845.59</v>
      </c>
      <c r="H1881" s="48">
        <f>[1]!BexGetData("DP_2","DL719O2RYNGN1RZRS91K7M4TV","17","E","27012054E203","2067141011")</f>
        <v>54845.59</v>
      </c>
      <c r="I1881" s="48">
        <f>[1]!BexGetData("DP_2","DL719O2RYNIY3MZ1QVCEEWBN7","17","E","27012054E203","2067141011")</f>
        <v>0</v>
      </c>
    </row>
    <row r="1882" spans="1:9" x14ac:dyDescent="0.2">
      <c r="A1882" s="46" t="s">
        <v>32</v>
      </c>
      <c r="B1882" s="46" t="s">
        <v>32</v>
      </c>
      <c r="C1882" s="46" t="s">
        <v>32</v>
      </c>
      <c r="D1882" s="46" t="s">
        <v>32</v>
      </c>
      <c r="E1882" s="46" t="s">
        <v>32</v>
      </c>
      <c r="F1882" s="47">
        <f>[1]!BexGetData("DP_2","DL719O2RYNC0Y217V0FVT1R77","17","E","27012054E203","2067141021")</f>
        <v>17948.580000000002</v>
      </c>
      <c r="G1882" s="48">
        <f>[1]!BexGetData("DP_2","DL719O2RYNEBZX0HTMQQ0BY0J","17","E","27012054E203","2067141021")</f>
        <v>17948.580000000002</v>
      </c>
      <c r="H1882" s="48">
        <f>[1]!BexGetData("DP_2","DL719O2RYNGN1RZRS91K7M4TV","17","E","27012054E203","2067141021")</f>
        <v>17948.580000000002</v>
      </c>
      <c r="I1882" s="48">
        <f>[1]!BexGetData("DP_2","DL719O2RYNIY3MZ1QVCEEWBN7","17","E","27012054E203","2067141021")</f>
        <v>0</v>
      </c>
    </row>
    <row r="1883" spans="1:9" x14ac:dyDescent="0.2">
      <c r="A1883" s="46" t="s">
        <v>32</v>
      </c>
      <c r="B1883" s="46" t="s">
        <v>32</v>
      </c>
      <c r="C1883" s="46" t="s">
        <v>32</v>
      </c>
      <c r="D1883" s="46" t="s">
        <v>32</v>
      </c>
      <c r="E1883" s="46" t="s">
        <v>32</v>
      </c>
      <c r="F1883" s="47">
        <f>[1]!BexGetData("DP_2","DL719O2RYNC0Y217V0FVT1R77","17","E","27012054E203","2067143011")</f>
        <v>8396.9599999999991</v>
      </c>
      <c r="G1883" s="48">
        <f>[1]!BexGetData("DP_2","DL719O2RYNEBZX0HTMQQ0BY0J","17","E","27012054E203","2067143011")</f>
        <v>8396.9599999999991</v>
      </c>
      <c r="H1883" s="48">
        <f>[1]!BexGetData("DP_2","DL719O2RYNGN1RZRS91K7M4TV","17","E","27012054E203","2067143011")</f>
        <v>8396.9599999999991</v>
      </c>
      <c r="I1883" s="48">
        <f>[1]!BexGetData("DP_2","DL719O2RYNIY3MZ1QVCEEWBN7","17","E","27012054E203","2067143011")</f>
        <v>0</v>
      </c>
    </row>
    <row r="1884" spans="1:9" x14ac:dyDescent="0.2">
      <c r="A1884" s="46" t="s">
        <v>32</v>
      </c>
      <c r="B1884" s="46" t="s">
        <v>32</v>
      </c>
      <c r="C1884" s="46" t="s">
        <v>32</v>
      </c>
      <c r="D1884" s="46" t="s">
        <v>32</v>
      </c>
      <c r="E1884" s="46" t="s">
        <v>32</v>
      </c>
      <c r="F1884" s="47">
        <f>[1]!BexGetData("DP_2","DL719O2RYNC0Y217V0FVT1R77","17","E","27012054E203","2067151011")</f>
        <v>34268.639999999999</v>
      </c>
      <c r="G1884" s="48">
        <f>[1]!BexGetData("DP_2","DL719O2RYNEBZX0HTMQQ0BY0J","17","E","27012054E203","2067151011")</f>
        <v>34268.639999999999</v>
      </c>
      <c r="H1884" s="48">
        <f>[1]!BexGetData("DP_2","DL719O2RYNGN1RZRS91K7M4TV","17","E","27012054E203","2067151011")</f>
        <v>34268.639999999999</v>
      </c>
      <c r="I1884" s="48">
        <f>[1]!BexGetData("DP_2","DL719O2RYNIY3MZ1QVCEEWBN7","17","E","27012054E203","2067151011")</f>
        <v>0</v>
      </c>
    </row>
    <row r="1885" spans="1:9" x14ac:dyDescent="0.2">
      <c r="A1885" s="46" t="s">
        <v>32</v>
      </c>
      <c r="B1885" s="46" t="s">
        <v>32</v>
      </c>
      <c r="C1885" s="46" t="s">
        <v>32</v>
      </c>
      <c r="D1885" s="46" t="s">
        <v>32</v>
      </c>
      <c r="E1885" s="46" t="s">
        <v>32</v>
      </c>
      <c r="F1885" s="47">
        <f>[1]!BexGetData("DP_2","DL719O2RYNC0Y217V0FVT1R77","17","E","27012054E203","2067154011")</f>
        <v>71615.679999999993</v>
      </c>
      <c r="G1885" s="48">
        <f>[1]!BexGetData("DP_2","DL719O2RYNEBZX0HTMQQ0BY0J","17","E","27012054E203","2067154011")</f>
        <v>71615.679999999993</v>
      </c>
      <c r="H1885" s="48">
        <f>[1]!BexGetData("DP_2","DL719O2RYNGN1RZRS91K7M4TV","17","E","27012054E203","2067154011")</f>
        <v>71615.679999999993</v>
      </c>
      <c r="I1885" s="48">
        <f>[1]!BexGetData("DP_2","DL719O2RYNIY3MZ1QVCEEWBN7","17","E","27012054E203","2067154011")</f>
        <v>0</v>
      </c>
    </row>
    <row r="1886" spans="1:9" x14ac:dyDescent="0.2">
      <c r="A1886" s="46" t="s">
        <v>32</v>
      </c>
      <c r="B1886" s="46" t="s">
        <v>32</v>
      </c>
      <c r="C1886" s="46" t="s">
        <v>32</v>
      </c>
      <c r="D1886" s="46" t="s">
        <v>32</v>
      </c>
      <c r="E1886" s="46" t="s">
        <v>32</v>
      </c>
      <c r="F1886" s="47">
        <f>[1]!BexGetData("DP_2","DL719O2RYNC0Y217V0FVT1R77","17","E","27012054E203","2067211011")</f>
        <v>5717.34</v>
      </c>
      <c r="G1886" s="48">
        <f>[1]!BexGetData("DP_2","DL719O2RYNEBZX0HTMQQ0BY0J","17","E","27012054E203","2067211011")</f>
        <v>5717.34</v>
      </c>
      <c r="H1886" s="48">
        <f>[1]!BexGetData("DP_2","DL719O2RYNGN1RZRS91K7M4TV","17","E","27012054E203","2067211011")</f>
        <v>3227.24</v>
      </c>
      <c r="I1886" s="48">
        <f>[1]!BexGetData("DP_2","DL719O2RYNIY3MZ1QVCEEWBN7","17","E","27012054E203","2067211011")</f>
        <v>0</v>
      </c>
    </row>
    <row r="1887" spans="1:9" x14ac:dyDescent="0.2">
      <c r="A1887" s="46" t="s">
        <v>32</v>
      </c>
      <c r="B1887" s="46" t="s">
        <v>32</v>
      </c>
      <c r="C1887" s="46" t="s">
        <v>32</v>
      </c>
      <c r="D1887" s="46" t="s">
        <v>32</v>
      </c>
      <c r="E1887" s="46" t="s">
        <v>32</v>
      </c>
      <c r="F1887" s="47">
        <f>[1]!BexGetData("DP_2","DL719O2RYNC0Y217V0FVT1R77","17","E","27012054E203","2067211021")</f>
        <v>3509.44</v>
      </c>
      <c r="G1887" s="48">
        <f>[1]!BexGetData("DP_2","DL719O2RYNEBZX0HTMQQ0BY0J","17","E","27012054E203","2067211021")</f>
        <v>3509.44</v>
      </c>
      <c r="H1887" s="48">
        <f>[1]!BexGetData("DP_2","DL719O2RYNGN1RZRS91K7M4TV","17","E","27012054E203","2067211021")</f>
        <v>3509.44</v>
      </c>
      <c r="I1887" s="48">
        <f>[1]!BexGetData("DP_2","DL719O2RYNIY3MZ1QVCEEWBN7","17","E","27012054E203","2067211021")</f>
        <v>0</v>
      </c>
    </row>
    <row r="1888" spans="1:9" x14ac:dyDescent="0.2">
      <c r="A1888" s="46" t="s">
        <v>32</v>
      </c>
      <c r="B1888" s="46" t="s">
        <v>32</v>
      </c>
      <c r="C1888" s="46" t="s">
        <v>32</v>
      </c>
      <c r="D1888" s="46" t="s">
        <v>32</v>
      </c>
      <c r="E1888" s="46" t="s">
        <v>32</v>
      </c>
      <c r="F1888" s="47">
        <f>[1]!BexGetData("DP_2","DL719O2RYNC0Y217V0FVT1R77","17","E","27012054E203","2067214011")</f>
        <v>17673.61</v>
      </c>
      <c r="G1888" s="48">
        <f>[1]!BexGetData("DP_2","DL719O2RYNEBZX0HTMQQ0BY0J","17","E","27012054E203","2067214011")</f>
        <v>17673.61</v>
      </c>
      <c r="H1888" s="48">
        <f>[1]!BexGetData("DP_2","DL719O2RYNGN1RZRS91K7M4TV","17","E","27012054E203","2067214011")</f>
        <v>15825.62</v>
      </c>
      <c r="I1888" s="48">
        <f>[1]!BexGetData("DP_2","DL719O2RYNIY3MZ1QVCEEWBN7","17","E","27012054E203","2067214011")</f>
        <v>0</v>
      </c>
    </row>
    <row r="1889" spans="1:9" x14ac:dyDescent="0.2">
      <c r="A1889" s="46" t="s">
        <v>32</v>
      </c>
      <c r="B1889" s="46" t="s">
        <v>32</v>
      </c>
      <c r="C1889" s="46" t="s">
        <v>32</v>
      </c>
      <c r="D1889" s="46" t="s">
        <v>32</v>
      </c>
      <c r="E1889" s="46" t="s">
        <v>32</v>
      </c>
      <c r="F1889" s="47">
        <f>[1]!BexGetData("DP_2","DL719O2RYNC0Y217V0FVT1R77","17","E","27012054E203","2067215021")</f>
        <v>1218</v>
      </c>
      <c r="G1889" s="48">
        <f>[1]!BexGetData("DP_2","DL719O2RYNEBZX0HTMQQ0BY0J","17","E","27012054E203","2067215021")</f>
        <v>1218</v>
      </c>
      <c r="H1889" s="48">
        <f>[1]!BexGetData("DP_2","DL719O2RYNGN1RZRS91K7M4TV","17","E","27012054E203","2067215021")</f>
        <v>0</v>
      </c>
      <c r="I1889" s="48">
        <f>[1]!BexGetData("DP_2","DL719O2RYNIY3MZ1QVCEEWBN7","17","E","27012054E203","2067215021")</f>
        <v>0</v>
      </c>
    </row>
    <row r="1890" spans="1:9" x14ac:dyDescent="0.2">
      <c r="A1890" s="46" t="s">
        <v>32</v>
      </c>
      <c r="B1890" s="46" t="s">
        <v>32</v>
      </c>
      <c r="C1890" s="46" t="s">
        <v>32</v>
      </c>
      <c r="D1890" s="46" t="s">
        <v>32</v>
      </c>
      <c r="E1890" s="46" t="s">
        <v>32</v>
      </c>
      <c r="F1890" s="47">
        <f>[1]!BexGetData("DP_2","DL719O2RYNC0Y217V0FVT1R77","17","E","27012054E203","2067216011")</f>
        <v>620.07000000000005</v>
      </c>
      <c r="G1890" s="48">
        <f>[1]!BexGetData("DP_2","DL719O2RYNEBZX0HTMQQ0BY0J","17","E","27012054E203","2067216011")</f>
        <v>620.07000000000005</v>
      </c>
      <c r="H1890" s="48">
        <f>[1]!BexGetData("DP_2","DL719O2RYNGN1RZRS91K7M4TV","17","E","27012054E203","2067216011")</f>
        <v>620.07000000000005</v>
      </c>
      <c r="I1890" s="48">
        <f>[1]!BexGetData("DP_2","DL719O2RYNIY3MZ1QVCEEWBN7","17","E","27012054E203","2067216011")</f>
        <v>0</v>
      </c>
    </row>
    <row r="1891" spans="1:9" x14ac:dyDescent="0.2">
      <c r="A1891" s="46" t="s">
        <v>32</v>
      </c>
      <c r="B1891" s="46" t="s">
        <v>32</v>
      </c>
      <c r="C1891" s="46" t="s">
        <v>32</v>
      </c>
      <c r="D1891" s="46" t="s">
        <v>32</v>
      </c>
      <c r="E1891" s="46" t="s">
        <v>32</v>
      </c>
      <c r="F1891" s="47">
        <f>[1]!BexGetData("DP_2","DL719O2RYNC0Y217V0FVT1R77","17","E","27012054E203","2067217011")</f>
        <v>3292.1</v>
      </c>
      <c r="G1891" s="48">
        <f>[1]!BexGetData("DP_2","DL719O2RYNEBZX0HTMQQ0BY0J","17","E","27012054E203","2067217011")</f>
        <v>3292.1</v>
      </c>
      <c r="H1891" s="48">
        <f>[1]!BexGetData("DP_2","DL719O2RYNGN1RZRS91K7M4TV","17","E","27012054E203","2067217011")</f>
        <v>0</v>
      </c>
      <c r="I1891" s="48">
        <f>[1]!BexGetData("DP_2","DL719O2RYNIY3MZ1QVCEEWBN7","17","E","27012054E203","2067217011")</f>
        <v>0</v>
      </c>
    </row>
    <row r="1892" spans="1:9" x14ac:dyDescent="0.2">
      <c r="A1892" s="46" t="s">
        <v>32</v>
      </c>
      <c r="B1892" s="46" t="s">
        <v>32</v>
      </c>
      <c r="C1892" s="46" t="s">
        <v>32</v>
      </c>
      <c r="D1892" s="46" t="s">
        <v>32</v>
      </c>
      <c r="E1892" s="46" t="s">
        <v>32</v>
      </c>
      <c r="F1892" s="47">
        <f>[1]!BexGetData("DP_2","DL719O2RYNC0Y217V0FVT1R77","17","E","27012054E203","2067221011")</f>
        <v>497</v>
      </c>
      <c r="G1892" s="48">
        <f>[1]!BexGetData("DP_2","DL719O2RYNEBZX0HTMQQ0BY0J","17","E","27012054E203","2067221011")</f>
        <v>497</v>
      </c>
      <c r="H1892" s="48">
        <f>[1]!BexGetData("DP_2","DL719O2RYNGN1RZRS91K7M4TV","17","E","27012054E203","2067221011")</f>
        <v>0</v>
      </c>
      <c r="I1892" s="48">
        <f>[1]!BexGetData("DP_2","DL719O2RYNIY3MZ1QVCEEWBN7","17","E","27012054E203","2067221011")</f>
        <v>0</v>
      </c>
    </row>
    <row r="1893" spans="1:9" x14ac:dyDescent="0.2">
      <c r="A1893" s="46" t="s">
        <v>32</v>
      </c>
      <c r="B1893" s="46" t="s">
        <v>32</v>
      </c>
      <c r="C1893" s="46" t="s">
        <v>32</v>
      </c>
      <c r="D1893" s="46" t="s">
        <v>32</v>
      </c>
      <c r="E1893" s="46" t="s">
        <v>32</v>
      </c>
      <c r="F1893" s="47">
        <f>[1]!BexGetData("DP_2","DL719O2RYNC0Y217V0FVT1R77","17","E","27012054E203","2067221021")</f>
        <v>4460.5</v>
      </c>
      <c r="G1893" s="48">
        <f>[1]!BexGetData("DP_2","DL719O2RYNEBZX0HTMQQ0BY0J","17","E","27012054E203","2067221021")</f>
        <v>4460.5</v>
      </c>
      <c r="H1893" s="48">
        <f>[1]!BexGetData("DP_2","DL719O2RYNGN1RZRS91K7M4TV","17","E","27012054E203","2067221021")</f>
        <v>0</v>
      </c>
      <c r="I1893" s="48">
        <f>[1]!BexGetData("DP_2","DL719O2RYNIY3MZ1QVCEEWBN7","17","E","27012054E203","2067221021")</f>
        <v>0</v>
      </c>
    </row>
    <row r="1894" spans="1:9" x14ac:dyDescent="0.2">
      <c r="A1894" s="46" t="s">
        <v>32</v>
      </c>
      <c r="B1894" s="46" t="s">
        <v>32</v>
      </c>
      <c r="C1894" s="46" t="s">
        <v>32</v>
      </c>
      <c r="D1894" s="46" t="s">
        <v>32</v>
      </c>
      <c r="E1894" s="46" t="s">
        <v>32</v>
      </c>
      <c r="F1894" s="47">
        <f>[1]!BexGetData("DP_2","DL719O2RYNC0Y217V0FVT1R77","17","E","27012054E203","2067248011")</f>
        <v>1406.21</v>
      </c>
      <c r="G1894" s="48">
        <f>[1]!BexGetData("DP_2","DL719O2RYNEBZX0HTMQQ0BY0J","17","E","27012054E203","2067248011")</f>
        <v>1406.21</v>
      </c>
      <c r="H1894" s="48">
        <f>[1]!BexGetData("DP_2","DL719O2RYNGN1RZRS91K7M4TV","17","E","27012054E203","2067248011")</f>
        <v>0</v>
      </c>
      <c r="I1894" s="48">
        <f>[1]!BexGetData("DP_2","DL719O2RYNIY3MZ1QVCEEWBN7","17","E","27012054E203","2067248011")</f>
        <v>0</v>
      </c>
    </row>
    <row r="1895" spans="1:9" x14ac:dyDescent="0.2">
      <c r="A1895" s="46" t="s">
        <v>32</v>
      </c>
      <c r="B1895" s="46" t="s">
        <v>32</v>
      </c>
      <c r="C1895" s="46" t="s">
        <v>32</v>
      </c>
      <c r="D1895" s="46" t="s">
        <v>32</v>
      </c>
      <c r="E1895" s="46" t="s">
        <v>32</v>
      </c>
      <c r="F1895" s="47">
        <f>[1]!BexGetData("DP_2","DL719O2RYNC0Y217V0FVT1R77","17","E","27012054E203","2067256011")</f>
        <v>21102</v>
      </c>
      <c r="G1895" s="48">
        <f>[1]!BexGetData("DP_2","DL719O2RYNEBZX0HTMQQ0BY0J","17","E","27012054E203","2067256011")</f>
        <v>21102</v>
      </c>
      <c r="H1895" s="48">
        <f>[1]!BexGetData("DP_2","DL719O2RYNGN1RZRS91K7M4TV","17","E","27012054E203","2067256011")</f>
        <v>15080</v>
      </c>
      <c r="I1895" s="48">
        <f>[1]!BexGetData("DP_2","DL719O2RYNIY3MZ1QVCEEWBN7","17","E","27012054E203","2067256011")</f>
        <v>0</v>
      </c>
    </row>
    <row r="1896" spans="1:9" x14ac:dyDescent="0.2">
      <c r="A1896" s="46" t="s">
        <v>32</v>
      </c>
      <c r="B1896" s="46" t="s">
        <v>32</v>
      </c>
      <c r="C1896" s="46" t="s">
        <v>32</v>
      </c>
      <c r="D1896" s="46" t="s">
        <v>32</v>
      </c>
      <c r="E1896" s="46" t="s">
        <v>32</v>
      </c>
      <c r="F1896" s="47">
        <f>[1]!BexGetData("DP_2","DL719O2RYNC0Y217V0FVT1R77","17","E","27012054E203","2067273011")</f>
        <v>580</v>
      </c>
      <c r="G1896" s="48">
        <f>[1]!BexGetData("DP_2","DL719O2RYNEBZX0HTMQQ0BY0J","17","E","27012054E203","2067273011")</f>
        <v>580</v>
      </c>
      <c r="H1896" s="48">
        <f>[1]!BexGetData("DP_2","DL719O2RYNGN1RZRS91K7M4TV","17","E","27012054E203","2067273011")</f>
        <v>0</v>
      </c>
      <c r="I1896" s="48">
        <f>[1]!BexGetData("DP_2","DL719O2RYNIY3MZ1QVCEEWBN7","17","E","27012054E203","2067273011")</f>
        <v>0</v>
      </c>
    </row>
    <row r="1897" spans="1:9" x14ac:dyDescent="0.2">
      <c r="A1897" s="46" t="s">
        <v>32</v>
      </c>
      <c r="B1897" s="46" t="s">
        <v>32</v>
      </c>
      <c r="C1897" s="46" t="s">
        <v>32</v>
      </c>
      <c r="D1897" s="46" t="s">
        <v>32</v>
      </c>
      <c r="E1897" s="46" t="s">
        <v>32</v>
      </c>
      <c r="F1897" s="47">
        <f>[1]!BexGetData("DP_2","DL719O2RYNC0Y217V0FVT1R77","17","E","27012054E203","2067274011")</f>
        <v>387.44</v>
      </c>
      <c r="G1897" s="48">
        <f>[1]!BexGetData("DP_2","DL719O2RYNEBZX0HTMQQ0BY0J","17","E","27012054E203","2067274011")</f>
        <v>387.44</v>
      </c>
      <c r="H1897" s="48">
        <f>[1]!BexGetData("DP_2","DL719O2RYNGN1RZRS91K7M4TV","17","E","27012054E203","2067274011")</f>
        <v>0</v>
      </c>
      <c r="I1897" s="48">
        <f>[1]!BexGetData("DP_2","DL719O2RYNIY3MZ1QVCEEWBN7","17","E","27012054E203","2067274011")</f>
        <v>0</v>
      </c>
    </row>
    <row r="1898" spans="1:9" x14ac:dyDescent="0.2">
      <c r="A1898" s="46" t="s">
        <v>32</v>
      </c>
      <c r="B1898" s="46" t="s">
        <v>32</v>
      </c>
      <c r="C1898" s="46" t="s">
        <v>32</v>
      </c>
      <c r="D1898" s="46" t="s">
        <v>32</v>
      </c>
      <c r="E1898" s="46" t="s">
        <v>32</v>
      </c>
      <c r="F1898" s="47">
        <f>[1]!BexGetData("DP_2","DL719O2RYNC0Y217V0FVT1R77","17","E","27012054E203","2067311011")</f>
        <v>1167.83</v>
      </c>
      <c r="G1898" s="48">
        <f>[1]!BexGetData("DP_2","DL719O2RYNEBZX0HTMQQ0BY0J","17","E","27012054E203","2067311011")</f>
        <v>1167.83</v>
      </c>
      <c r="H1898" s="48">
        <f>[1]!BexGetData("DP_2","DL719O2RYNGN1RZRS91K7M4TV","17","E","27012054E203","2067311011")</f>
        <v>576.83000000000004</v>
      </c>
      <c r="I1898" s="48">
        <f>[1]!BexGetData("DP_2","DL719O2RYNIY3MZ1QVCEEWBN7","17","E","27012054E203","2067311011")</f>
        <v>0</v>
      </c>
    </row>
    <row r="1899" spans="1:9" x14ac:dyDescent="0.2">
      <c r="A1899" s="46" t="s">
        <v>32</v>
      </c>
      <c r="B1899" s="46" t="s">
        <v>32</v>
      </c>
      <c r="C1899" s="46" t="s">
        <v>32</v>
      </c>
      <c r="D1899" s="46" t="s">
        <v>32</v>
      </c>
      <c r="E1899" s="46" t="s">
        <v>32</v>
      </c>
      <c r="F1899" s="47">
        <f>[1]!BexGetData("DP_2","DL719O2RYNC0Y217V0FVT1R77","17","E","27012054E203","2067314011")</f>
        <v>8524.74</v>
      </c>
      <c r="G1899" s="48">
        <f>[1]!BexGetData("DP_2","DL719O2RYNEBZX0HTMQQ0BY0J","17","E","27012054E203","2067314011")</f>
        <v>8524.74</v>
      </c>
      <c r="H1899" s="48">
        <f>[1]!BexGetData("DP_2","DL719O2RYNGN1RZRS91K7M4TV","17","E","27012054E203","2067314011")</f>
        <v>8524.74</v>
      </c>
      <c r="I1899" s="48">
        <f>[1]!BexGetData("DP_2","DL719O2RYNIY3MZ1QVCEEWBN7","17","E","27012054E203","2067314011")</f>
        <v>0</v>
      </c>
    </row>
    <row r="1900" spans="1:9" x14ac:dyDescent="0.2">
      <c r="A1900" s="46" t="s">
        <v>32</v>
      </c>
      <c r="B1900" s="46" t="s">
        <v>32</v>
      </c>
      <c r="C1900" s="46" t="s">
        <v>32</v>
      </c>
      <c r="D1900" s="46" t="s">
        <v>32</v>
      </c>
      <c r="E1900" s="46" t="s">
        <v>32</v>
      </c>
      <c r="F1900" s="47">
        <f>[1]!BexGetData("DP_2","DL719O2RYNC0Y217V0FVT1R77","17","E","27012054E203","2067322011")</f>
        <v>23200</v>
      </c>
      <c r="G1900" s="48">
        <f>[1]!BexGetData("DP_2","DL719O2RYNEBZX0HTMQQ0BY0J","17","E","27012054E203","2067322011")</f>
        <v>23200</v>
      </c>
      <c r="H1900" s="48">
        <f>[1]!BexGetData("DP_2","DL719O2RYNGN1RZRS91K7M4TV","17","E","27012054E203","2067322011")</f>
        <v>23200</v>
      </c>
      <c r="I1900" s="48">
        <f>[1]!BexGetData("DP_2","DL719O2RYNIY3MZ1QVCEEWBN7","17","E","27012054E203","2067322011")</f>
        <v>0</v>
      </c>
    </row>
    <row r="1901" spans="1:9" x14ac:dyDescent="0.2">
      <c r="A1901" s="46" t="s">
        <v>32</v>
      </c>
      <c r="B1901" s="46" t="s">
        <v>32</v>
      </c>
      <c r="C1901" s="46" t="s">
        <v>32</v>
      </c>
      <c r="D1901" s="46" t="s">
        <v>32</v>
      </c>
      <c r="E1901" s="46" t="s">
        <v>32</v>
      </c>
      <c r="F1901" s="47">
        <f>[1]!BexGetData("DP_2","DL719O2RYNC0Y217V0FVT1R77","17","E","27012054E203","2067329011")</f>
        <v>20900</v>
      </c>
      <c r="G1901" s="48">
        <f>[1]!BexGetData("DP_2","DL719O2RYNEBZX0HTMQQ0BY0J","17","E","27012054E203","2067329011")</f>
        <v>20900</v>
      </c>
      <c r="H1901" s="48">
        <f>[1]!BexGetData("DP_2","DL719O2RYNGN1RZRS91K7M4TV","17","E","27012054E203","2067329011")</f>
        <v>696</v>
      </c>
      <c r="I1901" s="48">
        <f>[1]!BexGetData("DP_2","DL719O2RYNIY3MZ1QVCEEWBN7","17","E","27012054E203","2067329011")</f>
        <v>0</v>
      </c>
    </row>
    <row r="1902" spans="1:9" x14ac:dyDescent="0.2">
      <c r="A1902" s="46" t="s">
        <v>32</v>
      </c>
      <c r="B1902" s="46" t="s">
        <v>32</v>
      </c>
      <c r="C1902" s="46" t="s">
        <v>32</v>
      </c>
      <c r="D1902" s="46" t="s">
        <v>32</v>
      </c>
      <c r="E1902" s="46" t="s">
        <v>32</v>
      </c>
      <c r="F1902" s="47">
        <f>[1]!BexGetData("DP_2","DL719O2RYNC0Y217V0FVT1R77","17","E","27012054E203","2067336011")</f>
        <v>22547.47</v>
      </c>
      <c r="G1902" s="48">
        <f>[1]!BexGetData("DP_2","DL719O2RYNEBZX0HTMQQ0BY0J","17","E","27012054E203","2067336011")</f>
        <v>22547.47</v>
      </c>
      <c r="H1902" s="48">
        <f>[1]!BexGetData("DP_2","DL719O2RYNGN1RZRS91K7M4TV","17","E","27012054E203","2067336011")</f>
        <v>8386.2199999999993</v>
      </c>
      <c r="I1902" s="48">
        <f>[1]!BexGetData("DP_2","DL719O2RYNIY3MZ1QVCEEWBN7","17","E","27012054E203","2067336011")</f>
        <v>0</v>
      </c>
    </row>
    <row r="1903" spans="1:9" x14ac:dyDescent="0.2">
      <c r="A1903" s="46" t="s">
        <v>32</v>
      </c>
      <c r="B1903" s="46" t="s">
        <v>32</v>
      </c>
      <c r="C1903" s="46" t="s">
        <v>32</v>
      </c>
      <c r="D1903" s="46" t="s">
        <v>32</v>
      </c>
      <c r="E1903" s="46" t="s">
        <v>32</v>
      </c>
      <c r="F1903" s="47">
        <f>[1]!BexGetData("DP_2","DL719O2RYNC0Y217V0FVT1R77","17","E","27012054E203","2067339011")</f>
        <v>5800</v>
      </c>
      <c r="G1903" s="48">
        <f>[1]!BexGetData("DP_2","DL719O2RYNEBZX0HTMQQ0BY0J","17","E","27012054E203","2067339011")</f>
        <v>5800</v>
      </c>
      <c r="H1903" s="48">
        <f>[1]!BexGetData("DP_2","DL719O2RYNGN1RZRS91K7M4TV","17","E","27012054E203","2067339011")</f>
        <v>0</v>
      </c>
      <c r="I1903" s="48">
        <f>[1]!BexGetData("DP_2","DL719O2RYNIY3MZ1QVCEEWBN7","17","E","27012054E203","2067339011")</f>
        <v>0</v>
      </c>
    </row>
    <row r="1904" spans="1:9" x14ac:dyDescent="0.2">
      <c r="A1904" s="46" t="s">
        <v>32</v>
      </c>
      <c r="B1904" s="46" t="s">
        <v>32</v>
      </c>
      <c r="C1904" s="46" t="s">
        <v>32</v>
      </c>
      <c r="D1904" s="46" t="s">
        <v>32</v>
      </c>
      <c r="E1904" s="46" t="s">
        <v>32</v>
      </c>
      <c r="F1904" s="47">
        <f>[1]!BexGetData("DP_2","DL719O2RYNC0Y217V0FVT1R77","17","E","27012054E203","2067361011")</f>
        <v>12307.6</v>
      </c>
      <c r="G1904" s="48">
        <f>[1]!BexGetData("DP_2","DL719O2RYNEBZX0HTMQQ0BY0J","17","E","27012054E203","2067361011")</f>
        <v>12307.6</v>
      </c>
      <c r="H1904" s="48">
        <f>[1]!BexGetData("DP_2","DL719O2RYNGN1RZRS91K7M4TV","17","E","27012054E203","2067361011")</f>
        <v>0</v>
      </c>
      <c r="I1904" s="48">
        <f>[1]!BexGetData("DP_2","DL719O2RYNIY3MZ1QVCEEWBN7","17","E","27012054E203","2067361011")</f>
        <v>0</v>
      </c>
    </row>
    <row r="1905" spans="1:9" x14ac:dyDescent="0.2">
      <c r="A1905" s="46" t="s">
        <v>32</v>
      </c>
      <c r="B1905" s="46" t="s">
        <v>32</v>
      </c>
      <c r="C1905" s="46" t="s">
        <v>32</v>
      </c>
      <c r="D1905" s="46" t="s">
        <v>32</v>
      </c>
      <c r="E1905" s="46" t="s">
        <v>32</v>
      </c>
      <c r="F1905" s="47">
        <f>[1]!BexGetData("DP_2","DL719O2RYNC0Y217V0FVT1R77","17","E","27012054E203","2067372011")</f>
        <v>1091</v>
      </c>
      <c r="G1905" s="48">
        <f>[1]!BexGetData("DP_2","DL719O2RYNEBZX0HTMQQ0BY0J","17","E","27012054E203","2067372011")</f>
        <v>1091</v>
      </c>
      <c r="H1905" s="48">
        <f>[1]!BexGetData("DP_2","DL719O2RYNGN1RZRS91K7M4TV","17","E","27012054E203","2067372011")</f>
        <v>1091</v>
      </c>
      <c r="I1905" s="48">
        <f>[1]!BexGetData("DP_2","DL719O2RYNIY3MZ1QVCEEWBN7","17","E","27012054E203","2067372011")</f>
        <v>0</v>
      </c>
    </row>
    <row r="1906" spans="1:9" x14ac:dyDescent="0.2">
      <c r="A1906" s="46" t="s">
        <v>32</v>
      </c>
      <c r="B1906" s="46" t="s">
        <v>32</v>
      </c>
      <c r="C1906" s="46" t="s">
        <v>32</v>
      </c>
      <c r="D1906" s="46" t="s">
        <v>32</v>
      </c>
      <c r="E1906" s="46" t="s">
        <v>32</v>
      </c>
      <c r="F1906" s="47">
        <f>[1]!BexGetData("DP_2","DL719O2RYNC0Y217V0FVT1R77","17","E","27012054E203","2067375011")</f>
        <v>1500</v>
      </c>
      <c r="G1906" s="48">
        <f>[1]!BexGetData("DP_2","DL719O2RYNEBZX0HTMQQ0BY0J","17","E","27012054E203","2067375011")</f>
        <v>1500</v>
      </c>
      <c r="H1906" s="48">
        <f>[1]!BexGetData("DP_2","DL719O2RYNGN1RZRS91K7M4TV","17","E","27012054E203","2067375011")</f>
        <v>0</v>
      </c>
      <c r="I1906" s="48">
        <f>[1]!BexGetData("DP_2","DL719O2RYNIY3MZ1QVCEEWBN7","17","E","27012054E203","2067375011")</f>
        <v>0</v>
      </c>
    </row>
    <row r="1907" spans="1:9" x14ac:dyDescent="0.2">
      <c r="A1907" s="46" t="s">
        <v>32</v>
      </c>
      <c r="B1907" s="46" t="s">
        <v>32</v>
      </c>
      <c r="C1907" s="46" t="s">
        <v>32</v>
      </c>
      <c r="D1907" s="46" t="s">
        <v>32</v>
      </c>
      <c r="E1907" s="46" t="s">
        <v>32</v>
      </c>
      <c r="F1907" s="47">
        <f>[1]!BexGetData("DP_2","DL719O2RYNC0Y217V0FVT1R77","17","E","27012054E203","2067445011")</f>
        <v>12000</v>
      </c>
      <c r="G1907" s="48">
        <f>[1]!BexGetData("DP_2","DL719O2RYNEBZX0HTMQQ0BY0J","17","E","27012054E203","2067445011")</f>
        <v>12000</v>
      </c>
      <c r="H1907" s="48">
        <f>[1]!BexGetData("DP_2","DL719O2RYNGN1RZRS91K7M4TV","17","E","27012054E203","2067445011")</f>
        <v>0</v>
      </c>
      <c r="I1907" s="48">
        <f>[1]!BexGetData("DP_2","DL719O2RYNIY3MZ1QVCEEWBN7","17","E","27012054E203","2067445011")</f>
        <v>0</v>
      </c>
    </row>
    <row r="1908" spans="1:9" x14ac:dyDescent="0.2">
      <c r="A1908" s="46" t="s">
        <v>32</v>
      </c>
      <c r="B1908" s="46" t="s">
        <v>32</v>
      </c>
      <c r="C1908" s="46" t="s">
        <v>32</v>
      </c>
      <c r="D1908" s="46" t="s">
        <v>32</v>
      </c>
      <c r="E1908" s="46" t="s">
        <v>32</v>
      </c>
      <c r="F1908" s="47">
        <f>[1]!BexGetData("DP_2","DL719O2RYNC0Y217V0FVT1R77","17","E","27012054E203","2067445021")</f>
        <v>44013</v>
      </c>
      <c r="G1908" s="48">
        <f>[1]!BexGetData("DP_2","DL719O2RYNEBZX0HTMQQ0BY0J","17","E","27012054E203","2067445021")</f>
        <v>44013</v>
      </c>
      <c r="H1908" s="48">
        <f>[1]!BexGetData("DP_2","DL719O2RYNGN1RZRS91K7M4TV","17","E","27012054E203","2067445021")</f>
        <v>0</v>
      </c>
      <c r="I1908" s="48">
        <f>[1]!BexGetData("DP_2","DL719O2RYNIY3MZ1QVCEEWBN7","17","E","27012054E203","2067445021")</f>
        <v>0</v>
      </c>
    </row>
    <row r="1909" spans="1:9" x14ac:dyDescent="0.2">
      <c r="A1909" s="46" t="s">
        <v>32</v>
      </c>
      <c r="B1909" s="46" t="s">
        <v>32</v>
      </c>
      <c r="C1909" s="46" t="s">
        <v>32</v>
      </c>
      <c r="D1909" s="46" t="s">
        <v>32</v>
      </c>
      <c r="E1909" s="46" t="s">
        <v>32</v>
      </c>
      <c r="F1909" s="47">
        <f>[1]!BexGetData("DP_2","DL719O2RYNC0Y217V0FVT1R77","17","E","27012054E203","2067445031")</f>
        <v>4000</v>
      </c>
      <c r="G1909" s="48">
        <f>[1]!BexGetData("DP_2","DL719O2RYNEBZX0HTMQQ0BY0J","17","E","27012054E203","2067445031")</f>
        <v>4000</v>
      </c>
      <c r="H1909" s="48">
        <f>[1]!BexGetData("DP_2","DL719O2RYNGN1RZRS91K7M4TV","17","E","27012054E203","2067445031")</f>
        <v>0</v>
      </c>
      <c r="I1909" s="48">
        <f>[1]!BexGetData("DP_2","DL719O2RYNIY3MZ1QVCEEWBN7","17","E","27012054E203","2067445031")</f>
        <v>0</v>
      </c>
    </row>
    <row r="1910" spans="1:9" x14ac:dyDescent="0.2">
      <c r="A1910" s="46" t="s">
        <v>32</v>
      </c>
      <c r="B1910" s="46" t="s">
        <v>32</v>
      </c>
      <c r="C1910" s="46" t="s">
        <v>32</v>
      </c>
      <c r="D1910" s="46" t="s">
        <v>32</v>
      </c>
      <c r="E1910" s="46" t="s">
        <v>32</v>
      </c>
      <c r="F1910" s="47">
        <f>[1]!BexGetData("DP_2","DL719O2RYNC0Y217V0FVT1R77","17","E","27012054E203","2067515012")</f>
        <v>26159</v>
      </c>
      <c r="G1910" s="48">
        <f>[1]!BexGetData("DP_2","DL719O2RYNEBZX0HTMQQ0BY0J","17","E","27012054E203","2067515012")</f>
        <v>26159</v>
      </c>
      <c r="H1910" s="48">
        <f>[1]!BexGetData("DP_2","DL719O2RYNGN1RZRS91K7M4TV","17","E","27012054E203","2067515012")</f>
        <v>0</v>
      </c>
      <c r="I1910" s="48">
        <f>[1]!BexGetData("DP_2","DL719O2RYNIY3MZ1QVCEEWBN7","17","E","27012054E203","2067515012")</f>
        <v>0</v>
      </c>
    </row>
    <row r="1911" spans="1:9" x14ac:dyDescent="0.2">
      <c r="A1911" s="46" t="s">
        <v>32</v>
      </c>
      <c r="B1911" s="46" t="s">
        <v>32</v>
      </c>
      <c r="C1911" s="46" t="s">
        <v>131</v>
      </c>
      <c r="D1911" s="46" t="s">
        <v>131</v>
      </c>
      <c r="E1911" s="46" t="s">
        <v>32</v>
      </c>
      <c r="F1911" s="47">
        <f>[1]!BexGetData("DP_2","DL719O2RYNC0Y217V0FVT1R77","17","E","31013021E301","2067113021")</f>
        <v>103462.66</v>
      </c>
      <c r="G1911" s="48">
        <f>[1]!BexGetData("DP_2","DL719O2RYNEBZX0HTMQQ0BY0J","17","E","31013021E301","2067113021")</f>
        <v>103462.66</v>
      </c>
      <c r="H1911" s="48">
        <f>[1]!BexGetData("DP_2","DL719O2RYNGN1RZRS91K7M4TV","17","E","31013021E301","2067113021")</f>
        <v>103462.66</v>
      </c>
      <c r="I1911" s="48">
        <f>[1]!BexGetData("DP_2","DL719O2RYNIY3MZ1QVCEEWBN7","17","E","31013021E301","2067113021")</f>
        <v>0</v>
      </c>
    </row>
    <row r="1912" spans="1:9" x14ac:dyDescent="0.2">
      <c r="A1912" s="46" t="s">
        <v>32</v>
      </c>
      <c r="B1912" s="46" t="s">
        <v>32</v>
      </c>
      <c r="C1912" s="46" t="s">
        <v>32</v>
      </c>
      <c r="D1912" s="46" t="s">
        <v>32</v>
      </c>
      <c r="E1912" s="46" t="s">
        <v>32</v>
      </c>
      <c r="F1912" s="47">
        <f>[1]!BexGetData("DP_2","DL719O2RYNC0Y217V0FVT1R77","17","E","31013021E301","2067132011")</f>
        <v>3623.7</v>
      </c>
      <c r="G1912" s="48">
        <f>[1]!BexGetData("DP_2","DL719O2RYNEBZX0HTMQQ0BY0J","17","E","31013021E301","2067132011")</f>
        <v>3623.7</v>
      </c>
      <c r="H1912" s="48">
        <f>[1]!BexGetData("DP_2","DL719O2RYNGN1RZRS91K7M4TV","17","E","31013021E301","2067132011")</f>
        <v>3623.7</v>
      </c>
      <c r="I1912" s="48">
        <f>[1]!BexGetData("DP_2","DL719O2RYNIY3MZ1QVCEEWBN7","17","E","31013021E301","2067132011")</f>
        <v>0</v>
      </c>
    </row>
    <row r="1913" spans="1:9" x14ac:dyDescent="0.2">
      <c r="A1913" s="46" t="s">
        <v>32</v>
      </c>
      <c r="B1913" s="46" t="s">
        <v>32</v>
      </c>
      <c r="C1913" s="46" t="s">
        <v>32</v>
      </c>
      <c r="D1913" s="46" t="s">
        <v>32</v>
      </c>
      <c r="E1913" s="46" t="s">
        <v>32</v>
      </c>
      <c r="F1913" s="47">
        <f>[1]!BexGetData("DP_2","DL719O2RYNC0Y217V0FVT1R77","17","E","31013021E301","2067132021")</f>
        <v>43494.16</v>
      </c>
      <c r="G1913" s="48">
        <f>[1]!BexGetData("DP_2","DL719O2RYNEBZX0HTMQQ0BY0J","17","E","31013021E301","2067132021")</f>
        <v>43494.16</v>
      </c>
      <c r="H1913" s="48">
        <f>[1]!BexGetData("DP_2","DL719O2RYNGN1RZRS91K7M4TV","17","E","31013021E301","2067132021")</f>
        <v>43494.16</v>
      </c>
      <c r="I1913" s="48">
        <f>[1]!BexGetData("DP_2","DL719O2RYNIY3MZ1QVCEEWBN7","17","E","31013021E301","2067132021")</f>
        <v>0</v>
      </c>
    </row>
    <row r="1914" spans="1:9" x14ac:dyDescent="0.2">
      <c r="A1914" s="46" t="s">
        <v>32</v>
      </c>
      <c r="B1914" s="46" t="s">
        <v>32</v>
      </c>
      <c r="C1914" s="46" t="s">
        <v>32</v>
      </c>
      <c r="D1914" s="46" t="s">
        <v>32</v>
      </c>
      <c r="E1914" s="46" t="s">
        <v>32</v>
      </c>
      <c r="F1914" s="47">
        <f>[1]!BexGetData("DP_2","DL719O2RYNC0Y217V0FVT1R77","17","E","31013021E301","2067134021")</f>
        <v>197284.57</v>
      </c>
      <c r="G1914" s="48">
        <f>[1]!BexGetData("DP_2","DL719O2RYNEBZX0HTMQQ0BY0J","17","E","31013021E301","2067134021")</f>
        <v>197284.57</v>
      </c>
      <c r="H1914" s="48">
        <f>[1]!BexGetData("DP_2","DL719O2RYNGN1RZRS91K7M4TV","17","E","31013021E301","2067134021")</f>
        <v>197284.57</v>
      </c>
      <c r="I1914" s="48">
        <f>[1]!BexGetData("DP_2","DL719O2RYNIY3MZ1QVCEEWBN7","17","E","31013021E301","2067134021")</f>
        <v>0</v>
      </c>
    </row>
    <row r="1915" spans="1:9" x14ac:dyDescent="0.2">
      <c r="A1915" s="46" t="s">
        <v>32</v>
      </c>
      <c r="B1915" s="46" t="s">
        <v>32</v>
      </c>
      <c r="C1915" s="46" t="s">
        <v>32</v>
      </c>
      <c r="D1915" s="46" t="s">
        <v>32</v>
      </c>
      <c r="E1915" s="46" t="s">
        <v>32</v>
      </c>
      <c r="F1915" s="47">
        <f>[1]!BexGetData("DP_2","DL719O2RYNC0Y217V0FVT1R77","17","E","31013021E301","2067141011")</f>
        <v>16993.28</v>
      </c>
      <c r="G1915" s="48">
        <f>[1]!BexGetData("DP_2","DL719O2RYNEBZX0HTMQQ0BY0J","17","E","31013021E301","2067141011")</f>
        <v>16993.28</v>
      </c>
      <c r="H1915" s="48">
        <f>[1]!BexGetData("DP_2","DL719O2RYNGN1RZRS91K7M4TV","17","E","31013021E301","2067141011")</f>
        <v>16993.28</v>
      </c>
      <c r="I1915" s="48">
        <f>[1]!BexGetData("DP_2","DL719O2RYNIY3MZ1QVCEEWBN7","17","E","31013021E301","2067141011")</f>
        <v>0</v>
      </c>
    </row>
    <row r="1916" spans="1:9" x14ac:dyDescent="0.2">
      <c r="A1916" s="46" t="s">
        <v>32</v>
      </c>
      <c r="B1916" s="46" t="s">
        <v>32</v>
      </c>
      <c r="C1916" s="46" t="s">
        <v>32</v>
      </c>
      <c r="D1916" s="46" t="s">
        <v>32</v>
      </c>
      <c r="E1916" s="46" t="s">
        <v>32</v>
      </c>
      <c r="F1916" s="47">
        <f>[1]!BexGetData("DP_2","DL719O2RYNC0Y217V0FVT1R77","17","E","31013021E301","2067141021")</f>
        <v>4380.96</v>
      </c>
      <c r="G1916" s="48">
        <f>[1]!BexGetData("DP_2","DL719O2RYNEBZX0HTMQQ0BY0J","17","E","31013021E301","2067141021")</f>
        <v>4380.96</v>
      </c>
      <c r="H1916" s="48">
        <f>[1]!BexGetData("DP_2","DL719O2RYNGN1RZRS91K7M4TV","17","E","31013021E301","2067141021")</f>
        <v>4380.96</v>
      </c>
      <c r="I1916" s="48">
        <f>[1]!BexGetData("DP_2","DL719O2RYNIY3MZ1QVCEEWBN7","17","E","31013021E301","2067141021")</f>
        <v>0</v>
      </c>
    </row>
    <row r="1917" spans="1:9" x14ac:dyDescent="0.2">
      <c r="A1917" s="46" t="s">
        <v>32</v>
      </c>
      <c r="B1917" s="46" t="s">
        <v>32</v>
      </c>
      <c r="C1917" s="46" t="s">
        <v>32</v>
      </c>
      <c r="D1917" s="46" t="s">
        <v>32</v>
      </c>
      <c r="E1917" s="46" t="s">
        <v>32</v>
      </c>
      <c r="F1917" s="47">
        <f>[1]!BexGetData("DP_2","DL719O2RYNC0Y217V0FVT1R77","17","E","31013021E301","2067143011")</f>
        <v>2049.5700000000002</v>
      </c>
      <c r="G1917" s="48">
        <f>[1]!BexGetData("DP_2","DL719O2RYNEBZX0HTMQQ0BY0J","17","E","31013021E301","2067143011")</f>
        <v>2049.5700000000002</v>
      </c>
      <c r="H1917" s="48">
        <f>[1]!BexGetData("DP_2","DL719O2RYNGN1RZRS91K7M4TV","17","E","31013021E301","2067143011")</f>
        <v>2049.5700000000002</v>
      </c>
      <c r="I1917" s="48">
        <f>[1]!BexGetData("DP_2","DL719O2RYNIY3MZ1QVCEEWBN7","17","E","31013021E301","2067143011")</f>
        <v>0</v>
      </c>
    </row>
    <row r="1918" spans="1:9" x14ac:dyDescent="0.2">
      <c r="A1918" s="46" t="s">
        <v>32</v>
      </c>
      <c r="B1918" s="46" t="s">
        <v>32</v>
      </c>
      <c r="C1918" s="46" t="s">
        <v>32</v>
      </c>
      <c r="D1918" s="46" t="s">
        <v>32</v>
      </c>
      <c r="E1918" s="46" t="s">
        <v>32</v>
      </c>
      <c r="F1918" s="47">
        <f>[1]!BexGetData("DP_2","DL719O2RYNC0Y217V0FVT1R77","17","E","31013021E301","2067151011")</f>
        <v>12416.88</v>
      </c>
      <c r="G1918" s="48">
        <f>[1]!BexGetData("DP_2","DL719O2RYNEBZX0HTMQQ0BY0J","17","E","31013021E301","2067151011")</f>
        <v>12416.88</v>
      </c>
      <c r="H1918" s="48">
        <f>[1]!BexGetData("DP_2","DL719O2RYNGN1RZRS91K7M4TV","17","E","31013021E301","2067151011")</f>
        <v>12416.88</v>
      </c>
      <c r="I1918" s="48">
        <f>[1]!BexGetData("DP_2","DL719O2RYNIY3MZ1QVCEEWBN7","17","E","31013021E301","2067151011")</f>
        <v>0</v>
      </c>
    </row>
    <row r="1919" spans="1:9" x14ac:dyDescent="0.2">
      <c r="A1919" s="46" t="s">
        <v>32</v>
      </c>
      <c r="B1919" s="46" t="s">
        <v>32</v>
      </c>
      <c r="C1919" s="46" t="s">
        <v>32</v>
      </c>
      <c r="D1919" s="46" t="s">
        <v>32</v>
      </c>
      <c r="E1919" s="46" t="s">
        <v>32</v>
      </c>
      <c r="F1919" s="47">
        <f>[1]!BexGetData("DP_2","DL719O2RYNC0Y217V0FVT1R77","17","E","31013021E301","2067154011")</f>
        <v>23754.83</v>
      </c>
      <c r="G1919" s="48">
        <f>[1]!BexGetData("DP_2","DL719O2RYNEBZX0HTMQQ0BY0J","17","E","31013021E301","2067154011")</f>
        <v>23754.83</v>
      </c>
      <c r="H1919" s="48">
        <f>[1]!BexGetData("DP_2","DL719O2RYNGN1RZRS91K7M4TV","17","E","31013021E301","2067154011")</f>
        <v>23754.83</v>
      </c>
      <c r="I1919" s="48">
        <f>[1]!BexGetData("DP_2","DL719O2RYNIY3MZ1QVCEEWBN7","17","E","31013021E301","2067154011")</f>
        <v>0</v>
      </c>
    </row>
    <row r="1920" spans="1:9" x14ac:dyDescent="0.2">
      <c r="A1920" s="46" t="s">
        <v>32</v>
      </c>
      <c r="B1920" s="46" t="s">
        <v>32</v>
      </c>
      <c r="C1920" s="46" t="s">
        <v>32</v>
      </c>
      <c r="D1920" s="46" t="s">
        <v>32</v>
      </c>
      <c r="E1920" s="46" t="s">
        <v>32</v>
      </c>
      <c r="F1920" s="47">
        <f>[1]!BexGetData("DP_2","DL719O2RYNC0Y217V0FVT1R77","17","E","31013021E301","2067211011")</f>
        <v>2127.25</v>
      </c>
      <c r="G1920" s="48">
        <f>[1]!BexGetData("DP_2","DL719O2RYNEBZX0HTMQQ0BY0J","17","E","31013021E301","2067211011")</f>
        <v>2127.25</v>
      </c>
      <c r="H1920" s="48">
        <f>[1]!BexGetData("DP_2","DL719O2RYNGN1RZRS91K7M4TV","17","E","31013021E301","2067211011")</f>
        <v>2127.25</v>
      </c>
      <c r="I1920" s="48">
        <f>[1]!BexGetData("DP_2","DL719O2RYNIY3MZ1QVCEEWBN7","17","E","31013021E301","2067211011")</f>
        <v>0</v>
      </c>
    </row>
    <row r="1921" spans="1:9" x14ac:dyDescent="0.2">
      <c r="A1921" s="46" t="s">
        <v>32</v>
      </c>
      <c r="B1921" s="46" t="s">
        <v>32</v>
      </c>
      <c r="C1921" s="46" t="s">
        <v>32</v>
      </c>
      <c r="D1921" s="46" t="s">
        <v>32</v>
      </c>
      <c r="E1921" s="46" t="s">
        <v>32</v>
      </c>
      <c r="F1921" s="47">
        <f>[1]!BexGetData("DP_2","DL719O2RYNC0Y217V0FVT1R77","17","E","31013021E301","2067211021")</f>
        <v>733.12</v>
      </c>
      <c r="G1921" s="48">
        <f>[1]!BexGetData("DP_2","DL719O2RYNEBZX0HTMQQ0BY0J","17","E","31013021E301","2067211021")</f>
        <v>733.12</v>
      </c>
      <c r="H1921" s="48">
        <f>[1]!BexGetData("DP_2","DL719O2RYNGN1RZRS91K7M4TV","17","E","31013021E301","2067211021")</f>
        <v>733.12</v>
      </c>
      <c r="I1921" s="48">
        <f>[1]!BexGetData("DP_2","DL719O2RYNIY3MZ1QVCEEWBN7","17","E","31013021E301","2067211021")</f>
        <v>0</v>
      </c>
    </row>
    <row r="1922" spans="1:9" x14ac:dyDescent="0.2">
      <c r="A1922" s="46" t="s">
        <v>32</v>
      </c>
      <c r="B1922" s="46" t="s">
        <v>32</v>
      </c>
      <c r="C1922" s="46" t="s">
        <v>32</v>
      </c>
      <c r="D1922" s="46" t="s">
        <v>32</v>
      </c>
      <c r="E1922" s="46" t="s">
        <v>32</v>
      </c>
      <c r="F1922" s="47">
        <f>[1]!BexGetData("DP_2","DL719O2RYNC0Y217V0FVT1R77","17","E","31013021E301","2067214011")</f>
        <v>170</v>
      </c>
      <c r="G1922" s="48">
        <f>[1]!BexGetData("DP_2","DL719O2RYNEBZX0HTMQQ0BY0J","17","E","31013021E301","2067214011")</f>
        <v>170</v>
      </c>
      <c r="H1922" s="48">
        <f>[1]!BexGetData("DP_2","DL719O2RYNGN1RZRS91K7M4TV","17","E","31013021E301","2067214011")</f>
        <v>170</v>
      </c>
      <c r="I1922" s="48">
        <f>[1]!BexGetData("DP_2","DL719O2RYNIY3MZ1QVCEEWBN7","17","E","31013021E301","2067214011")</f>
        <v>0</v>
      </c>
    </row>
    <row r="1923" spans="1:9" x14ac:dyDescent="0.2">
      <c r="A1923" s="46" t="s">
        <v>32</v>
      </c>
      <c r="B1923" s="46" t="s">
        <v>32</v>
      </c>
      <c r="C1923" s="46" t="s">
        <v>32</v>
      </c>
      <c r="D1923" s="46" t="s">
        <v>32</v>
      </c>
      <c r="E1923" s="46" t="s">
        <v>32</v>
      </c>
      <c r="F1923" s="47">
        <f>[1]!BexGetData("DP_2","DL719O2RYNC0Y217V0FVT1R77","17","E","31013021E301","2067217011")</f>
        <v>451.01</v>
      </c>
      <c r="G1923" s="48">
        <f>[1]!BexGetData("DP_2","DL719O2RYNEBZX0HTMQQ0BY0J","17","E","31013021E301","2067217011")</f>
        <v>451.01</v>
      </c>
      <c r="H1923" s="48">
        <f>[1]!BexGetData("DP_2","DL719O2RYNGN1RZRS91K7M4TV","17","E","31013021E301","2067217011")</f>
        <v>451.01</v>
      </c>
      <c r="I1923" s="48">
        <f>[1]!BexGetData("DP_2","DL719O2RYNIY3MZ1QVCEEWBN7","17","E","31013021E301","2067217011")</f>
        <v>0</v>
      </c>
    </row>
    <row r="1924" spans="1:9" x14ac:dyDescent="0.2">
      <c r="A1924" s="46" t="s">
        <v>32</v>
      </c>
      <c r="B1924" s="46" t="s">
        <v>32</v>
      </c>
      <c r="C1924" s="46" t="s">
        <v>32</v>
      </c>
      <c r="D1924" s="46" t="s">
        <v>32</v>
      </c>
      <c r="E1924" s="46" t="s">
        <v>32</v>
      </c>
      <c r="F1924" s="47">
        <f>[1]!BexGetData("DP_2","DL719O2RYNC0Y217V0FVT1R77","17","E","31013021E301","2067246011")</f>
        <v>647.55999999999995</v>
      </c>
      <c r="G1924" s="48">
        <f>[1]!BexGetData("DP_2","DL719O2RYNEBZX0HTMQQ0BY0J","17","E","31013021E301","2067246011")</f>
        <v>647.55999999999995</v>
      </c>
      <c r="H1924" s="48">
        <f>[1]!BexGetData("DP_2","DL719O2RYNGN1RZRS91K7M4TV","17","E","31013021E301","2067246011")</f>
        <v>647.55999999999995</v>
      </c>
      <c r="I1924" s="48">
        <f>[1]!BexGetData("DP_2","DL719O2RYNIY3MZ1QVCEEWBN7","17","E","31013021E301","2067246011")</f>
        <v>0</v>
      </c>
    </row>
    <row r="1925" spans="1:9" x14ac:dyDescent="0.2">
      <c r="A1925" s="46" t="s">
        <v>32</v>
      </c>
      <c r="B1925" s="46" t="s">
        <v>32</v>
      </c>
      <c r="C1925" s="46" t="s">
        <v>32</v>
      </c>
      <c r="D1925" s="46" t="s">
        <v>32</v>
      </c>
      <c r="E1925" s="46" t="s">
        <v>32</v>
      </c>
      <c r="F1925" s="47">
        <f>[1]!BexGetData("DP_2","DL719O2RYNC0Y217V0FVT1R77","17","E","31013021E301","2067271011")</f>
        <v>2505.6</v>
      </c>
      <c r="G1925" s="48">
        <f>[1]!BexGetData("DP_2","DL719O2RYNEBZX0HTMQQ0BY0J","17","E","31013021E301","2067271011")</f>
        <v>2505.6</v>
      </c>
      <c r="H1925" s="48">
        <f>[1]!BexGetData("DP_2","DL719O2RYNGN1RZRS91K7M4TV","17","E","31013021E301","2067271011")</f>
        <v>2505.6</v>
      </c>
      <c r="I1925" s="48">
        <f>[1]!BexGetData("DP_2","DL719O2RYNIY3MZ1QVCEEWBN7","17","E","31013021E301","2067271011")</f>
        <v>0</v>
      </c>
    </row>
    <row r="1926" spans="1:9" x14ac:dyDescent="0.2">
      <c r="A1926" s="46" t="s">
        <v>32</v>
      </c>
      <c r="B1926" s="46" t="s">
        <v>32</v>
      </c>
      <c r="C1926" s="46" t="s">
        <v>32</v>
      </c>
      <c r="D1926" s="46" t="s">
        <v>32</v>
      </c>
      <c r="E1926" s="46" t="s">
        <v>32</v>
      </c>
      <c r="F1926" s="47">
        <f>[1]!BexGetData("DP_2","DL719O2RYNC0Y217V0FVT1R77","17","E","31013021E301","2067272011")</f>
        <v>7516.8</v>
      </c>
      <c r="G1926" s="48">
        <f>[1]!BexGetData("DP_2","DL719O2RYNEBZX0HTMQQ0BY0J","17","E","31013021E301","2067272011")</f>
        <v>7516.8</v>
      </c>
      <c r="H1926" s="48">
        <f>[1]!BexGetData("DP_2","DL719O2RYNGN1RZRS91K7M4TV","17","E","31013021E301","2067272011")</f>
        <v>7516.8</v>
      </c>
      <c r="I1926" s="48">
        <f>[1]!BexGetData("DP_2","DL719O2RYNIY3MZ1QVCEEWBN7","17","E","31013021E301","2067272011")</f>
        <v>0</v>
      </c>
    </row>
    <row r="1927" spans="1:9" x14ac:dyDescent="0.2">
      <c r="A1927" s="46" t="s">
        <v>32</v>
      </c>
      <c r="B1927" s="46" t="s">
        <v>32</v>
      </c>
      <c r="C1927" s="46" t="s">
        <v>32</v>
      </c>
      <c r="D1927" s="46" t="s">
        <v>32</v>
      </c>
      <c r="E1927" s="46" t="s">
        <v>32</v>
      </c>
      <c r="F1927" s="47">
        <f>[1]!BexGetData("DP_2","DL719O2RYNC0Y217V0FVT1R77","17","E","31013021E301","2067274011")</f>
        <v>199.75</v>
      </c>
      <c r="G1927" s="48">
        <f>[1]!BexGetData("DP_2","DL719O2RYNEBZX0HTMQQ0BY0J","17","E","31013021E301","2067274011")</f>
        <v>199.75</v>
      </c>
      <c r="H1927" s="48">
        <f>[1]!BexGetData("DP_2","DL719O2RYNGN1RZRS91K7M4TV","17","E","31013021E301","2067274011")</f>
        <v>199.75</v>
      </c>
      <c r="I1927" s="48">
        <f>[1]!BexGetData("DP_2","DL719O2RYNIY3MZ1QVCEEWBN7","17","E","31013021E301","2067274011")</f>
        <v>0</v>
      </c>
    </row>
    <row r="1928" spans="1:9" x14ac:dyDescent="0.2">
      <c r="A1928" s="46" t="s">
        <v>32</v>
      </c>
      <c r="B1928" s="46" t="s">
        <v>32</v>
      </c>
      <c r="C1928" s="46" t="s">
        <v>32</v>
      </c>
      <c r="D1928" s="46" t="s">
        <v>32</v>
      </c>
      <c r="E1928" s="46" t="s">
        <v>32</v>
      </c>
      <c r="F1928" s="47">
        <f>[1]!BexGetData("DP_2","DL719O2RYNC0Y217V0FVT1R77","17","E","31013021E301","2067311011")</f>
        <v>40455.089999999997</v>
      </c>
      <c r="G1928" s="48">
        <f>[1]!BexGetData("DP_2","DL719O2RYNEBZX0HTMQQ0BY0J","17","E","31013021E301","2067311011")</f>
        <v>40455.089999999997</v>
      </c>
      <c r="H1928" s="48">
        <f>[1]!BexGetData("DP_2","DL719O2RYNGN1RZRS91K7M4TV","17","E","31013021E301","2067311011")</f>
        <v>36389.089999999997</v>
      </c>
      <c r="I1928" s="48">
        <f>[1]!BexGetData("DP_2","DL719O2RYNIY3MZ1QVCEEWBN7","17","E","31013021E301","2067311011")</f>
        <v>0</v>
      </c>
    </row>
    <row r="1929" spans="1:9" x14ac:dyDescent="0.2">
      <c r="A1929" s="46" t="s">
        <v>32</v>
      </c>
      <c r="B1929" s="46" t="s">
        <v>32</v>
      </c>
      <c r="C1929" s="46" t="s">
        <v>32</v>
      </c>
      <c r="D1929" s="46" t="s">
        <v>32</v>
      </c>
      <c r="E1929" s="46" t="s">
        <v>32</v>
      </c>
      <c r="F1929" s="47">
        <f>[1]!BexGetData("DP_2","DL719O2RYNC0Y217V0FVT1R77","17","E","31013021E301","2067313011")</f>
        <v>12121</v>
      </c>
      <c r="G1929" s="48">
        <f>[1]!BexGetData("DP_2","DL719O2RYNEBZX0HTMQQ0BY0J","17","E","31013021E301","2067313011")</f>
        <v>12121</v>
      </c>
      <c r="H1929" s="48">
        <f>[1]!BexGetData("DP_2","DL719O2RYNGN1RZRS91K7M4TV","17","E","31013021E301","2067313011")</f>
        <v>12121</v>
      </c>
      <c r="I1929" s="48">
        <f>[1]!BexGetData("DP_2","DL719O2RYNIY3MZ1QVCEEWBN7","17","E","31013021E301","2067313011")</f>
        <v>0</v>
      </c>
    </row>
    <row r="1930" spans="1:9" x14ac:dyDescent="0.2">
      <c r="A1930" s="46" t="s">
        <v>32</v>
      </c>
      <c r="B1930" s="46" t="s">
        <v>32</v>
      </c>
      <c r="C1930" s="46" t="s">
        <v>32</v>
      </c>
      <c r="D1930" s="46" t="s">
        <v>32</v>
      </c>
      <c r="E1930" s="46" t="s">
        <v>32</v>
      </c>
      <c r="F1930" s="47">
        <f>[1]!BexGetData("DP_2","DL719O2RYNC0Y217V0FVT1R77","17","E","31013021E301","2067314011")</f>
        <v>9990.1299999999992</v>
      </c>
      <c r="G1930" s="48">
        <f>[1]!BexGetData("DP_2","DL719O2RYNEBZX0HTMQQ0BY0J","17","E","31013021E301","2067314011")</f>
        <v>9990.1299999999992</v>
      </c>
      <c r="H1930" s="48">
        <f>[1]!BexGetData("DP_2","DL719O2RYNGN1RZRS91K7M4TV","17","E","31013021E301","2067314011")</f>
        <v>9990.1299999999992</v>
      </c>
      <c r="I1930" s="48">
        <f>[1]!BexGetData("DP_2","DL719O2RYNIY3MZ1QVCEEWBN7","17","E","31013021E301","2067314011")</f>
        <v>0</v>
      </c>
    </row>
    <row r="1931" spans="1:9" x14ac:dyDescent="0.2">
      <c r="A1931" s="46" t="s">
        <v>32</v>
      </c>
      <c r="B1931" s="46" t="s">
        <v>32</v>
      </c>
      <c r="C1931" s="46" t="s">
        <v>32</v>
      </c>
      <c r="D1931" s="46" t="s">
        <v>32</v>
      </c>
      <c r="E1931" s="46" t="s">
        <v>32</v>
      </c>
      <c r="F1931" s="47">
        <f>[1]!BexGetData("DP_2","DL719O2RYNC0Y217V0FVT1R77","17","E","31013021E301","2067329011")</f>
        <v>127176.6</v>
      </c>
      <c r="G1931" s="48">
        <f>[1]!BexGetData("DP_2","DL719O2RYNEBZX0HTMQQ0BY0J","17","E","31013021E301","2067329011")</f>
        <v>127176.6</v>
      </c>
      <c r="H1931" s="48">
        <f>[1]!BexGetData("DP_2","DL719O2RYNGN1RZRS91K7M4TV","17","E","31013021E301","2067329011")</f>
        <v>47832.6</v>
      </c>
      <c r="I1931" s="48">
        <f>[1]!BexGetData("DP_2","DL719O2RYNIY3MZ1QVCEEWBN7","17","E","31013021E301","2067329011")</f>
        <v>0</v>
      </c>
    </row>
    <row r="1932" spans="1:9" x14ac:dyDescent="0.2">
      <c r="A1932" s="46" t="s">
        <v>32</v>
      </c>
      <c r="B1932" s="46" t="s">
        <v>32</v>
      </c>
      <c r="C1932" s="46" t="s">
        <v>32</v>
      </c>
      <c r="D1932" s="46" t="s">
        <v>32</v>
      </c>
      <c r="E1932" s="46" t="s">
        <v>32</v>
      </c>
      <c r="F1932" s="47">
        <f>[1]!BexGetData("DP_2","DL719O2RYNC0Y217V0FVT1R77","17","E","31013021E301","2067336011")</f>
        <v>4872</v>
      </c>
      <c r="G1932" s="48">
        <f>[1]!BexGetData("DP_2","DL719O2RYNEBZX0HTMQQ0BY0J","17","E","31013021E301","2067336011")</f>
        <v>4872</v>
      </c>
      <c r="H1932" s="48">
        <f>[1]!BexGetData("DP_2","DL719O2RYNGN1RZRS91K7M4TV","17","E","31013021E301","2067336011")</f>
        <v>4872</v>
      </c>
      <c r="I1932" s="48">
        <f>[1]!BexGetData("DP_2","DL719O2RYNIY3MZ1QVCEEWBN7","17","E","31013021E301","2067336011")</f>
        <v>0</v>
      </c>
    </row>
    <row r="1933" spans="1:9" x14ac:dyDescent="0.2">
      <c r="A1933" s="46" t="s">
        <v>32</v>
      </c>
      <c r="B1933" s="46" t="s">
        <v>32</v>
      </c>
      <c r="C1933" s="46" t="s">
        <v>32</v>
      </c>
      <c r="D1933" s="46" t="s">
        <v>32</v>
      </c>
      <c r="E1933" s="46" t="s">
        <v>32</v>
      </c>
      <c r="F1933" s="47">
        <f>[1]!BexGetData("DP_2","DL719O2RYNC0Y217V0FVT1R77","17","E","31013021E301","2067339011")</f>
        <v>1624</v>
      </c>
      <c r="G1933" s="48">
        <f>[1]!BexGetData("DP_2","DL719O2RYNEBZX0HTMQQ0BY0J","17","E","31013021E301","2067339011")</f>
        <v>1624</v>
      </c>
      <c r="H1933" s="48">
        <f>[1]!BexGetData("DP_2","DL719O2RYNGN1RZRS91K7M4TV","17","E","31013021E301","2067339011")</f>
        <v>1624</v>
      </c>
      <c r="I1933" s="48">
        <f>[1]!BexGetData("DP_2","DL719O2RYNIY3MZ1QVCEEWBN7","17","E","31013021E301","2067339011")</f>
        <v>0</v>
      </c>
    </row>
    <row r="1934" spans="1:9" x14ac:dyDescent="0.2">
      <c r="A1934" s="46" t="s">
        <v>32</v>
      </c>
      <c r="B1934" s="46" t="s">
        <v>32</v>
      </c>
      <c r="C1934" s="46" t="s">
        <v>32</v>
      </c>
      <c r="D1934" s="46" t="s">
        <v>32</v>
      </c>
      <c r="E1934" s="46" t="s">
        <v>32</v>
      </c>
      <c r="F1934" s="47">
        <f>[1]!BexGetData("DP_2","DL719O2RYNC0Y217V0FVT1R77","17","E","31013021E301","2067351011")</f>
        <v>0</v>
      </c>
      <c r="G1934" s="48">
        <f>[1]!BexGetData("DP_2","DL719O2RYNEBZX0HTMQQ0BY0J","17","E","31013021E301","2067351011")</f>
        <v>0</v>
      </c>
      <c r="H1934" s="48">
        <f>[1]!BexGetData("DP_2","DL719O2RYNGN1RZRS91K7M4TV","17","E","31013021E301","2067351011")</f>
        <v>0</v>
      </c>
      <c r="I1934" s="48">
        <f>[1]!BexGetData("DP_2","DL719O2RYNIY3MZ1QVCEEWBN7","17","E","31013021E301","2067351011")</f>
        <v>0</v>
      </c>
    </row>
    <row r="1935" spans="1:9" x14ac:dyDescent="0.2">
      <c r="A1935" s="46" t="s">
        <v>32</v>
      </c>
      <c r="B1935" s="46" t="s">
        <v>32</v>
      </c>
      <c r="C1935" s="46" t="s">
        <v>32</v>
      </c>
      <c r="D1935" s="46" t="s">
        <v>32</v>
      </c>
      <c r="E1935" s="46" t="s">
        <v>32</v>
      </c>
      <c r="F1935" s="47">
        <f>[1]!BexGetData("DP_2","DL719O2RYNC0Y217V0FVT1R77","17","E","31013021E301","2067364011")</f>
        <v>0</v>
      </c>
      <c r="G1935" s="48">
        <f>[1]!BexGetData("DP_2","DL719O2RYNEBZX0HTMQQ0BY0J","17","E","31013021E301","2067364011")</f>
        <v>0</v>
      </c>
      <c r="H1935" s="48">
        <f>[1]!BexGetData("DP_2","DL719O2RYNGN1RZRS91K7M4TV","17","E","31013021E301","2067364011")</f>
        <v>0</v>
      </c>
      <c r="I1935" s="48">
        <f>[1]!BexGetData("DP_2","DL719O2RYNIY3MZ1QVCEEWBN7","17","E","31013021E301","2067364011")</f>
        <v>0</v>
      </c>
    </row>
    <row r="1936" spans="1:9" x14ac:dyDescent="0.2">
      <c r="A1936" s="46" t="s">
        <v>32</v>
      </c>
      <c r="B1936" s="46" t="s">
        <v>32</v>
      </c>
      <c r="C1936" s="46" t="s">
        <v>32</v>
      </c>
      <c r="D1936" s="46" t="s">
        <v>32</v>
      </c>
      <c r="E1936" s="46" t="s">
        <v>32</v>
      </c>
      <c r="F1936" s="47">
        <f>[1]!BexGetData("DP_2","DL719O2RYNC0Y217V0FVT1R77","17","E","31013021E301","2067375011")</f>
        <v>6000</v>
      </c>
      <c r="G1936" s="48">
        <f>[1]!BexGetData("DP_2","DL719O2RYNEBZX0HTMQQ0BY0J","17","E","31013021E301","2067375011")</f>
        <v>6000</v>
      </c>
      <c r="H1936" s="48">
        <f>[1]!BexGetData("DP_2","DL719O2RYNGN1RZRS91K7M4TV","17","E","31013021E301","2067375011")</f>
        <v>6000</v>
      </c>
      <c r="I1936" s="48">
        <f>[1]!BexGetData("DP_2","DL719O2RYNIY3MZ1QVCEEWBN7","17","E","31013021E301","2067375011")</f>
        <v>0</v>
      </c>
    </row>
    <row r="1937" spans="1:9" x14ac:dyDescent="0.2">
      <c r="A1937" s="46" t="s">
        <v>32</v>
      </c>
      <c r="B1937" s="46" t="s">
        <v>32</v>
      </c>
      <c r="C1937" s="46" t="s">
        <v>32</v>
      </c>
      <c r="D1937" s="46" t="s">
        <v>32</v>
      </c>
      <c r="E1937" s="46" t="s">
        <v>32</v>
      </c>
      <c r="F1937" s="47">
        <f>[1]!BexGetData("DP_2","DL719O2RYNC0Y217V0FVT1R77","17","E","31013021E301","2067382021")</f>
        <v>3533</v>
      </c>
      <c r="G1937" s="48">
        <f>[1]!BexGetData("DP_2","DL719O2RYNEBZX0HTMQQ0BY0J","17","E","31013021E301","2067382021")</f>
        <v>3533</v>
      </c>
      <c r="H1937" s="48">
        <f>[1]!BexGetData("DP_2","DL719O2RYNGN1RZRS91K7M4TV","17","E","31013021E301","2067382021")</f>
        <v>3533</v>
      </c>
      <c r="I1937" s="48">
        <f>[1]!BexGetData("DP_2","DL719O2RYNIY3MZ1QVCEEWBN7","17","E","31013021E301","2067382021")</f>
        <v>0</v>
      </c>
    </row>
    <row r="1938" spans="1:9" x14ac:dyDescent="0.2">
      <c r="A1938" s="46" t="s">
        <v>32</v>
      </c>
      <c r="B1938" s="46" t="s">
        <v>32</v>
      </c>
      <c r="C1938" s="46" t="s">
        <v>132</v>
      </c>
      <c r="D1938" s="46" t="s">
        <v>132</v>
      </c>
      <c r="E1938" s="46" t="s">
        <v>32</v>
      </c>
      <c r="F1938" s="47">
        <f>[1]!BexGetData("DP_2","DL719O2RYNC0Y217V0FVT1R77","17","E","31013031E302","2067113011")</f>
        <v>0</v>
      </c>
      <c r="G1938" s="48">
        <f>[1]!BexGetData("DP_2","DL719O2RYNEBZX0HTMQQ0BY0J","17","E","31013031E302","2067113011")</f>
        <v>0</v>
      </c>
      <c r="H1938" s="48">
        <f>[1]!BexGetData("DP_2","DL719O2RYNGN1RZRS91K7M4TV","17","E","31013031E302","2067113011")</f>
        <v>0</v>
      </c>
      <c r="I1938" s="48">
        <f>[1]!BexGetData("DP_2","DL719O2RYNIY3MZ1QVCEEWBN7","17","E","31013031E302","2067113011")</f>
        <v>0</v>
      </c>
    </row>
    <row r="1939" spans="1:9" x14ac:dyDescent="0.2">
      <c r="A1939" s="46" t="s">
        <v>32</v>
      </c>
      <c r="B1939" s="46" t="s">
        <v>32</v>
      </c>
      <c r="C1939" s="46" t="s">
        <v>32</v>
      </c>
      <c r="D1939" s="46" t="s">
        <v>32</v>
      </c>
      <c r="E1939" s="46" t="s">
        <v>32</v>
      </c>
      <c r="F1939" s="47">
        <f>[1]!BexGetData("DP_2","DL719O2RYNC0Y217V0FVT1R77","17","E","31013031E302","2067113021")</f>
        <v>88676.12</v>
      </c>
      <c r="G1939" s="48">
        <f>[1]!BexGetData("DP_2","DL719O2RYNEBZX0HTMQQ0BY0J","17","E","31013031E302","2067113021")</f>
        <v>88676.12</v>
      </c>
      <c r="H1939" s="48">
        <f>[1]!BexGetData("DP_2","DL719O2RYNGN1RZRS91K7M4TV","17","E","31013031E302","2067113021")</f>
        <v>88676.12</v>
      </c>
      <c r="I1939" s="48">
        <f>[1]!BexGetData("DP_2","DL719O2RYNIY3MZ1QVCEEWBN7","17","E","31013031E302","2067113021")</f>
        <v>0</v>
      </c>
    </row>
    <row r="1940" spans="1:9" x14ac:dyDescent="0.2">
      <c r="A1940" s="46" t="s">
        <v>32</v>
      </c>
      <c r="B1940" s="46" t="s">
        <v>32</v>
      </c>
      <c r="C1940" s="46" t="s">
        <v>32</v>
      </c>
      <c r="D1940" s="46" t="s">
        <v>32</v>
      </c>
      <c r="E1940" s="46" t="s">
        <v>32</v>
      </c>
      <c r="F1940" s="47">
        <f>[1]!BexGetData("DP_2","DL719O2RYNC0Y217V0FVT1R77","17","E","31013031E302","2067122011")</f>
        <v>0</v>
      </c>
      <c r="G1940" s="48">
        <f>[1]!BexGetData("DP_2","DL719O2RYNEBZX0HTMQQ0BY0J","17","E","31013031E302","2067122011")</f>
        <v>0</v>
      </c>
      <c r="H1940" s="48">
        <f>[1]!BexGetData("DP_2","DL719O2RYNGN1RZRS91K7M4TV","17","E","31013031E302","2067122011")</f>
        <v>0</v>
      </c>
      <c r="I1940" s="48">
        <f>[1]!BexGetData("DP_2","DL719O2RYNIY3MZ1QVCEEWBN7","17","E","31013031E302","2067122011")</f>
        <v>0</v>
      </c>
    </row>
    <row r="1941" spans="1:9" x14ac:dyDescent="0.2">
      <c r="A1941" s="46" t="s">
        <v>32</v>
      </c>
      <c r="B1941" s="46" t="s">
        <v>32</v>
      </c>
      <c r="C1941" s="46" t="s">
        <v>32</v>
      </c>
      <c r="D1941" s="46" t="s">
        <v>32</v>
      </c>
      <c r="E1941" s="46" t="s">
        <v>32</v>
      </c>
      <c r="F1941" s="47">
        <f>[1]!BexGetData("DP_2","DL719O2RYNC0Y217V0FVT1R77","17","E","31013031E302","2067131011")</f>
        <v>0</v>
      </c>
      <c r="G1941" s="48">
        <f>[1]!BexGetData("DP_2","DL719O2RYNEBZX0HTMQQ0BY0J","17","E","31013031E302","2067131011")</f>
        <v>0</v>
      </c>
      <c r="H1941" s="48">
        <f>[1]!BexGetData("DP_2","DL719O2RYNGN1RZRS91K7M4TV","17","E","31013031E302","2067131011")</f>
        <v>0</v>
      </c>
      <c r="I1941" s="48">
        <f>[1]!BexGetData("DP_2","DL719O2RYNIY3MZ1QVCEEWBN7","17","E","31013031E302","2067131011")</f>
        <v>0</v>
      </c>
    </row>
    <row r="1942" spans="1:9" x14ac:dyDescent="0.2">
      <c r="A1942" s="46" t="s">
        <v>32</v>
      </c>
      <c r="B1942" s="46" t="s">
        <v>32</v>
      </c>
      <c r="C1942" s="46" t="s">
        <v>32</v>
      </c>
      <c r="D1942" s="46" t="s">
        <v>32</v>
      </c>
      <c r="E1942" s="46" t="s">
        <v>32</v>
      </c>
      <c r="F1942" s="47">
        <f>[1]!BexGetData("DP_2","DL719O2RYNC0Y217V0FVT1R77","17","E","31013031E302","2067131021")</f>
        <v>0</v>
      </c>
      <c r="G1942" s="48">
        <f>[1]!BexGetData("DP_2","DL719O2RYNEBZX0HTMQQ0BY0J","17","E","31013031E302","2067131021")</f>
        <v>0</v>
      </c>
      <c r="H1942" s="48">
        <f>[1]!BexGetData("DP_2","DL719O2RYNGN1RZRS91K7M4TV","17","E","31013031E302","2067131021")</f>
        <v>0</v>
      </c>
      <c r="I1942" s="48">
        <f>[1]!BexGetData("DP_2","DL719O2RYNIY3MZ1QVCEEWBN7","17","E","31013031E302","2067131021")</f>
        <v>0</v>
      </c>
    </row>
    <row r="1943" spans="1:9" x14ac:dyDescent="0.2">
      <c r="A1943" s="46" t="s">
        <v>32</v>
      </c>
      <c r="B1943" s="46" t="s">
        <v>32</v>
      </c>
      <c r="C1943" s="46" t="s">
        <v>32</v>
      </c>
      <c r="D1943" s="46" t="s">
        <v>32</v>
      </c>
      <c r="E1943" s="46" t="s">
        <v>32</v>
      </c>
      <c r="F1943" s="47">
        <f>[1]!BexGetData("DP_2","DL719O2RYNC0Y217V0FVT1R77","17","E","31013031E302","2067132011")</f>
        <v>4805.6400000000003</v>
      </c>
      <c r="G1943" s="48">
        <f>[1]!BexGetData("DP_2","DL719O2RYNEBZX0HTMQQ0BY0J","17","E","31013031E302","2067132011")</f>
        <v>4805.6400000000003</v>
      </c>
      <c r="H1943" s="48">
        <f>[1]!BexGetData("DP_2","DL719O2RYNGN1RZRS91K7M4TV","17","E","31013031E302","2067132011")</f>
        <v>4805.6400000000003</v>
      </c>
      <c r="I1943" s="48">
        <f>[1]!BexGetData("DP_2","DL719O2RYNIY3MZ1QVCEEWBN7","17","E","31013031E302","2067132011")</f>
        <v>0</v>
      </c>
    </row>
    <row r="1944" spans="1:9" x14ac:dyDescent="0.2">
      <c r="A1944" s="46" t="s">
        <v>32</v>
      </c>
      <c r="B1944" s="46" t="s">
        <v>32</v>
      </c>
      <c r="C1944" s="46" t="s">
        <v>32</v>
      </c>
      <c r="D1944" s="46" t="s">
        <v>32</v>
      </c>
      <c r="E1944" s="46" t="s">
        <v>32</v>
      </c>
      <c r="F1944" s="47">
        <f>[1]!BexGetData("DP_2","DL719O2RYNC0Y217V0FVT1R77","17","E","31013031E302","2067132021")</f>
        <v>42907.8</v>
      </c>
      <c r="G1944" s="48">
        <f>[1]!BexGetData("DP_2","DL719O2RYNEBZX0HTMQQ0BY0J","17","E","31013031E302","2067132021")</f>
        <v>42907.8</v>
      </c>
      <c r="H1944" s="48">
        <f>[1]!BexGetData("DP_2","DL719O2RYNGN1RZRS91K7M4TV","17","E","31013031E302","2067132021")</f>
        <v>42907.8</v>
      </c>
      <c r="I1944" s="48">
        <f>[1]!BexGetData("DP_2","DL719O2RYNIY3MZ1QVCEEWBN7","17","E","31013031E302","2067132021")</f>
        <v>0</v>
      </c>
    </row>
    <row r="1945" spans="1:9" x14ac:dyDescent="0.2">
      <c r="A1945" s="46" t="s">
        <v>32</v>
      </c>
      <c r="B1945" s="46" t="s">
        <v>32</v>
      </c>
      <c r="C1945" s="46" t="s">
        <v>32</v>
      </c>
      <c r="D1945" s="46" t="s">
        <v>32</v>
      </c>
      <c r="E1945" s="46" t="s">
        <v>32</v>
      </c>
      <c r="F1945" s="47">
        <f>[1]!BexGetData("DP_2","DL719O2RYNC0Y217V0FVT1R77","17","E","31013031E302","2067134011")</f>
        <v>8364.84</v>
      </c>
      <c r="G1945" s="48">
        <f>[1]!BexGetData("DP_2","DL719O2RYNEBZX0HTMQQ0BY0J","17","E","31013031E302","2067134011")</f>
        <v>8364.84</v>
      </c>
      <c r="H1945" s="48">
        <f>[1]!BexGetData("DP_2","DL719O2RYNGN1RZRS91K7M4TV","17","E","31013031E302","2067134011")</f>
        <v>8314.69</v>
      </c>
      <c r="I1945" s="48">
        <f>[1]!BexGetData("DP_2","DL719O2RYNIY3MZ1QVCEEWBN7","17","E","31013031E302","2067134011")</f>
        <v>-1.0000000000000001E-9</v>
      </c>
    </row>
    <row r="1946" spans="1:9" x14ac:dyDescent="0.2">
      <c r="A1946" s="46" t="s">
        <v>32</v>
      </c>
      <c r="B1946" s="46" t="s">
        <v>32</v>
      </c>
      <c r="C1946" s="46" t="s">
        <v>32</v>
      </c>
      <c r="D1946" s="46" t="s">
        <v>32</v>
      </c>
      <c r="E1946" s="46" t="s">
        <v>32</v>
      </c>
      <c r="F1946" s="47">
        <f>[1]!BexGetData("DP_2","DL719O2RYNC0Y217V0FVT1R77","17","E","31013031E302","2067134021")</f>
        <v>137005.43</v>
      </c>
      <c r="G1946" s="48">
        <f>[1]!BexGetData("DP_2","DL719O2RYNEBZX0HTMQQ0BY0J","17","E","31013031E302","2067134021")</f>
        <v>137005.43</v>
      </c>
      <c r="H1946" s="48">
        <f>[1]!BexGetData("DP_2","DL719O2RYNGN1RZRS91K7M4TV","17","E","31013031E302","2067134021")</f>
        <v>137005.43</v>
      </c>
      <c r="I1946" s="48">
        <f>[1]!BexGetData("DP_2","DL719O2RYNIY3MZ1QVCEEWBN7","17","E","31013031E302","2067134021")</f>
        <v>0</v>
      </c>
    </row>
    <row r="1947" spans="1:9" x14ac:dyDescent="0.2">
      <c r="A1947" s="46" t="s">
        <v>32</v>
      </c>
      <c r="B1947" s="46" t="s">
        <v>32</v>
      </c>
      <c r="C1947" s="46" t="s">
        <v>32</v>
      </c>
      <c r="D1947" s="46" t="s">
        <v>32</v>
      </c>
      <c r="E1947" s="46" t="s">
        <v>32</v>
      </c>
      <c r="F1947" s="47">
        <f>[1]!BexGetData("DP_2","DL719O2RYNC0Y217V0FVT1R77","17","E","31013031E302","2067141011")</f>
        <v>15434.2</v>
      </c>
      <c r="G1947" s="48">
        <f>[1]!BexGetData("DP_2","DL719O2RYNEBZX0HTMQQ0BY0J","17","E","31013031E302","2067141011")</f>
        <v>15434.2</v>
      </c>
      <c r="H1947" s="48">
        <f>[1]!BexGetData("DP_2","DL719O2RYNGN1RZRS91K7M4TV","17","E","31013031E302","2067141011")</f>
        <v>15434.2</v>
      </c>
      <c r="I1947" s="48">
        <f>[1]!BexGetData("DP_2","DL719O2RYNIY3MZ1QVCEEWBN7","17","E","31013031E302","2067141011")</f>
        <v>0</v>
      </c>
    </row>
    <row r="1948" spans="1:9" x14ac:dyDescent="0.2">
      <c r="A1948" s="46" t="s">
        <v>32</v>
      </c>
      <c r="B1948" s="46" t="s">
        <v>32</v>
      </c>
      <c r="C1948" s="46" t="s">
        <v>32</v>
      </c>
      <c r="D1948" s="46" t="s">
        <v>32</v>
      </c>
      <c r="E1948" s="46" t="s">
        <v>32</v>
      </c>
      <c r="F1948" s="47">
        <f>[1]!BexGetData("DP_2","DL719O2RYNC0Y217V0FVT1R77","17","E","31013031E302","2067141021")</f>
        <v>4231.09</v>
      </c>
      <c r="G1948" s="48">
        <f>[1]!BexGetData("DP_2","DL719O2RYNEBZX0HTMQQ0BY0J","17","E","31013031E302","2067141021")</f>
        <v>4231.09</v>
      </c>
      <c r="H1948" s="48">
        <f>[1]!BexGetData("DP_2","DL719O2RYNGN1RZRS91K7M4TV","17","E","31013031E302","2067141021")</f>
        <v>4231.09</v>
      </c>
      <c r="I1948" s="48">
        <f>[1]!BexGetData("DP_2","DL719O2RYNIY3MZ1QVCEEWBN7","17","E","31013031E302","2067141021")</f>
        <v>0</v>
      </c>
    </row>
    <row r="1949" spans="1:9" x14ac:dyDescent="0.2">
      <c r="A1949" s="46" t="s">
        <v>32</v>
      </c>
      <c r="B1949" s="46" t="s">
        <v>32</v>
      </c>
      <c r="C1949" s="46" t="s">
        <v>32</v>
      </c>
      <c r="D1949" s="46" t="s">
        <v>32</v>
      </c>
      <c r="E1949" s="46" t="s">
        <v>32</v>
      </c>
      <c r="F1949" s="47">
        <f>[1]!BexGetData("DP_2","DL719O2RYNC0Y217V0FVT1R77","17","E","31013031E302","2067143011")</f>
        <v>1979.45</v>
      </c>
      <c r="G1949" s="48">
        <f>[1]!BexGetData("DP_2","DL719O2RYNEBZX0HTMQQ0BY0J","17","E","31013031E302","2067143011")</f>
        <v>1979.45</v>
      </c>
      <c r="H1949" s="48">
        <f>[1]!BexGetData("DP_2","DL719O2RYNGN1RZRS91K7M4TV","17","E","31013031E302","2067143011")</f>
        <v>1979.45</v>
      </c>
      <c r="I1949" s="48">
        <f>[1]!BexGetData("DP_2","DL719O2RYNIY3MZ1QVCEEWBN7","17","E","31013031E302","2067143011")</f>
        <v>0</v>
      </c>
    </row>
    <row r="1950" spans="1:9" x14ac:dyDescent="0.2">
      <c r="A1950" s="46" t="s">
        <v>32</v>
      </c>
      <c r="B1950" s="46" t="s">
        <v>32</v>
      </c>
      <c r="C1950" s="46" t="s">
        <v>32</v>
      </c>
      <c r="D1950" s="46" t="s">
        <v>32</v>
      </c>
      <c r="E1950" s="46" t="s">
        <v>32</v>
      </c>
      <c r="F1950" s="47">
        <f>[1]!BexGetData("DP_2","DL719O2RYNC0Y217V0FVT1R77","17","E","31013031E302","2067151011")</f>
        <v>10642.92</v>
      </c>
      <c r="G1950" s="48">
        <f>[1]!BexGetData("DP_2","DL719O2RYNEBZX0HTMQQ0BY0J","17","E","31013031E302","2067151011")</f>
        <v>10642.92</v>
      </c>
      <c r="H1950" s="48">
        <f>[1]!BexGetData("DP_2","DL719O2RYNGN1RZRS91K7M4TV","17","E","31013031E302","2067151011")</f>
        <v>10642.92</v>
      </c>
      <c r="I1950" s="48">
        <f>[1]!BexGetData("DP_2","DL719O2RYNIY3MZ1QVCEEWBN7","17","E","31013031E302","2067151011")</f>
        <v>0</v>
      </c>
    </row>
    <row r="1951" spans="1:9" x14ac:dyDescent="0.2">
      <c r="A1951" s="46" t="s">
        <v>32</v>
      </c>
      <c r="B1951" s="46" t="s">
        <v>32</v>
      </c>
      <c r="C1951" s="46" t="s">
        <v>32</v>
      </c>
      <c r="D1951" s="46" t="s">
        <v>32</v>
      </c>
      <c r="E1951" s="46" t="s">
        <v>32</v>
      </c>
      <c r="F1951" s="47">
        <f>[1]!BexGetData("DP_2","DL719O2RYNC0Y217V0FVT1R77","17","E","31013031E302","2067154011")</f>
        <v>21523.63</v>
      </c>
      <c r="G1951" s="48">
        <f>[1]!BexGetData("DP_2","DL719O2RYNEBZX0HTMQQ0BY0J","17","E","31013031E302","2067154011")</f>
        <v>21523.63</v>
      </c>
      <c r="H1951" s="48">
        <f>[1]!BexGetData("DP_2","DL719O2RYNGN1RZRS91K7M4TV","17","E","31013031E302","2067154011")</f>
        <v>21523.63</v>
      </c>
      <c r="I1951" s="48">
        <f>[1]!BexGetData("DP_2","DL719O2RYNIY3MZ1QVCEEWBN7","17","E","31013031E302","2067154011")</f>
        <v>0</v>
      </c>
    </row>
    <row r="1952" spans="1:9" x14ac:dyDescent="0.2">
      <c r="A1952" s="46" t="s">
        <v>32</v>
      </c>
      <c r="B1952" s="46" t="s">
        <v>32</v>
      </c>
      <c r="C1952" s="46" t="s">
        <v>32</v>
      </c>
      <c r="D1952" s="46" t="s">
        <v>32</v>
      </c>
      <c r="E1952" s="46" t="s">
        <v>32</v>
      </c>
      <c r="F1952" s="47">
        <f>[1]!BexGetData("DP_2","DL719O2RYNC0Y217V0FVT1R77","17","E","31013031E302","2067211011")</f>
        <v>7247.75</v>
      </c>
      <c r="G1952" s="48">
        <f>[1]!BexGetData("DP_2","DL719O2RYNEBZX0HTMQQ0BY0J","17","E","31013031E302","2067211011")</f>
        <v>7247.75</v>
      </c>
      <c r="H1952" s="48">
        <f>[1]!BexGetData("DP_2","DL719O2RYNGN1RZRS91K7M4TV","17","E","31013031E302","2067211011")</f>
        <v>7247.75</v>
      </c>
      <c r="I1952" s="48">
        <f>[1]!BexGetData("DP_2","DL719O2RYNIY3MZ1QVCEEWBN7","17","E","31013031E302","2067211011")</f>
        <v>0</v>
      </c>
    </row>
    <row r="1953" spans="1:9" x14ac:dyDescent="0.2">
      <c r="A1953" s="46" t="s">
        <v>32</v>
      </c>
      <c r="B1953" s="46" t="s">
        <v>32</v>
      </c>
      <c r="C1953" s="46" t="s">
        <v>32</v>
      </c>
      <c r="D1953" s="46" t="s">
        <v>32</v>
      </c>
      <c r="E1953" s="46" t="s">
        <v>32</v>
      </c>
      <c r="F1953" s="47">
        <f>[1]!BexGetData("DP_2","DL719O2RYNC0Y217V0FVT1R77","17","E","31013031E302","2067211021")</f>
        <v>0</v>
      </c>
      <c r="G1953" s="48">
        <f>[1]!BexGetData("DP_2","DL719O2RYNEBZX0HTMQQ0BY0J","17","E","31013031E302","2067211021")</f>
        <v>0</v>
      </c>
      <c r="H1953" s="48">
        <f>[1]!BexGetData("DP_2","DL719O2RYNGN1RZRS91K7M4TV","17","E","31013031E302","2067211021")</f>
        <v>0</v>
      </c>
      <c r="I1953" s="48">
        <f>[1]!BexGetData("DP_2","DL719O2RYNIY3MZ1QVCEEWBN7","17","E","31013031E302","2067211021")</f>
        <v>0</v>
      </c>
    </row>
    <row r="1954" spans="1:9" x14ac:dyDescent="0.2">
      <c r="A1954" s="46" t="s">
        <v>32</v>
      </c>
      <c r="B1954" s="46" t="s">
        <v>32</v>
      </c>
      <c r="C1954" s="46" t="s">
        <v>32</v>
      </c>
      <c r="D1954" s="46" t="s">
        <v>32</v>
      </c>
      <c r="E1954" s="46" t="s">
        <v>32</v>
      </c>
      <c r="F1954" s="47">
        <f>[1]!BexGetData("DP_2","DL719O2RYNC0Y217V0FVT1R77","17","E","31013031E302","2067214011")</f>
        <v>0</v>
      </c>
      <c r="G1954" s="48">
        <f>[1]!BexGetData("DP_2","DL719O2RYNEBZX0HTMQQ0BY0J","17","E","31013031E302","2067214011")</f>
        <v>0</v>
      </c>
      <c r="H1954" s="48">
        <f>[1]!BexGetData("DP_2","DL719O2RYNGN1RZRS91K7M4TV","17","E","31013031E302","2067214011")</f>
        <v>0</v>
      </c>
      <c r="I1954" s="48">
        <f>[1]!BexGetData("DP_2","DL719O2RYNIY3MZ1QVCEEWBN7","17","E","31013031E302","2067214011")</f>
        <v>0</v>
      </c>
    </row>
    <row r="1955" spans="1:9" x14ac:dyDescent="0.2">
      <c r="A1955" s="46" t="s">
        <v>32</v>
      </c>
      <c r="B1955" s="46" t="s">
        <v>32</v>
      </c>
      <c r="C1955" s="46" t="s">
        <v>32</v>
      </c>
      <c r="D1955" s="46" t="s">
        <v>32</v>
      </c>
      <c r="E1955" s="46" t="s">
        <v>32</v>
      </c>
      <c r="F1955" s="47">
        <f>[1]!BexGetData("DP_2","DL719O2RYNC0Y217V0FVT1R77","17","E","31013031E302","2067214031")</f>
        <v>0</v>
      </c>
      <c r="G1955" s="48">
        <f>[1]!BexGetData("DP_2","DL719O2RYNEBZX0HTMQQ0BY0J","17","E","31013031E302","2067214031")</f>
        <v>0</v>
      </c>
      <c r="H1955" s="48">
        <f>[1]!BexGetData("DP_2","DL719O2RYNGN1RZRS91K7M4TV","17","E","31013031E302","2067214031")</f>
        <v>0</v>
      </c>
      <c r="I1955" s="48">
        <f>[1]!BexGetData("DP_2","DL719O2RYNIY3MZ1QVCEEWBN7","17","E","31013031E302","2067214031")</f>
        <v>0</v>
      </c>
    </row>
    <row r="1956" spans="1:9" x14ac:dyDescent="0.2">
      <c r="A1956" s="46" t="s">
        <v>32</v>
      </c>
      <c r="B1956" s="46" t="s">
        <v>32</v>
      </c>
      <c r="C1956" s="46" t="s">
        <v>32</v>
      </c>
      <c r="D1956" s="46" t="s">
        <v>32</v>
      </c>
      <c r="E1956" s="46" t="s">
        <v>32</v>
      </c>
      <c r="F1956" s="47">
        <f>[1]!BexGetData("DP_2","DL719O2RYNC0Y217V0FVT1R77","17","E","31013031E302","2067215021")</f>
        <v>0</v>
      </c>
      <c r="G1956" s="48">
        <f>[1]!BexGetData("DP_2","DL719O2RYNEBZX0HTMQQ0BY0J","17","E","31013031E302","2067215021")</f>
        <v>0</v>
      </c>
      <c r="H1956" s="48">
        <f>[1]!BexGetData("DP_2","DL719O2RYNGN1RZRS91K7M4TV","17","E","31013031E302","2067215021")</f>
        <v>0</v>
      </c>
      <c r="I1956" s="48">
        <f>[1]!BexGetData("DP_2","DL719O2RYNIY3MZ1QVCEEWBN7","17","E","31013031E302","2067215021")</f>
        <v>0</v>
      </c>
    </row>
    <row r="1957" spans="1:9" x14ac:dyDescent="0.2">
      <c r="A1957" s="46" t="s">
        <v>32</v>
      </c>
      <c r="B1957" s="46" t="s">
        <v>32</v>
      </c>
      <c r="C1957" s="46" t="s">
        <v>32</v>
      </c>
      <c r="D1957" s="46" t="s">
        <v>32</v>
      </c>
      <c r="E1957" s="46" t="s">
        <v>32</v>
      </c>
      <c r="F1957" s="47">
        <f>[1]!BexGetData("DP_2","DL719O2RYNC0Y217V0FVT1R77","17","E","31013031E302","2067216011")</f>
        <v>0</v>
      </c>
      <c r="G1957" s="48">
        <f>[1]!BexGetData("DP_2","DL719O2RYNEBZX0HTMQQ0BY0J","17","E","31013031E302","2067216011")</f>
        <v>0</v>
      </c>
      <c r="H1957" s="48">
        <f>[1]!BexGetData("DP_2","DL719O2RYNGN1RZRS91K7M4TV","17","E","31013031E302","2067216011")</f>
        <v>0</v>
      </c>
      <c r="I1957" s="48">
        <f>[1]!BexGetData("DP_2","DL719O2RYNIY3MZ1QVCEEWBN7","17","E","31013031E302","2067216011")</f>
        <v>0</v>
      </c>
    </row>
    <row r="1958" spans="1:9" x14ac:dyDescent="0.2">
      <c r="A1958" s="46" t="s">
        <v>32</v>
      </c>
      <c r="B1958" s="46" t="s">
        <v>32</v>
      </c>
      <c r="C1958" s="46" t="s">
        <v>32</v>
      </c>
      <c r="D1958" s="46" t="s">
        <v>32</v>
      </c>
      <c r="E1958" s="46" t="s">
        <v>32</v>
      </c>
      <c r="F1958" s="47">
        <f>[1]!BexGetData("DP_2","DL719O2RYNC0Y217V0FVT1R77","17","E","31013031E302","2067217011")</f>
        <v>17.489999999999998</v>
      </c>
      <c r="G1958" s="48">
        <f>[1]!BexGetData("DP_2","DL719O2RYNEBZX0HTMQQ0BY0J","17","E","31013031E302","2067217011")</f>
        <v>17.489999999999998</v>
      </c>
      <c r="H1958" s="48">
        <f>[1]!BexGetData("DP_2","DL719O2RYNGN1RZRS91K7M4TV","17","E","31013031E302","2067217011")</f>
        <v>17.489999999999998</v>
      </c>
      <c r="I1958" s="48">
        <f>[1]!BexGetData("DP_2","DL719O2RYNIY3MZ1QVCEEWBN7","17","E","31013031E302","2067217011")</f>
        <v>0</v>
      </c>
    </row>
    <row r="1959" spans="1:9" x14ac:dyDescent="0.2">
      <c r="A1959" s="46" t="s">
        <v>32</v>
      </c>
      <c r="B1959" s="46" t="s">
        <v>32</v>
      </c>
      <c r="C1959" s="46" t="s">
        <v>32</v>
      </c>
      <c r="D1959" s="46" t="s">
        <v>32</v>
      </c>
      <c r="E1959" s="46" t="s">
        <v>32</v>
      </c>
      <c r="F1959" s="47">
        <f>[1]!BexGetData("DP_2","DL719O2RYNC0Y217V0FVT1R77","17","E","31013031E302","2067221011")</f>
        <v>932.32</v>
      </c>
      <c r="G1959" s="48">
        <f>[1]!BexGetData("DP_2","DL719O2RYNEBZX0HTMQQ0BY0J","17","E","31013031E302","2067221011")</f>
        <v>932.32</v>
      </c>
      <c r="H1959" s="48">
        <f>[1]!BexGetData("DP_2","DL719O2RYNGN1RZRS91K7M4TV","17","E","31013031E302","2067221011")</f>
        <v>932.32</v>
      </c>
      <c r="I1959" s="48">
        <f>[1]!BexGetData("DP_2","DL719O2RYNIY3MZ1QVCEEWBN7","17","E","31013031E302","2067221011")</f>
        <v>0</v>
      </c>
    </row>
    <row r="1960" spans="1:9" x14ac:dyDescent="0.2">
      <c r="A1960" s="46" t="s">
        <v>32</v>
      </c>
      <c r="B1960" s="46" t="s">
        <v>32</v>
      </c>
      <c r="C1960" s="46" t="s">
        <v>32</v>
      </c>
      <c r="D1960" s="46" t="s">
        <v>32</v>
      </c>
      <c r="E1960" s="46" t="s">
        <v>32</v>
      </c>
      <c r="F1960" s="47">
        <f>[1]!BexGetData("DP_2","DL719O2RYNC0Y217V0FVT1R77","17","E","31013031E302","2067221021")</f>
        <v>0</v>
      </c>
      <c r="G1960" s="48">
        <f>[1]!BexGetData("DP_2","DL719O2RYNEBZX0HTMQQ0BY0J","17","E","31013031E302","2067221021")</f>
        <v>0</v>
      </c>
      <c r="H1960" s="48">
        <f>[1]!BexGetData("DP_2","DL719O2RYNGN1RZRS91K7M4TV","17","E","31013031E302","2067221021")</f>
        <v>0</v>
      </c>
      <c r="I1960" s="48">
        <f>[1]!BexGetData("DP_2","DL719O2RYNIY3MZ1QVCEEWBN7","17","E","31013031E302","2067221021")</f>
        <v>0</v>
      </c>
    </row>
    <row r="1961" spans="1:9" x14ac:dyDescent="0.2">
      <c r="A1961" s="46" t="s">
        <v>32</v>
      </c>
      <c r="B1961" s="46" t="s">
        <v>32</v>
      </c>
      <c r="C1961" s="46" t="s">
        <v>32</v>
      </c>
      <c r="D1961" s="46" t="s">
        <v>32</v>
      </c>
      <c r="E1961" s="46" t="s">
        <v>32</v>
      </c>
      <c r="F1961" s="47">
        <f>[1]!BexGetData("DP_2","DL719O2RYNC0Y217V0FVT1R77","17","E","31013031E302","2067261011")</f>
        <v>0</v>
      </c>
      <c r="G1961" s="48">
        <f>[1]!BexGetData("DP_2","DL719O2RYNEBZX0HTMQQ0BY0J","17","E","31013031E302","2067261011")</f>
        <v>0</v>
      </c>
      <c r="H1961" s="48">
        <f>[1]!BexGetData("DP_2","DL719O2RYNGN1RZRS91K7M4TV","17","E","31013031E302","2067261011")</f>
        <v>0</v>
      </c>
      <c r="I1961" s="48">
        <f>[1]!BexGetData("DP_2","DL719O2RYNIY3MZ1QVCEEWBN7","17","E","31013031E302","2067261011")</f>
        <v>0</v>
      </c>
    </row>
    <row r="1962" spans="1:9" x14ac:dyDescent="0.2">
      <c r="A1962" s="46" t="s">
        <v>32</v>
      </c>
      <c r="B1962" s="46" t="s">
        <v>32</v>
      </c>
      <c r="C1962" s="46" t="s">
        <v>32</v>
      </c>
      <c r="D1962" s="46" t="s">
        <v>32</v>
      </c>
      <c r="E1962" s="46" t="s">
        <v>32</v>
      </c>
      <c r="F1962" s="47">
        <f>[1]!BexGetData("DP_2","DL719O2RYNC0Y217V0FVT1R77","17","E","31013031E302","2067274011")</f>
        <v>90.9</v>
      </c>
      <c r="G1962" s="48">
        <f>[1]!BexGetData("DP_2","DL719O2RYNEBZX0HTMQQ0BY0J","17","E","31013031E302","2067274011")</f>
        <v>90.9</v>
      </c>
      <c r="H1962" s="48">
        <f>[1]!BexGetData("DP_2","DL719O2RYNGN1RZRS91K7M4TV","17","E","31013031E302","2067274011")</f>
        <v>90.9</v>
      </c>
      <c r="I1962" s="48">
        <f>[1]!BexGetData("DP_2","DL719O2RYNIY3MZ1QVCEEWBN7","17","E","31013031E302","2067274011")</f>
        <v>0</v>
      </c>
    </row>
    <row r="1963" spans="1:9" x14ac:dyDescent="0.2">
      <c r="A1963" s="46" t="s">
        <v>32</v>
      </c>
      <c r="B1963" s="46" t="s">
        <v>32</v>
      </c>
      <c r="C1963" s="46" t="s">
        <v>32</v>
      </c>
      <c r="D1963" s="46" t="s">
        <v>32</v>
      </c>
      <c r="E1963" s="46" t="s">
        <v>32</v>
      </c>
      <c r="F1963" s="47">
        <f>[1]!BexGetData("DP_2","DL719O2RYNC0Y217V0FVT1R77","17","E","31013031E302","2067311011")</f>
        <v>0</v>
      </c>
      <c r="G1963" s="48">
        <f>[1]!BexGetData("DP_2","DL719O2RYNEBZX0HTMQQ0BY0J","17","E","31013031E302","2067311011")</f>
        <v>0</v>
      </c>
      <c r="H1963" s="48">
        <f>[1]!BexGetData("DP_2","DL719O2RYNGN1RZRS91K7M4TV","17","E","31013031E302","2067311011")</f>
        <v>0</v>
      </c>
      <c r="I1963" s="48">
        <f>[1]!BexGetData("DP_2","DL719O2RYNIY3MZ1QVCEEWBN7","17","E","31013031E302","2067311011")</f>
        <v>0</v>
      </c>
    </row>
    <row r="1964" spans="1:9" x14ac:dyDescent="0.2">
      <c r="A1964" s="46" t="s">
        <v>32</v>
      </c>
      <c r="B1964" s="46" t="s">
        <v>32</v>
      </c>
      <c r="C1964" s="46" t="s">
        <v>32</v>
      </c>
      <c r="D1964" s="46" t="s">
        <v>32</v>
      </c>
      <c r="E1964" s="46" t="s">
        <v>32</v>
      </c>
      <c r="F1964" s="47">
        <f>[1]!BexGetData("DP_2","DL719O2RYNC0Y217V0FVT1R77","17","E","31013031E302","2067312011")</f>
        <v>0</v>
      </c>
      <c r="G1964" s="48">
        <f>[1]!BexGetData("DP_2","DL719O2RYNEBZX0HTMQQ0BY0J","17","E","31013031E302","2067312011")</f>
        <v>0</v>
      </c>
      <c r="H1964" s="48">
        <f>[1]!BexGetData("DP_2","DL719O2RYNGN1RZRS91K7M4TV","17","E","31013031E302","2067312011")</f>
        <v>0</v>
      </c>
      <c r="I1964" s="48">
        <f>[1]!BexGetData("DP_2","DL719O2RYNIY3MZ1QVCEEWBN7","17","E","31013031E302","2067312011")</f>
        <v>0</v>
      </c>
    </row>
    <row r="1965" spans="1:9" x14ac:dyDescent="0.2">
      <c r="A1965" s="46" t="s">
        <v>32</v>
      </c>
      <c r="B1965" s="46" t="s">
        <v>32</v>
      </c>
      <c r="C1965" s="46" t="s">
        <v>32</v>
      </c>
      <c r="D1965" s="46" t="s">
        <v>32</v>
      </c>
      <c r="E1965" s="46" t="s">
        <v>32</v>
      </c>
      <c r="F1965" s="47">
        <f>[1]!BexGetData("DP_2","DL719O2RYNC0Y217V0FVT1R77","17","E","31013031E302","2067313011")</f>
        <v>0</v>
      </c>
      <c r="G1965" s="48">
        <f>[1]!BexGetData("DP_2","DL719O2RYNEBZX0HTMQQ0BY0J","17","E","31013031E302","2067313011")</f>
        <v>0</v>
      </c>
      <c r="H1965" s="48">
        <f>[1]!BexGetData("DP_2","DL719O2RYNGN1RZRS91K7M4TV","17","E","31013031E302","2067313011")</f>
        <v>0</v>
      </c>
      <c r="I1965" s="48">
        <f>[1]!BexGetData("DP_2","DL719O2RYNIY3MZ1QVCEEWBN7","17","E","31013031E302","2067313011")</f>
        <v>0</v>
      </c>
    </row>
    <row r="1966" spans="1:9" x14ac:dyDescent="0.2">
      <c r="A1966" s="46" t="s">
        <v>32</v>
      </c>
      <c r="B1966" s="46" t="s">
        <v>32</v>
      </c>
      <c r="C1966" s="46" t="s">
        <v>32</v>
      </c>
      <c r="D1966" s="46" t="s">
        <v>32</v>
      </c>
      <c r="E1966" s="46" t="s">
        <v>32</v>
      </c>
      <c r="F1966" s="47">
        <f>[1]!BexGetData("DP_2","DL719O2RYNC0Y217V0FVT1R77","17","E","31013031E302","2067314011")</f>
        <v>4186.93</v>
      </c>
      <c r="G1966" s="48">
        <f>[1]!BexGetData("DP_2","DL719O2RYNEBZX0HTMQQ0BY0J","17","E","31013031E302","2067314011")</f>
        <v>4186.93</v>
      </c>
      <c r="H1966" s="48">
        <f>[1]!BexGetData("DP_2","DL719O2RYNGN1RZRS91K7M4TV","17","E","31013031E302","2067314011")</f>
        <v>4186.93</v>
      </c>
      <c r="I1966" s="48">
        <f>[1]!BexGetData("DP_2","DL719O2RYNIY3MZ1QVCEEWBN7","17","E","31013031E302","2067314011")</f>
        <v>0</v>
      </c>
    </row>
    <row r="1967" spans="1:9" x14ac:dyDescent="0.2">
      <c r="A1967" s="46" t="s">
        <v>32</v>
      </c>
      <c r="B1967" s="46" t="s">
        <v>32</v>
      </c>
      <c r="C1967" s="46" t="s">
        <v>32</v>
      </c>
      <c r="D1967" s="46" t="s">
        <v>32</v>
      </c>
      <c r="E1967" s="46" t="s">
        <v>32</v>
      </c>
      <c r="F1967" s="47">
        <f>[1]!BexGetData("DP_2","DL719O2RYNC0Y217V0FVT1R77","17","E","31013031E302","2067315011")</f>
        <v>0</v>
      </c>
      <c r="G1967" s="48">
        <f>[1]!BexGetData("DP_2","DL719O2RYNEBZX0HTMQQ0BY0J","17","E","31013031E302","2067315011")</f>
        <v>0</v>
      </c>
      <c r="H1967" s="48">
        <f>[1]!BexGetData("DP_2","DL719O2RYNGN1RZRS91K7M4TV","17","E","31013031E302","2067315011")</f>
        <v>0</v>
      </c>
      <c r="I1967" s="48">
        <f>[1]!BexGetData("DP_2","DL719O2RYNIY3MZ1QVCEEWBN7","17","E","31013031E302","2067315011")</f>
        <v>0</v>
      </c>
    </row>
    <row r="1968" spans="1:9" x14ac:dyDescent="0.2">
      <c r="A1968" s="46" t="s">
        <v>32</v>
      </c>
      <c r="B1968" s="46" t="s">
        <v>32</v>
      </c>
      <c r="C1968" s="46" t="s">
        <v>32</v>
      </c>
      <c r="D1968" s="46" t="s">
        <v>32</v>
      </c>
      <c r="E1968" s="46" t="s">
        <v>32</v>
      </c>
      <c r="F1968" s="47">
        <f>[1]!BexGetData("DP_2","DL719O2RYNC0Y217V0FVT1R77","17","E","31013031E302","2067322011")</f>
        <v>651456</v>
      </c>
      <c r="G1968" s="48">
        <f>[1]!BexGetData("DP_2","DL719O2RYNEBZX0HTMQQ0BY0J","17","E","31013031E302","2067322011")</f>
        <v>651456</v>
      </c>
      <c r="H1968" s="48">
        <f>[1]!BexGetData("DP_2","DL719O2RYNGN1RZRS91K7M4TV","17","E","31013031E302","2067322011")</f>
        <v>597168</v>
      </c>
      <c r="I1968" s="48">
        <f>[1]!BexGetData("DP_2","DL719O2RYNIY3MZ1QVCEEWBN7","17","E","31013031E302","2067322011")</f>
        <v>0</v>
      </c>
    </row>
    <row r="1969" spans="1:9" x14ac:dyDescent="0.2">
      <c r="A1969" s="46" t="s">
        <v>32</v>
      </c>
      <c r="B1969" s="46" t="s">
        <v>32</v>
      </c>
      <c r="C1969" s="46" t="s">
        <v>32</v>
      </c>
      <c r="D1969" s="46" t="s">
        <v>32</v>
      </c>
      <c r="E1969" s="46" t="s">
        <v>32</v>
      </c>
      <c r="F1969" s="47">
        <f>[1]!BexGetData("DP_2","DL719O2RYNC0Y217V0FVT1R77","17","E","31013031E302","2067329011")</f>
        <v>0</v>
      </c>
      <c r="G1969" s="48">
        <f>[1]!BexGetData("DP_2","DL719O2RYNEBZX0HTMQQ0BY0J","17","E","31013031E302","2067329011")</f>
        <v>0</v>
      </c>
      <c r="H1969" s="48">
        <f>[1]!BexGetData("DP_2","DL719O2RYNGN1RZRS91K7M4TV","17","E","31013031E302","2067329011")</f>
        <v>0</v>
      </c>
      <c r="I1969" s="48">
        <f>[1]!BexGetData("DP_2","DL719O2RYNIY3MZ1QVCEEWBN7","17","E","31013031E302","2067329011")</f>
        <v>0</v>
      </c>
    </row>
    <row r="1970" spans="1:9" x14ac:dyDescent="0.2">
      <c r="A1970" s="46" t="s">
        <v>32</v>
      </c>
      <c r="B1970" s="46" t="s">
        <v>32</v>
      </c>
      <c r="C1970" s="46" t="s">
        <v>32</v>
      </c>
      <c r="D1970" s="46" t="s">
        <v>32</v>
      </c>
      <c r="E1970" s="46" t="s">
        <v>32</v>
      </c>
      <c r="F1970" s="47">
        <f>[1]!BexGetData("DP_2","DL719O2RYNC0Y217V0FVT1R77","17","E","31013031E302","2067336011")</f>
        <v>0</v>
      </c>
      <c r="G1970" s="48">
        <f>[1]!BexGetData("DP_2","DL719O2RYNEBZX0HTMQQ0BY0J","17","E","31013031E302","2067336011")</f>
        <v>0</v>
      </c>
      <c r="H1970" s="48">
        <f>[1]!BexGetData("DP_2","DL719O2RYNGN1RZRS91K7M4TV","17","E","31013031E302","2067336011")</f>
        <v>0</v>
      </c>
      <c r="I1970" s="48">
        <f>[1]!BexGetData("DP_2","DL719O2RYNIY3MZ1QVCEEWBN7","17","E","31013031E302","2067336011")</f>
        <v>0</v>
      </c>
    </row>
    <row r="1971" spans="1:9" x14ac:dyDescent="0.2">
      <c r="A1971" s="46" t="s">
        <v>32</v>
      </c>
      <c r="B1971" s="46" t="s">
        <v>32</v>
      </c>
      <c r="C1971" s="46" t="s">
        <v>32</v>
      </c>
      <c r="D1971" s="46" t="s">
        <v>32</v>
      </c>
      <c r="E1971" s="46" t="s">
        <v>32</v>
      </c>
      <c r="F1971" s="47">
        <f>[1]!BexGetData("DP_2","DL719O2RYNC0Y217V0FVT1R77","17","E","31013031E302","2067372011")</f>
        <v>0</v>
      </c>
      <c r="G1971" s="48">
        <f>[1]!BexGetData("DP_2","DL719O2RYNEBZX0HTMQQ0BY0J","17","E","31013031E302","2067372011")</f>
        <v>0</v>
      </c>
      <c r="H1971" s="48">
        <f>[1]!BexGetData("DP_2","DL719O2RYNGN1RZRS91K7M4TV","17","E","31013031E302","2067372011")</f>
        <v>0</v>
      </c>
      <c r="I1971" s="48">
        <f>[1]!BexGetData("DP_2","DL719O2RYNIY3MZ1QVCEEWBN7","17","E","31013031E302","2067372011")</f>
        <v>0</v>
      </c>
    </row>
    <row r="1972" spans="1:9" x14ac:dyDescent="0.2">
      <c r="A1972" s="46" t="s">
        <v>32</v>
      </c>
      <c r="B1972" s="46" t="s">
        <v>32</v>
      </c>
      <c r="C1972" s="46" t="s">
        <v>32</v>
      </c>
      <c r="D1972" s="46" t="s">
        <v>32</v>
      </c>
      <c r="E1972" s="46" t="s">
        <v>32</v>
      </c>
      <c r="F1972" s="47">
        <f>[1]!BexGetData("DP_2","DL719O2RYNC0Y217V0FVT1R77","17","E","31013031E302","2067375011")</f>
        <v>0</v>
      </c>
      <c r="G1972" s="48">
        <f>[1]!BexGetData("DP_2","DL719O2RYNEBZX0HTMQQ0BY0J","17","E","31013031E302","2067375011")</f>
        <v>0</v>
      </c>
      <c r="H1972" s="48">
        <f>[1]!BexGetData("DP_2","DL719O2RYNGN1RZRS91K7M4TV","17","E","31013031E302","2067375011")</f>
        <v>0</v>
      </c>
      <c r="I1972" s="48">
        <f>[1]!BexGetData("DP_2","DL719O2RYNIY3MZ1QVCEEWBN7","17","E","31013031E302","2067375011")</f>
        <v>0</v>
      </c>
    </row>
    <row r="1973" spans="1:9" x14ac:dyDescent="0.2">
      <c r="A1973" s="46" t="s">
        <v>32</v>
      </c>
      <c r="B1973" s="46" t="s">
        <v>32</v>
      </c>
      <c r="C1973" s="46" t="s">
        <v>32</v>
      </c>
      <c r="D1973" s="46" t="s">
        <v>32</v>
      </c>
      <c r="E1973" s="46" t="s">
        <v>32</v>
      </c>
      <c r="F1973" s="47">
        <f>[1]!BexGetData("DP_2","DL719O2RYNC0Y217V0FVT1R77","17","E","31013031E302","2067399031")</f>
        <v>701.8</v>
      </c>
      <c r="G1973" s="48">
        <f>[1]!BexGetData("DP_2","DL719O2RYNEBZX0HTMQQ0BY0J","17","E","31013031E302","2067399031")</f>
        <v>701.8</v>
      </c>
      <c r="H1973" s="48">
        <f>[1]!BexGetData("DP_2","DL719O2RYNGN1RZRS91K7M4TV","17","E","31013031E302","2067399031")</f>
        <v>701.8</v>
      </c>
      <c r="I1973" s="48">
        <f>[1]!BexGetData("DP_2","DL719O2RYNIY3MZ1QVCEEWBN7","17","E","31013031E302","2067399031")</f>
        <v>0</v>
      </c>
    </row>
    <row r="1974" spans="1:9" x14ac:dyDescent="0.2">
      <c r="A1974" s="46" t="s">
        <v>32</v>
      </c>
      <c r="B1974" s="46" t="s">
        <v>32</v>
      </c>
      <c r="C1974" s="46" t="s">
        <v>32</v>
      </c>
      <c r="D1974" s="46" t="s">
        <v>32</v>
      </c>
      <c r="E1974" s="46" t="s">
        <v>32</v>
      </c>
      <c r="F1974" s="47">
        <f>[1]!BexGetData("DP_2","DL719O2RYNC0Y217V0FVT1R77","17","E","31013031E302","2067511012")</f>
        <v>0</v>
      </c>
      <c r="G1974" s="48">
        <f>[1]!BexGetData("DP_2","DL719O2RYNEBZX0HTMQQ0BY0J","17","E","31013031E302","2067511012")</f>
        <v>0</v>
      </c>
      <c r="H1974" s="48">
        <f>[1]!BexGetData("DP_2","DL719O2RYNGN1RZRS91K7M4TV","17","E","31013031E302","2067511012")</f>
        <v>0</v>
      </c>
      <c r="I1974" s="48">
        <f>[1]!BexGetData("DP_2","DL719O2RYNIY3MZ1QVCEEWBN7","17","E","31013031E302","2067511012")</f>
        <v>0</v>
      </c>
    </row>
    <row r="1975" spans="1:9" x14ac:dyDescent="0.2">
      <c r="A1975" s="46" t="s">
        <v>32</v>
      </c>
      <c r="B1975" s="46" t="s">
        <v>32</v>
      </c>
      <c r="C1975" s="46" t="s">
        <v>32</v>
      </c>
      <c r="D1975" s="46" t="s">
        <v>32</v>
      </c>
      <c r="E1975" s="46" t="s">
        <v>32</v>
      </c>
      <c r="F1975" s="47">
        <f>[1]!BexGetData("DP_2","DL719O2RYNC0Y217V0FVT1R77","17","E","31013031E302","2067515012")</f>
        <v>0</v>
      </c>
      <c r="G1975" s="48">
        <f>[1]!BexGetData("DP_2","DL719O2RYNEBZX0HTMQQ0BY0J","17","E","31013031E302","2067515012")</f>
        <v>0</v>
      </c>
      <c r="H1975" s="48">
        <f>[1]!BexGetData("DP_2","DL719O2RYNGN1RZRS91K7M4TV","17","E","31013031E302","2067515012")</f>
        <v>0</v>
      </c>
      <c r="I1975" s="48">
        <f>[1]!BexGetData("DP_2","DL719O2RYNIY3MZ1QVCEEWBN7","17","E","31013031E302","2067515012")</f>
        <v>0</v>
      </c>
    </row>
    <row r="1976" spans="1:9" x14ac:dyDescent="0.2">
      <c r="A1976" s="46" t="s">
        <v>32</v>
      </c>
      <c r="B1976" s="46" t="s">
        <v>32</v>
      </c>
      <c r="C1976" s="46" t="s">
        <v>32</v>
      </c>
      <c r="D1976" s="46" t="s">
        <v>32</v>
      </c>
      <c r="E1976" s="46" t="s">
        <v>32</v>
      </c>
      <c r="F1976" s="47">
        <f>[1]!BexGetData("DP_2","DL719O2RYNC0Y217V0FVT1R77","17","E","31013031E302","2067521012")</f>
        <v>0</v>
      </c>
      <c r="G1976" s="48">
        <f>[1]!BexGetData("DP_2","DL719O2RYNEBZX0HTMQQ0BY0J","17","E","31013031E302","2067521012")</f>
        <v>0</v>
      </c>
      <c r="H1976" s="48">
        <f>[1]!BexGetData("DP_2","DL719O2RYNGN1RZRS91K7M4TV","17","E","31013031E302","2067521012")</f>
        <v>0</v>
      </c>
      <c r="I1976" s="48">
        <f>[1]!BexGetData("DP_2","DL719O2RYNIY3MZ1QVCEEWBN7","17","E","31013031E302","2067521012")</f>
        <v>0</v>
      </c>
    </row>
    <row r="1977" spans="1:9" x14ac:dyDescent="0.2">
      <c r="A1977" s="46" t="s">
        <v>32</v>
      </c>
      <c r="B1977" s="46" t="s">
        <v>32</v>
      </c>
      <c r="C1977" s="46" t="s">
        <v>32</v>
      </c>
      <c r="D1977" s="46" t="s">
        <v>32</v>
      </c>
      <c r="E1977" s="46" t="s">
        <v>32</v>
      </c>
      <c r="F1977" s="47">
        <f>[1]!BexGetData("DP_2","DL719O2RYNC0Y217V0FVT1R77","17","E","31013031E302","2067564012")</f>
        <v>0</v>
      </c>
      <c r="G1977" s="48">
        <f>[1]!BexGetData("DP_2","DL719O2RYNEBZX0HTMQQ0BY0J","17","E","31013031E302","2067564012")</f>
        <v>0</v>
      </c>
      <c r="H1977" s="48">
        <f>[1]!BexGetData("DP_2","DL719O2RYNGN1RZRS91K7M4TV","17","E","31013031E302","2067564012")</f>
        <v>0</v>
      </c>
      <c r="I1977" s="48">
        <f>[1]!BexGetData("DP_2","DL719O2RYNIY3MZ1QVCEEWBN7","17","E","31013031E302","2067564012")</f>
        <v>0</v>
      </c>
    </row>
    <row r="1978" spans="1:9" x14ac:dyDescent="0.2">
      <c r="A1978" s="46" t="s">
        <v>32</v>
      </c>
      <c r="B1978" s="46" t="s">
        <v>133</v>
      </c>
      <c r="C1978" s="46" t="s">
        <v>134</v>
      </c>
      <c r="D1978" s="46" t="s">
        <v>134</v>
      </c>
      <c r="E1978" s="46" t="s">
        <v>32</v>
      </c>
      <c r="F1978" s="47">
        <f>[1]!BexGetData("DP_2","DL719O2RYNC0Y217V0FVT1R77","17","F","37014011F101","2067113021")</f>
        <v>168604.62</v>
      </c>
      <c r="G1978" s="48">
        <f>[1]!BexGetData("DP_2","DL719O2RYNEBZX0HTMQQ0BY0J","17","F","37014011F101","2067113021")</f>
        <v>168604.62</v>
      </c>
      <c r="H1978" s="48">
        <f>[1]!BexGetData("DP_2","DL719O2RYNGN1RZRS91K7M4TV","17","F","37014011F101","2067113021")</f>
        <v>168604.62</v>
      </c>
      <c r="I1978" s="48">
        <f>[1]!BexGetData("DP_2","DL719O2RYNIY3MZ1QVCEEWBN7","17","F","37014011F101","2067113021")</f>
        <v>0</v>
      </c>
    </row>
    <row r="1979" spans="1:9" x14ac:dyDescent="0.2">
      <c r="A1979" s="46" t="s">
        <v>32</v>
      </c>
      <c r="B1979" s="46" t="s">
        <v>32</v>
      </c>
      <c r="C1979" s="46" t="s">
        <v>32</v>
      </c>
      <c r="D1979" s="46" t="s">
        <v>32</v>
      </c>
      <c r="E1979" s="46" t="s">
        <v>32</v>
      </c>
      <c r="F1979" s="47">
        <f>[1]!BexGetData("DP_2","DL719O2RYNC0Y217V0FVT1R77","17","F","37014011F101","2067132011")</f>
        <v>4959</v>
      </c>
      <c r="G1979" s="48">
        <f>[1]!BexGetData("DP_2","DL719O2RYNEBZX0HTMQQ0BY0J","17","F","37014011F101","2067132011")</f>
        <v>4959</v>
      </c>
      <c r="H1979" s="48">
        <f>[1]!BexGetData("DP_2","DL719O2RYNGN1RZRS91K7M4TV","17","F","37014011F101","2067132011")</f>
        <v>4959</v>
      </c>
      <c r="I1979" s="48">
        <f>[1]!BexGetData("DP_2","DL719O2RYNIY3MZ1QVCEEWBN7","17","F","37014011F101","2067132011")</f>
        <v>0</v>
      </c>
    </row>
    <row r="1980" spans="1:9" x14ac:dyDescent="0.2">
      <c r="A1980" s="46" t="s">
        <v>32</v>
      </c>
      <c r="B1980" s="46" t="s">
        <v>32</v>
      </c>
      <c r="C1980" s="46" t="s">
        <v>32</v>
      </c>
      <c r="D1980" s="46" t="s">
        <v>32</v>
      </c>
      <c r="E1980" s="46" t="s">
        <v>32</v>
      </c>
      <c r="F1980" s="47">
        <f>[1]!BexGetData("DP_2","DL719O2RYNC0Y217V0FVT1R77","17","F","37014011F101","2067132021")</f>
        <v>36989.42</v>
      </c>
      <c r="G1980" s="48">
        <f>[1]!BexGetData("DP_2","DL719O2RYNEBZX0HTMQQ0BY0J","17","F","37014011F101","2067132021")</f>
        <v>36989.42</v>
      </c>
      <c r="H1980" s="48">
        <f>[1]!BexGetData("DP_2","DL719O2RYNGN1RZRS91K7M4TV","17","F","37014011F101","2067132021")</f>
        <v>36989.42</v>
      </c>
      <c r="I1980" s="48">
        <f>[1]!BexGetData("DP_2","DL719O2RYNIY3MZ1QVCEEWBN7","17","F","37014011F101","2067132021")</f>
        <v>0</v>
      </c>
    </row>
    <row r="1981" spans="1:9" x14ac:dyDescent="0.2">
      <c r="A1981" s="46" t="s">
        <v>32</v>
      </c>
      <c r="B1981" s="46" t="s">
        <v>32</v>
      </c>
      <c r="C1981" s="46" t="s">
        <v>32</v>
      </c>
      <c r="D1981" s="46" t="s">
        <v>32</v>
      </c>
      <c r="E1981" s="46" t="s">
        <v>32</v>
      </c>
      <c r="F1981" s="47">
        <f>[1]!BexGetData("DP_2","DL719O2RYNC0Y217V0FVT1R77","17","F","37014011F101","2067134011")</f>
        <v>267563.18</v>
      </c>
      <c r="G1981" s="48">
        <f>[1]!BexGetData("DP_2","DL719O2RYNEBZX0HTMQQ0BY0J","17","F","37014011F101","2067134011")</f>
        <v>267563.18</v>
      </c>
      <c r="H1981" s="48">
        <f>[1]!BexGetData("DP_2","DL719O2RYNGN1RZRS91K7M4TV","17","F","37014011F101","2067134011")</f>
        <v>271205.39</v>
      </c>
      <c r="I1981" s="48">
        <f>[1]!BexGetData("DP_2","DL719O2RYNIY3MZ1QVCEEWBN7","17","F","37014011F101","2067134011")</f>
        <v>0</v>
      </c>
    </row>
    <row r="1982" spans="1:9" x14ac:dyDescent="0.2">
      <c r="A1982" s="46" t="s">
        <v>32</v>
      </c>
      <c r="B1982" s="46" t="s">
        <v>32</v>
      </c>
      <c r="C1982" s="46" t="s">
        <v>32</v>
      </c>
      <c r="D1982" s="46" t="s">
        <v>32</v>
      </c>
      <c r="E1982" s="46" t="s">
        <v>32</v>
      </c>
      <c r="F1982" s="47">
        <f>[1]!BexGetData("DP_2","DL719O2RYNC0Y217V0FVT1R77","17","F","37014011F101","2067134021")</f>
        <v>389133.83</v>
      </c>
      <c r="G1982" s="48">
        <f>[1]!BexGetData("DP_2","DL719O2RYNEBZX0HTMQQ0BY0J","17","F","37014011F101","2067134021")</f>
        <v>389133.83</v>
      </c>
      <c r="H1982" s="48">
        <f>[1]!BexGetData("DP_2","DL719O2RYNGN1RZRS91K7M4TV","17","F","37014011F101","2067134021")</f>
        <v>389133.83</v>
      </c>
      <c r="I1982" s="48">
        <f>[1]!BexGetData("DP_2","DL719O2RYNIY3MZ1QVCEEWBN7","17","F","37014011F101","2067134021")</f>
        <v>0</v>
      </c>
    </row>
    <row r="1983" spans="1:9" x14ac:dyDescent="0.2">
      <c r="A1983" s="46" t="s">
        <v>32</v>
      </c>
      <c r="B1983" s="46" t="s">
        <v>32</v>
      </c>
      <c r="C1983" s="46" t="s">
        <v>32</v>
      </c>
      <c r="D1983" s="46" t="s">
        <v>32</v>
      </c>
      <c r="E1983" s="46" t="s">
        <v>32</v>
      </c>
      <c r="F1983" s="47">
        <f>[1]!BexGetData("DP_2","DL719O2RYNC0Y217V0FVT1R77","17","F","37014011F101","2067141011")</f>
        <v>27156.57</v>
      </c>
      <c r="G1983" s="48">
        <f>[1]!BexGetData("DP_2","DL719O2RYNEBZX0HTMQQ0BY0J","17","F","37014011F101","2067141011")</f>
        <v>27156.57</v>
      </c>
      <c r="H1983" s="48">
        <f>[1]!BexGetData("DP_2","DL719O2RYNGN1RZRS91K7M4TV","17","F","37014011F101","2067141011")</f>
        <v>27156.57</v>
      </c>
      <c r="I1983" s="48">
        <f>[1]!BexGetData("DP_2","DL719O2RYNIY3MZ1QVCEEWBN7","17","F","37014011F101","2067141011")</f>
        <v>0</v>
      </c>
    </row>
    <row r="1984" spans="1:9" x14ac:dyDescent="0.2">
      <c r="A1984" s="46" t="s">
        <v>32</v>
      </c>
      <c r="B1984" s="46" t="s">
        <v>32</v>
      </c>
      <c r="C1984" s="46" t="s">
        <v>32</v>
      </c>
      <c r="D1984" s="46" t="s">
        <v>32</v>
      </c>
      <c r="E1984" s="46" t="s">
        <v>32</v>
      </c>
      <c r="F1984" s="47">
        <f>[1]!BexGetData("DP_2","DL719O2RYNC0Y217V0FVT1R77","17","F","37014011F101","2067141021")</f>
        <v>7712.8</v>
      </c>
      <c r="G1984" s="48">
        <f>[1]!BexGetData("DP_2","DL719O2RYNEBZX0HTMQQ0BY0J","17","F","37014011F101","2067141021")</f>
        <v>7712.8</v>
      </c>
      <c r="H1984" s="48">
        <f>[1]!BexGetData("DP_2","DL719O2RYNGN1RZRS91K7M4TV","17","F","37014011F101","2067141021")</f>
        <v>7712.8</v>
      </c>
      <c r="I1984" s="48">
        <f>[1]!BexGetData("DP_2","DL719O2RYNIY3MZ1QVCEEWBN7","17","F","37014011F101","2067141021")</f>
        <v>0</v>
      </c>
    </row>
    <row r="1985" spans="1:9" x14ac:dyDescent="0.2">
      <c r="A1985" s="46" t="s">
        <v>32</v>
      </c>
      <c r="B1985" s="46" t="s">
        <v>32</v>
      </c>
      <c r="C1985" s="46" t="s">
        <v>32</v>
      </c>
      <c r="D1985" s="46" t="s">
        <v>32</v>
      </c>
      <c r="E1985" s="46" t="s">
        <v>32</v>
      </c>
      <c r="F1985" s="47">
        <f>[1]!BexGetData("DP_2","DL719O2RYNC0Y217V0FVT1R77","17","F","37014011F101","2067143011")</f>
        <v>3608.31</v>
      </c>
      <c r="G1985" s="48">
        <f>[1]!BexGetData("DP_2","DL719O2RYNEBZX0HTMQQ0BY0J","17","F","37014011F101","2067143011")</f>
        <v>3608.31</v>
      </c>
      <c r="H1985" s="48">
        <f>[1]!BexGetData("DP_2","DL719O2RYNGN1RZRS91K7M4TV","17","F","37014011F101","2067143011")</f>
        <v>3608.31</v>
      </c>
      <c r="I1985" s="48">
        <f>[1]!BexGetData("DP_2","DL719O2RYNIY3MZ1QVCEEWBN7","17","F","37014011F101","2067143011")</f>
        <v>0</v>
      </c>
    </row>
    <row r="1986" spans="1:9" x14ac:dyDescent="0.2">
      <c r="A1986" s="46" t="s">
        <v>32</v>
      </c>
      <c r="B1986" s="46" t="s">
        <v>32</v>
      </c>
      <c r="C1986" s="46" t="s">
        <v>32</v>
      </c>
      <c r="D1986" s="46" t="s">
        <v>32</v>
      </c>
      <c r="E1986" s="46" t="s">
        <v>32</v>
      </c>
      <c r="F1986" s="47">
        <f>[1]!BexGetData("DP_2","DL719O2RYNC0Y217V0FVT1R77","17","F","37014011F101","2067151011")</f>
        <v>20233.439999999999</v>
      </c>
      <c r="G1986" s="48">
        <f>[1]!BexGetData("DP_2","DL719O2RYNEBZX0HTMQQ0BY0J","17","F","37014011F101","2067151011")</f>
        <v>20233.439999999999</v>
      </c>
      <c r="H1986" s="48">
        <f>[1]!BexGetData("DP_2","DL719O2RYNGN1RZRS91K7M4TV","17","F","37014011F101","2067151011")</f>
        <v>20233.439999999999</v>
      </c>
      <c r="I1986" s="48">
        <f>[1]!BexGetData("DP_2","DL719O2RYNIY3MZ1QVCEEWBN7","17","F","37014011F101","2067151011")</f>
        <v>0</v>
      </c>
    </row>
    <row r="1987" spans="1:9" x14ac:dyDescent="0.2">
      <c r="A1987" s="46" t="s">
        <v>32</v>
      </c>
      <c r="B1987" s="46" t="s">
        <v>32</v>
      </c>
      <c r="C1987" s="46" t="s">
        <v>32</v>
      </c>
      <c r="D1987" s="46" t="s">
        <v>32</v>
      </c>
      <c r="E1987" s="46" t="s">
        <v>32</v>
      </c>
      <c r="F1987" s="47">
        <f>[1]!BexGetData("DP_2","DL719O2RYNC0Y217V0FVT1R77","17","F","37014011F101","2067154011")</f>
        <v>36672.79</v>
      </c>
      <c r="G1987" s="48">
        <f>[1]!BexGetData("DP_2","DL719O2RYNEBZX0HTMQQ0BY0J","17","F","37014011F101","2067154011")</f>
        <v>36672.79</v>
      </c>
      <c r="H1987" s="48">
        <f>[1]!BexGetData("DP_2","DL719O2RYNGN1RZRS91K7M4TV","17","F","37014011F101","2067154011")</f>
        <v>36672.79</v>
      </c>
      <c r="I1987" s="48">
        <f>[1]!BexGetData("DP_2","DL719O2RYNIY3MZ1QVCEEWBN7","17","F","37014011F101","2067154011")</f>
        <v>0</v>
      </c>
    </row>
    <row r="1988" spans="1:9" x14ac:dyDescent="0.2">
      <c r="A1988" s="46" t="s">
        <v>32</v>
      </c>
      <c r="B1988" s="46" t="s">
        <v>32</v>
      </c>
      <c r="C1988" s="46" t="s">
        <v>32</v>
      </c>
      <c r="D1988" s="46" t="s">
        <v>32</v>
      </c>
      <c r="E1988" s="46" t="s">
        <v>32</v>
      </c>
      <c r="F1988" s="47">
        <f>[1]!BexGetData("DP_2","DL719O2RYNC0Y217V0FVT1R77","17","F","37014011F101","2067211011")</f>
        <v>0</v>
      </c>
      <c r="G1988" s="48">
        <f>[1]!BexGetData("DP_2","DL719O2RYNEBZX0HTMQQ0BY0J","17","F","37014011F101","2067211011")</f>
        <v>0</v>
      </c>
      <c r="H1988" s="48">
        <f>[1]!BexGetData("DP_2","DL719O2RYNGN1RZRS91K7M4TV","17","F","37014011F101","2067211011")</f>
        <v>0</v>
      </c>
      <c r="I1988" s="48">
        <f>[1]!BexGetData("DP_2","DL719O2RYNIY3MZ1QVCEEWBN7","17","F","37014011F101","2067211011")</f>
        <v>0</v>
      </c>
    </row>
    <row r="1989" spans="1:9" x14ac:dyDescent="0.2">
      <c r="A1989" s="46" t="s">
        <v>32</v>
      </c>
      <c r="B1989" s="46" t="s">
        <v>32</v>
      </c>
      <c r="C1989" s="46" t="s">
        <v>32</v>
      </c>
      <c r="D1989" s="46" t="s">
        <v>32</v>
      </c>
      <c r="E1989" s="46" t="s">
        <v>32</v>
      </c>
      <c r="F1989" s="47">
        <f>[1]!BexGetData("DP_2","DL719O2RYNC0Y217V0FVT1R77","17","F","37014011F101","2067214011")</f>
        <v>0</v>
      </c>
      <c r="G1989" s="48">
        <f>[1]!BexGetData("DP_2","DL719O2RYNEBZX0HTMQQ0BY0J","17","F","37014011F101","2067214011")</f>
        <v>0</v>
      </c>
      <c r="H1989" s="48">
        <f>[1]!BexGetData("DP_2","DL719O2RYNGN1RZRS91K7M4TV","17","F","37014011F101","2067214011")</f>
        <v>0</v>
      </c>
      <c r="I1989" s="48">
        <f>[1]!BexGetData("DP_2","DL719O2RYNIY3MZ1QVCEEWBN7","17","F","37014011F101","2067214011")</f>
        <v>0</v>
      </c>
    </row>
    <row r="1990" spans="1:9" x14ac:dyDescent="0.2">
      <c r="A1990" s="46" t="s">
        <v>32</v>
      </c>
      <c r="B1990" s="46" t="s">
        <v>32</v>
      </c>
      <c r="C1990" s="46" t="s">
        <v>32</v>
      </c>
      <c r="D1990" s="46" t="s">
        <v>32</v>
      </c>
      <c r="E1990" s="46" t="s">
        <v>32</v>
      </c>
      <c r="F1990" s="47">
        <f>[1]!BexGetData("DP_2","DL719O2RYNC0Y217V0FVT1R77","17","F","37014011F101","2067216011")</f>
        <v>0</v>
      </c>
      <c r="G1990" s="48">
        <f>[1]!BexGetData("DP_2","DL719O2RYNEBZX0HTMQQ0BY0J","17","F","37014011F101","2067216011")</f>
        <v>0</v>
      </c>
      <c r="H1990" s="48">
        <f>[1]!BexGetData("DP_2","DL719O2RYNGN1RZRS91K7M4TV","17","F","37014011F101","2067216011")</f>
        <v>0</v>
      </c>
      <c r="I1990" s="48">
        <f>[1]!BexGetData("DP_2","DL719O2RYNIY3MZ1QVCEEWBN7","17","F","37014011F101","2067216011")</f>
        <v>0</v>
      </c>
    </row>
    <row r="1991" spans="1:9" x14ac:dyDescent="0.2">
      <c r="A1991" s="46" t="s">
        <v>32</v>
      </c>
      <c r="B1991" s="46" t="s">
        <v>32</v>
      </c>
      <c r="C1991" s="46" t="s">
        <v>32</v>
      </c>
      <c r="D1991" s="46" t="s">
        <v>32</v>
      </c>
      <c r="E1991" s="46" t="s">
        <v>32</v>
      </c>
      <c r="F1991" s="47">
        <f>[1]!BexGetData("DP_2","DL719O2RYNC0Y217V0FVT1R77","17","F","37014011F101","2067217011")</f>
        <v>153.91999999999999</v>
      </c>
      <c r="G1991" s="48">
        <f>[1]!BexGetData("DP_2","DL719O2RYNEBZX0HTMQQ0BY0J","17","F","37014011F101","2067217011")</f>
        <v>153.91999999999999</v>
      </c>
      <c r="H1991" s="48">
        <f>[1]!BexGetData("DP_2","DL719O2RYNGN1RZRS91K7M4TV","17","F","37014011F101","2067217011")</f>
        <v>153.91999999999999</v>
      </c>
      <c r="I1991" s="48">
        <f>[1]!BexGetData("DP_2","DL719O2RYNIY3MZ1QVCEEWBN7","17","F","37014011F101","2067217011")</f>
        <v>0</v>
      </c>
    </row>
    <row r="1992" spans="1:9" x14ac:dyDescent="0.2">
      <c r="A1992" s="46" t="s">
        <v>32</v>
      </c>
      <c r="B1992" s="46" t="s">
        <v>32</v>
      </c>
      <c r="C1992" s="46" t="s">
        <v>32</v>
      </c>
      <c r="D1992" s="46" t="s">
        <v>32</v>
      </c>
      <c r="E1992" s="46" t="s">
        <v>32</v>
      </c>
      <c r="F1992" s="47">
        <f>[1]!BexGetData("DP_2","DL719O2RYNC0Y217V0FVT1R77","17","F","37014011F101","2067246011")</f>
        <v>0</v>
      </c>
      <c r="G1992" s="48">
        <f>[1]!BexGetData("DP_2","DL719O2RYNEBZX0HTMQQ0BY0J","17","F","37014011F101","2067246011")</f>
        <v>0</v>
      </c>
      <c r="H1992" s="48">
        <f>[1]!BexGetData("DP_2","DL719O2RYNGN1RZRS91K7M4TV","17","F","37014011F101","2067246011")</f>
        <v>0</v>
      </c>
      <c r="I1992" s="48">
        <f>[1]!BexGetData("DP_2","DL719O2RYNIY3MZ1QVCEEWBN7","17","F","37014011F101","2067246011")</f>
        <v>0</v>
      </c>
    </row>
    <row r="1993" spans="1:9" x14ac:dyDescent="0.2">
      <c r="A1993" s="46" t="s">
        <v>32</v>
      </c>
      <c r="B1993" s="46" t="s">
        <v>32</v>
      </c>
      <c r="C1993" s="46" t="s">
        <v>32</v>
      </c>
      <c r="D1993" s="46" t="s">
        <v>32</v>
      </c>
      <c r="E1993" s="46" t="s">
        <v>32</v>
      </c>
      <c r="F1993" s="47">
        <f>[1]!BexGetData("DP_2","DL719O2RYNC0Y217V0FVT1R77","17","F","37014011F101","2067249011")</f>
        <v>0</v>
      </c>
      <c r="G1993" s="48">
        <f>[1]!BexGetData("DP_2","DL719O2RYNEBZX0HTMQQ0BY0J","17","F","37014011F101","2067249011")</f>
        <v>0</v>
      </c>
      <c r="H1993" s="48">
        <f>[1]!BexGetData("DP_2","DL719O2RYNGN1RZRS91K7M4TV","17","F","37014011F101","2067249011")</f>
        <v>0</v>
      </c>
      <c r="I1993" s="48">
        <f>[1]!BexGetData("DP_2","DL719O2RYNIY3MZ1QVCEEWBN7","17","F","37014011F101","2067249011")</f>
        <v>0</v>
      </c>
    </row>
    <row r="1994" spans="1:9" x14ac:dyDescent="0.2">
      <c r="A1994" s="46" t="s">
        <v>32</v>
      </c>
      <c r="B1994" s="46" t="s">
        <v>32</v>
      </c>
      <c r="C1994" s="46" t="s">
        <v>32</v>
      </c>
      <c r="D1994" s="46" t="s">
        <v>32</v>
      </c>
      <c r="E1994" s="46" t="s">
        <v>32</v>
      </c>
      <c r="F1994" s="47">
        <f>[1]!BexGetData("DP_2","DL719O2RYNC0Y217V0FVT1R77","17","F","37014011F101","2067336011")</f>
        <v>0</v>
      </c>
      <c r="G1994" s="48">
        <f>[1]!BexGetData("DP_2","DL719O2RYNEBZX0HTMQQ0BY0J","17","F","37014011F101","2067336011")</f>
        <v>0</v>
      </c>
      <c r="H1994" s="48">
        <f>[1]!BexGetData("DP_2","DL719O2RYNGN1RZRS91K7M4TV","17","F","37014011F101","2067336011")</f>
        <v>0</v>
      </c>
      <c r="I1994" s="48">
        <f>[1]!BexGetData("DP_2","DL719O2RYNIY3MZ1QVCEEWBN7","17","F","37014011F101","2067336011")</f>
        <v>0</v>
      </c>
    </row>
    <row r="1995" spans="1:9" x14ac:dyDescent="0.2">
      <c r="A1995" s="46" t="s">
        <v>32</v>
      </c>
      <c r="B1995" s="46" t="s">
        <v>32</v>
      </c>
      <c r="C1995" s="46" t="s">
        <v>32</v>
      </c>
      <c r="D1995" s="46" t="s">
        <v>32</v>
      </c>
      <c r="E1995" s="46" t="s">
        <v>32</v>
      </c>
      <c r="F1995" s="47">
        <f>[1]!BexGetData("DP_2","DL719O2RYNC0Y217V0FVT1R77","17","F","37014011F101","2067361011")</f>
        <v>317</v>
      </c>
      <c r="G1995" s="48">
        <f>[1]!BexGetData("DP_2","DL719O2RYNEBZX0HTMQQ0BY0J","17","F","37014011F101","2067361011")</f>
        <v>317</v>
      </c>
      <c r="H1995" s="48">
        <f>[1]!BexGetData("DP_2","DL719O2RYNGN1RZRS91K7M4TV","17","F","37014011F101","2067361011")</f>
        <v>317</v>
      </c>
      <c r="I1995" s="48">
        <f>[1]!BexGetData("DP_2","DL719O2RYNIY3MZ1QVCEEWBN7","17","F","37014011F101","2067361011")</f>
        <v>0</v>
      </c>
    </row>
    <row r="1996" spans="1:9" x14ac:dyDescent="0.2">
      <c r="A1996" s="46" t="s">
        <v>32</v>
      </c>
      <c r="B1996" s="46" t="s">
        <v>32</v>
      </c>
      <c r="C1996" s="46" t="s">
        <v>32</v>
      </c>
      <c r="D1996" s="46" t="s">
        <v>32</v>
      </c>
      <c r="E1996" s="46" t="s">
        <v>32</v>
      </c>
      <c r="F1996" s="47">
        <f>[1]!BexGetData("DP_2","DL719O2RYNC0Y217V0FVT1R77","17","F","37014011F101","2067372011")</f>
        <v>0</v>
      </c>
      <c r="G1996" s="48">
        <f>[1]!BexGetData("DP_2","DL719O2RYNEBZX0HTMQQ0BY0J","17","F","37014011F101","2067372011")</f>
        <v>0</v>
      </c>
      <c r="H1996" s="48">
        <f>[1]!BexGetData("DP_2","DL719O2RYNGN1RZRS91K7M4TV","17","F","37014011F101","2067372011")</f>
        <v>0</v>
      </c>
      <c r="I1996" s="48">
        <f>[1]!BexGetData("DP_2","DL719O2RYNIY3MZ1QVCEEWBN7","17","F","37014011F101","2067372011")</f>
        <v>0</v>
      </c>
    </row>
    <row r="1997" spans="1:9" x14ac:dyDescent="0.2">
      <c r="A1997" s="46" t="s">
        <v>32</v>
      </c>
      <c r="B1997" s="46" t="s">
        <v>32</v>
      </c>
      <c r="C1997" s="46" t="s">
        <v>32</v>
      </c>
      <c r="D1997" s="46" t="s">
        <v>32</v>
      </c>
      <c r="E1997" s="46" t="s">
        <v>32</v>
      </c>
      <c r="F1997" s="47">
        <f>[1]!BexGetData("DP_2","DL719O2RYNC0Y217V0FVT1R77","17","F","37014011F101","2067375011")</f>
        <v>0</v>
      </c>
      <c r="G1997" s="48">
        <f>[1]!BexGetData("DP_2","DL719O2RYNEBZX0HTMQQ0BY0J","17","F","37014011F101","2067375011")</f>
        <v>0</v>
      </c>
      <c r="H1997" s="48">
        <f>[1]!BexGetData("DP_2","DL719O2RYNGN1RZRS91K7M4TV","17","F","37014011F101","2067375011")</f>
        <v>0</v>
      </c>
      <c r="I1997" s="48">
        <f>[1]!BexGetData("DP_2","DL719O2RYNIY3MZ1QVCEEWBN7","17","F","37014011F101","2067375011")</f>
        <v>0</v>
      </c>
    </row>
    <row r="1998" spans="1:9" x14ac:dyDescent="0.2">
      <c r="A1998" s="46" t="s">
        <v>32</v>
      </c>
      <c r="B1998" s="46" t="s">
        <v>32</v>
      </c>
      <c r="C1998" s="46" t="s">
        <v>32</v>
      </c>
      <c r="D1998" s="46" t="s">
        <v>32</v>
      </c>
      <c r="E1998" s="46" t="s">
        <v>32</v>
      </c>
      <c r="F1998" s="47">
        <f>[1]!BexGetData("DP_2","DL719O2RYNC0Y217V0FVT1R77","17","F","37014011F101","2067382011")</f>
        <v>0</v>
      </c>
      <c r="G1998" s="48">
        <f>[1]!BexGetData("DP_2","DL719O2RYNEBZX0HTMQQ0BY0J","17","F","37014011F101","2067382011")</f>
        <v>0</v>
      </c>
      <c r="H1998" s="48">
        <f>[1]!BexGetData("DP_2","DL719O2RYNGN1RZRS91K7M4TV","17","F","37014011F101","2067382011")</f>
        <v>0</v>
      </c>
      <c r="I1998" s="48">
        <f>[1]!BexGetData("DP_2","DL719O2RYNIY3MZ1QVCEEWBN7","17","F","37014011F101","2067382011")</f>
        <v>0</v>
      </c>
    </row>
    <row r="1999" spans="1:9" x14ac:dyDescent="0.2">
      <c r="A1999" s="46" t="s">
        <v>32</v>
      </c>
      <c r="B1999" s="46" t="s">
        <v>32</v>
      </c>
      <c r="C1999" s="46" t="s">
        <v>135</v>
      </c>
      <c r="D1999" s="46" t="s">
        <v>135</v>
      </c>
      <c r="E1999" s="46" t="s">
        <v>32</v>
      </c>
      <c r="F1999" s="47">
        <f>[1]!BexGetData("DP_2","DL719O2RYNC0Y217V0FVT1R77","17","F","37014013F102","2067113011")</f>
        <v>31027.8</v>
      </c>
      <c r="G1999" s="48">
        <f>[1]!BexGetData("DP_2","DL719O2RYNEBZX0HTMQQ0BY0J","17","F","37014013F102","2067113011")</f>
        <v>31027.8</v>
      </c>
      <c r="H1999" s="48">
        <f>[1]!BexGetData("DP_2","DL719O2RYNGN1RZRS91K7M4TV","17","F","37014013F102","2067113011")</f>
        <v>31027.8</v>
      </c>
      <c r="I1999" s="48">
        <f>[1]!BexGetData("DP_2","DL719O2RYNIY3MZ1QVCEEWBN7","17","F","37014013F102","2067113011")</f>
        <v>0</v>
      </c>
    </row>
    <row r="2000" spans="1:9" x14ac:dyDescent="0.2">
      <c r="A2000" s="46" t="s">
        <v>32</v>
      </c>
      <c r="B2000" s="46" t="s">
        <v>32</v>
      </c>
      <c r="C2000" s="46" t="s">
        <v>32</v>
      </c>
      <c r="D2000" s="46" t="s">
        <v>32</v>
      </c>
      <c r="E2000" s="46" t="s">
        <v>32</v>
      </c>
      <c r="F2000" s="47">
        <f>[1]!BexGetData("DP_2","DL719O2RYNC0Y217V0FVT1R77","17","F","37014013F102","2067113021")</f>
        <v>214092.1</v>
      </c>
      <c r="G2000" s="48">
        <f>[1]!BexGetData("DP_2","DL719O2RYNEBZX0HTMQQ0BY0J","17","F","37014013F102","2067113021")</f>
        <v>214092.1</v>
      </c>
      <c r="H2000" s="48">
        <f>[1]!BexGetData("DP_2","DL719O2RYNGN1RZRS91K7M4TV","17","F","37014013F102","2067113021")</f>
        <v>214092.1</v>
      </c>
      <c r="I2000" s="48">
        <f>[1]!BexGetData("DP_2","DL719O2RYNIY3MZ1QVCEEWBN7","17","F","37014013F102","2067113021")</f>
        <v>0</v>
      </c>
    </row>
    <row r="2001" spans="1:9" x14ac:dyDescent="0.2">
      <c r="A2001" s="46" t="s">
        <v>32</v>
      </c>
      <c r="B2001" s="46" t="s">
        <v>32</v>
      </c>
      <c r="C2001" s="46" t="s">
        <v>32</v>
      </c>
      <c r="D2001" s="46" t="s">
        <v>32</v>
      </c>
      <c r="E2001" s="46" t="s">
        <v>32</v>
      </c>
      <c r="F2001" s="47">
        <f>[1]!BexGetData("DP_2","DL719O2RYNC0Y217V0FVT1R77","17","F","37014013F102","2067121011")</f>
        <v>144745.5</v>
      </c>
      <c r="G2001" s="48">
        <f>[1]!BexGetData("DP_2","DL719O2RYNEBZX0HTMQQ0BY0J","17","F","37014013F102","2067121011")</f>
        <v>144745.5</v>
      </c>
      <c r="H2001" s="48">
        <f>[1]!BexGetData("DP_2","DL719O2RYNGN1RZRS91K7M4TV","17","F","37014013F102","2067121011")</f>
        <v>144745.5</v>
      </c>
      <c r="I2001" s="48">
        <f>[1]!BexGetData("DP_2","DL719O2RYNIY3MZ1QVCEEWBN7","17","F","37014013F102","2067121011")</f>
        <v>0</v>
      </c>
    </row>
    <row r="2002" spans="1:9" x14ac:dyDescent="0.2">
      <c r="A2002" s="46" t="s">
        <v>32</v>
      </c>
      <c r="B2002" s="46" t="s">
        <v>32</v>
      </c>
      <c r="C2002" s="46" t="s">
        <v>32</v>
      </c>
      <c r="D2002" s="46" t="s">
        <v>32</v>
      </c>
      <c r="E2002" s="46" t="s">
        <v>32</v>
      </c>
      <c r="F2002" s="47">
        <f>[1]!BexGetData("DP_2","DL719O2RYNC0Y217V0FVT1R77","17","F","37014013F102","2067122011")</f>
        <v>183360.15</v>
      </c>
      <c r="G2002" s="48">
        <f>[1]!BexGetData("DP_2","DL719O2RYNEBZX0HTMQQ0BY0J","17","F","37014013F102","2067122011")</f>
        <v>183360.15</v>
      </c>
      <c r="H2002" s="48">
        <f>[1]!BexGetData("DP_2","DL719O2RYNGN1RZRS91K7M4TV","17","F","37014013F102","2067122011")</f>
        <v>183360.15</v>
      </c>
      <c r="I2002" s="48">
        <f>[1]!BexGetData("DP_2","DL719O2RYNIY3MZ1QVCEEWBN7","17","F","37014013F102","2067122011")</f>
        <v>0</v>
      </c>
    </row>
    <row r="2003" spans="1:9" x14ac:dyDescent="0.2">
      <c r="A2003" s="46" t="s">
        <v>32</v>
      </c>
      <c r="B2003" s="46" t="s">
        <v>32</v>
      </c>
      <c r="C2003" s="46" t="s">
        <v>32</v>
      </c>
      <c r="D2003" s="46" t="s">
        <v>32</v>
      </c>
      <c r="E2003" s="46" t="s">
        <v>32</v>
      </c>
      <c r="F2003" s="47">
        <f>[1]!BexGetData("DP_2","DL719O2RYNC0Y217V0FVT1R77","17","F","37014013F102","2067131011")</f>
        <v>727.43</v>
      </c>
      <c r="G2003" s="48">
        <f>[1]!BexGetData("DP_2","DL719O2RYNEBZX0HTMQQ0BY0J","17","F","37014013F102","2067131011")</f>
        <v>727.43</v>
      </c>
      <c r="H2003" s="48">
        <f>[1]!BexGetData("DP_2","DL719O2RYNGN1RZRS91K7M4TV","17","F","37014013F102","2067131011")</f>
        <v>727.43</v>
      </c>
      <c r="I2003" s="48">
        <f>[1]!BexGetData("DP_2","DL719O2RYNIY3MZ1QVCEEWBN7","17","F","37014013F102","2067131011")</f>
        <v>0</v>
      </c>
    </row>
    <row r="2004" spans="1:9" x14ac:dyDescent="0.2">
      <c r="A2004" s="46" t="s">
        <v>32</v>
      </c>
      <c r="B2004" s="46" t="s">
        <v>32</v>
      </c>
      <c r="C2004" s="46" t="s">
        <v>32</v>
      </c>
      <c r="D2004" s="46" t="s">
        <v>32</v>
      </c>
      <c r="E2004" s="46" t="s">
        <v>32</v>
      </c>
      <c r="F2004" s="47">
        <f>[1]!BexGetData("DP_2","DL719O2RYNC0Y217V0FVT1R77","17","F","37014013F102","2067132011")</f>
        <v>10008.469999999999</v>
      </c>
      <c r="G2004" s="48">
        <f>[1]!BexGetData("DP_2","DL719O2RYNEBZX0HTMQQ0BY0J","17","F","37014013F102","2067132011")</f>
        <v>10008.469999999999</v>
      </c>
      <c r="H2004" s="48">
        <f>[1]!BexGetData("DP_2","DL719O2RYNGN1RZRS91K7M4TV","17","F","37014013F102","2067132011")</f>
        <v>10008.469999999999</v>
      </c>
      <c r="I2004" s="48">
        <f>[1]!BexGetData("DP_2","DL719O2RYNIY3MZ1QVCEEWBN7","17","F","37014013F102","2067132011")</f>
        <v>0</v>
      </c>
    </row>
    <row r="2005" spans="1:9" x14ac:dyDescent="0.2">
      <c r="A2005" s="46" t="s">
        <v>32</v>
      </c>
      <c r="B2005" s="46" t="s">
        <v>32</v>
      </c>
      <c r="C2005" s="46" t="s">
        <v>32</v>
      </c>
      <c r="D2005" s="46" t="s">
        <v>32</v>
      </c>
      <c r="E2005" s="46" t="s">
        <v>32</v>
      </c>
      <c r="F2005" s="47">
        <f>[1]!BexGetData("DP_2","DL719O2RYNC0Y217V0FVT1R77","17","F","37014013F102","2067132021")</f>
        <v>73881.429999999993</v>
      </c>
      <c r="G2005" s="48">
        <f>[1]!BexGetData("DP_2","DL719O2RYNEBZX0HTMQQ0BY0J","17","F","37014013F102","2067132021")</f>
        <v>73881.429999999993</v>
      </c>
      <c r="H2005" s="48">
        <f>[1]!BexGetData("DP_2","DL719O2RYNGN1RZRS91K7M4TV","17","F","37014013F102","2067132021")</f>
        <v>73881.429999999993</v>
      </c>
      <c r="I2005" s="48">
        <f>[1]!BexGetData("DP_2","DL719O2RYNIY3MZ1QVCEEWBN7","17","F","37014013F102","2067132021")</f>
        <v>0</v>
      </c>
    </row>
    <row r="2006" spans="1:9" x14ac:dyDescent="0.2">
      <c r="A2006" s="46" t="s">
        <v>32</v>
      </c>
      <c r="B2006" s="46" t="s">
        <v>32</v>
      </c>
      <c r="C2006" s="46" t="s">
        <v>32</v>
      </c>
      <c r="D2006" s="46" t="s">
        <v>32</v>
      </c>
      <c r="E2006" s="46" t="s">
        <v>32</v>
      </c>
      <c r="F2006" s="47">
        <f>[1]!BexGetData("DP_2","DL719O2RYNC0Y217V0FVT1R77","17","F","37014013F102","2067134011")</f>
        <v>591961.18000000005</v>
      </c>
      <c r="G2006" s="48">
        <f>[1]!BexGetData("DP_2","DL719O2RYNEBZX0HTMQQ0BY0J","17","F","37014013F102","2067134011")</f>
        <v>591961.18000000005</v>
      </c>
      <c r="H2006" s="48">
        <f>[1]!BexGetData("DP_2","DL719O2RYNGN1RZRS91K7M4TV","17","F","37014013F102","2067134011")</f>
        <v>599716.14</v>
      </c>
      <c r="I2006" s="48">
        <f>[1]!BexGetData("DP_2","DL719O2RYNIY3MZ1QVCEEWBN7","17","F","37014013F102","2067134011")</f>
        <v>0</v>
      </c>
    </row>
    <row r="2007" spans="1:9" x14ac:dyDescent="0.2">
      <c r="A2007" s="46" t="s">
        <v>32</v>
      </c>
      <c r="B2007" s="46" t="s">
        <v>32</v>
      </c>
      <c r="C2007" s="46" t="s">
        <v>32</v>
      </c>
      <c r="D2007" s="46" t="s">
        <v>32</v>
      </c>
      <c r="E2007" s="46" t="s">
        <v>32</v>
      </c>
      <c r="F2007" s="47">
        <f>[1]!BexGetData("DP_2","DL719O2RYNC0Y217V0FVT1R77","17","F","37014013F102","2067134021")</f>
        <v>474888.01</v>
      </c>
      <c r="G2007" s="48">
        <f>[1]!BexGetData("DP_2","DL719O2RYNEBZX0HTMQQ0BY0J","17","F","37014013F102","2067134021")</f>
        <v>474888.01</v>
      </c>
      <c r="H2007" s="48">
        <f>[1]!BexGetData("DP_2","DL719O2RYNGN1RZRS91K7M4TV","17","F","37014013F102","2067134021")</f>
        <v>474888.01</v>
      </c>
      <c r="I2007" s="48">
        <f>[1]!BexGetData("DP_2","DL719O2RYNIY3MZ1QVCEEWBN7","17","F","37014013F102","2067134021")</f>
        <v>0</v>
      </c>
    </row>
    <row r="2008" spans="1:9" x14ac:dyDescent="0.2">
      <c r="A2008" s="46" t="s">
        <v>32</v>
      </c>
      <c r="B2008" s="46" t="s">
        <v>32</v>
      </c>
      <c r="C2008" s="46" t="s">
        <v>32</v>
      </c>
      <c r="D2008" s="46" t="s">
        <v>32</v>
      </c>
      <c r="E2008" s="46" t="s">
        <v>32</v>
      </c>
      <c r="F2008" s="47">
        <f>[1]!BexGetData("DP_2","DL719O2RYNC0Y217V0FVT1R77","17","F","37014013F102","2067141011")</f>
        <v>63086.85</v>
      </c>
      <c r="G2008" s="48">
        <f>[1]!BexGetData("DP_2","DL719O2RYNEBZX0HTMQQ0BY0J","17","F","37014013F102","2067141011")</f>
        <v>63086.85</v>
      </c>
      <c r="H2008" s="48">
        <f>[1]!BexGetData("DP_2","DL719O2RYNGN1RZRS91K7M4TV","17","F","37014013F102","2067141011")</f>
        <v>63086.85</v>
      </c>
      <c r="I2008" s="48">
        <f>[1]!BexGetData("DP_2","DL719O2RYNIY3MZ1QVCEEWBN7","17","F","37014013F102","2067141011")</f>
        <v>0</v>
      </c>
    </row>
    <row r="2009" spans="1:9" x14ac:dyDescent="0.2">
      <c r="A2009" s="46" t="s">
        <v>32</v>
      </c>
      <c r="B2009" s="46" t="s">
        <v>32</v>
      </c>
      <c r="C2009" s="46" t="s">
        <v>32</v>
      </c>
      <c r="D2009" s="46" t="s">
        <v>32</v>
      </c>
      <c r="E2009" s="46" t="s">
        <v>32</v>
      </c>
      <c r="F2009" s="47">
        <f>[1]!BexGetData("DP_2","DL719O2RYNC0Y217V0FVT1R77","17","F","37014013F102","2067141021")</f>
        <v>18180.990000000002</v>
      </c>
      <c r="G2009" s="48">
        <f>[1]!BexGetData("DP_2","DL719O2RYNEBZX0HTMQQ0BY0J","17","F","37014013F102","2067141021")</f>
        <v>18180.990000000002</v>
      </c>
      <c r="H2009" s="48">
        <f>[1]!BexGetData("DP_2","DL719O2RYNGN1RZRS91K7M4TV","17","F","37014013F102","2067141021")</f>
        <v>18180.990000000002</v>
      </c>
      <c r="I2009" s="48">
        <f>[1]!BexGetData("DP_2","DL719O2RYNIY3MZ1QVCEEWBN7","17","F","37014013F102","2067141021")</f>
        <v>0</v>
      </c>
    </row>
    <row r="2010" spans="1:9" x14ac:dyDescent="0.2">
      <c r="A2010" s="46" t="s">
        <v>32</v>
      </c>
      <c r="B2010" s="46" t="s">
        <v>32</v>
      </c>
      <c r="C2010" s="46" t="s">
        <v>32</v>
      </c>
      <c r="D2010" s="46" t="s">
        <v>32</v>
      </c>
      <c r="E2010" s="46" t="s">
        <v>32</v>
      </c>
      <c r="F2010" s="47">
        <f>[1]!BexGetData("DP_2","DL719O2RYNC0Y217V0FVT1R77","17","F","37014013F102","2067143011")</f>
        <v>8505.69</v>
      </c>
      <c r="G2010" s="48">
        <f>[1]!BexGetData("DP_2","DL719O2RYNEBZX0HTMQQ0BY0J","17","F","37014013F102","2067143011")</f>
        <v>8505.69</v>
      </c>
      <c r="H2010" s="48">
        <f>[1]!BexGetData("DP_2","DL719O2RYNGN1RZRS91K7M4TV","17","F","37014013F102","2067143011")</f>
        <v>8505.69</v>
      </c>
      <c r="I2010" s="48">
        <f>[1]!BexGetData("DP_2","DL719O2RYNIY3MZ1QVCEEWBN7","17","F","37014013F102","2067143011")</f>
        <v>0</v>
      </c>
    </row>
    <row r="2011" spans="1:9" x14ac:dyDescent="0.2">
      <c r="A2011" s="46" t="s">
        <v>32</v>
      </c>
      <c r="B2011" s="46" t="s">
        <v>32</v>
      </c>
      <c r="C2011" s="46" t="s">
        <v>32</v>
      </c>
      <c r="D2011" s="46" t="s">
        <v>32</v>
      </c>
      <c r="E2011" s="46" t="s">
        <v>32</v>
      </c>
      <c r="F2011" s="47">
        <f>[1]!BexGetData("DP_2","DL719O2RYNC0Y217V0FVT1R77","17","F","37014013F102","2067151011")</f>
        <v>29423.64</v>
      </c>
      <c r="G2011" s="48">
        <f>[1]!BexGetData("DP_2","DL719O2RYNEBZX0HTMQQ0BY0J","17","F","37014013F102","2067151011")</f>
        <v>29423.64</v>
      </c>
      <c r="H2011" s="48">
        <f>[1]!BexGetData("DP_2","DL719O2RYNGN1RZRS91K7M4TV","17","F","37014013F102","2067151011")</f>
        <v>29423.64</v>
      </c>
      <c r="I2011" s="48">
        <f>[1]!BexGetData("DP_2","DL719O2RYNIY3MZ1QVCEEWBN7","17","F","37014013F102","2067151011")</f>
        <v>0</v>
      </c>
    </row>
    <row r="2012" spans="1:9" x14ac:dyDescent="0.2">
      <c r="A2012" s="46" t="s">
        <v>32</v>
      </c>
      <c r="B2012" s="46" t="s">
        <v>32</v>
      </c>
      <c r="C2012" s="46" t="s">
        <v>32</v>
      </c>
      <c r="D2012" s="46" t="s">
        <v>32</v>
      </c>
      <c r="E2012" s="46" t="s">
        <v>32</v>
      </c>
      <c r="F2012" s="47">
        <f>[1]!BexGetData("DP_2","DL719O2RYNC0Y217V0FVT1R77","17","F","37014013F102","2067154011")</f>
        <v>61167.37</v>
      </c>
      <c r="G2012" s="48">
        <f>[1]!BexGetData("DP_2","DL719O2RYNEBZX0HTMQQ0BY0J","17","F","37014013F102","2067154011")</f>
        <v>61167.37</v>
      </c>
      <c r="H2012" s="48">
        <f>[1]!BexGetData("DP_2","DL719O2RYNGN1RZRS91K7M4TV","17","F","37014013F102","2067154011")</f>
        <v>61167.37</v>
      </c>
      <c r="I2012" s="48">
        <f>[1]!BexGetData("DP_2","DL719O2RYNIY3MZ1QVCEEWBN7","17","F","37014013F102","2067154011")</f>
        <v>0</v>
      </c>
    </row>
    <row r="2013" spans="1:9" x14ac:dyDescent="0.2">
      <c r="A2013" s="46" t="s">
        <v>32</v>
      </c>
      <c r="B2013" s="46" t="s">
        <v>32</v>
      </c>
      <c r="C2013" s="46" t="s">
        <v>32</v>
      </c>
      <c r="D2013" s="46" t="s">
        <v>32</v>
      </c>
      <c r="E2013" s="46" t="s">
        <v>32</v>
      </c>
      <c r="F2013" s="47">
        <f>[1]!BexGetData("DP_2","DL719O2RYNC0Y217V0FVT1R77","17","F","37014013F102","2067172011")</f>
        <v>10000</v>
      </c>
      <c r="G2013" s="48">
        <f>[1]!BexGetData("DP_2","DL719O2RYNEBZX0HTMQQ0BY0J","17","F","37014013F102","2067172011")</f>
        <v>10000</v>
      </c>
      <c r="H2013" s="48">
        <f>[1]!BexGetData("DP_2","DL719O2RYNGN1RZRS91K7M4TV","17","F","37014013F102","2067172011")</f>
        <v>10000</v>
      </c>
      <c r="I2013" s="48">
        <f>[1]!BexGetData("DP_2","DL719O2RYNIY3MZ1QVCEEWBN7","17","F","37014013F102","2067172011")</f>
        <v>0</v>
      </c>
    </row>
    <row r="2014" spans="1:9" x14ac:dyDescent="0.2">
      <c r="A2014" s="46" t="s">
        <v>32</v>
      </c>
      <c r="B2014" s="46" t="s">
        <v>32</v>
      </c>
      <c r="C2014" s="46" t="s">
        <v>32</v>
      </c>
      <c r="D2014" s="46" t="s">
        <v>32</v>
      </c>
      <c r="E2014" s="46" t="s">
        <v>32</v>
      </c>
      <c r="F2014" s="47">
        <f>[1]!BexGetData("DP_2","DL719O2RYNC0Y217V0FVT1R77","17","F","37014013F102","2067211011")</f>
        <v>15910.58</v>
      </c>
      <c r="G2014" s="48">
        <f>[1]!BexGetData("DP_2","DL719O2RYNEBZX0HTMQQ0BY0J","17","F","37014013F102","2067211011")</f>
        <v>15910.58</v>
      </c>
      <c r="H2014" s="48">
        <f>[1]!BexGetData("DP_2","DL719O2RYNGN1RZRS91K7M4TV","17","F","37014013F102","2067211011")</f>
        <v>15910.58</v>
      </c>
      <c r="I2014" s="48">
        <f>[1]!BexGetData("DP_2","DL719O2RYNIY3MZ1QVCEEWBN7","17","F","37014013F102","2067211011")</f>
        <v>0</v>
      </c>
    </row>
    <row r="2015" spans="1:9" x14ac:dyDescent="0.2">
      <c r="A2015" s="46" t="s">
        <v>32</v>
      </c>
      <c r="B2015" s="46" t="s">
        <v>32</v>
      </c>
      <c r="C2015" s="46" t="s">
        <v>32</v>
      </c>
      <c r="D2015" s="46" t="s">
        <v>32</v>
      </c>
      <c r="E2015" s="46" t="s">
        <v>32</v>
      </c>
      <c r="F2015" s="47">
        <f>[1]!BexGetData("DP_2","DL719O2RYNC0Y217V0FVT1R77","17","F","37014013F102","2067211021")</f>
        <v>296.89999999999998</v>
      </c>
      <c r="G2015" s="48">
        <f>[1]!BexGetData("DP_2","DL719O2RYNEBZX0HTMQQ0BY0J","17","F","37014013F102","2067211021")</f>
        <v>296.89999999999998</v>
      </c>
      <c r="H2015" s="48">
        <f>[1]!BexGetData("DP_2","DL719O2RYNGN1RZRS91K7M4TV","17","F","37014013F102","2067211021")</f>
        <v>296.89999999999998</v>
      </c>
      <c r="I2015" s="48">
        <f>[1]!BexGetData("DP_2","DL719O2RYNIY3MZ1QVCEEWBN7","17","F","37014013F102","2067211021")</f>
        <v>0</v>
      </c>
    </row>
    <row r="2016" spans="1:9" x14ac:dyDescent="0.2">
      <c r="A2016" s="46" t="s">
        <v>32</v>
      </c>
      <c r="B2016" s="46" t="s">
        <v>32</v>
      </c>
      <c r="C2016" s="46" t="s">
        <v>32</v>
      </c>
      <c r="D2016" s="46" t="s">
        <v>32</v>
      </c>
      <c r="E2016" s="46" t="s">
        <v>32</v>
      </c>
      <c r="F2016" s="47">
        <f>[1]!BexGetData("DP_2","DL719O2RYNC0Y217V0FVT1R77","17","F","37014013F102","2067214011")</f>
        <v>251.37</v>
      </c>
      <c r="G2016" s="48">
        <f>[1]!BexGetData("DP_2","DL719O2RYNEBZX0HTMQQ0BY0J","17","F","37014013F102","2067214011")</f>
        <v>251.37</v>
      </c>
      <c r="H2016" s="48">
        <f>[1]!BexGetData("DP_2","DL719O2RYNGN1RZRS91K7M4TV","17","F","37014013F102","2067214011")</f>
        <v>251.37</v>
      </c>
      <c r="I2016" s="48">
        <f>[1]!BexGetData("DP_2","DL719O2RYNIY3MZ1QVCEEWBN7","17","F","37014013F102","2067214011")</f>
        <v>0</v>
      </c>
    </row>
    <row r="2017" spans="1:9" x14ac:dyDescent="0.2">
      <c r="A2017" s="46" t="s">
        <v>32</v>
      </c>
      <c r="B2017" s="46" t="s">
        <v>32</v>
      </c>
      <c r="C2017" s="46" t="s">
        <v>32</v>
      </c>
      <c r="D2017" s="46" t="s">
        <v>32</v>
      </c>
      <c r="E2017" s="46" t="s">
        <v>32</v>
      </c>
      <c r="F2017" s="47">
        <f>[1]!BexGetData("DP_2","DL719O2RYNC0Y217V0FVT1R77","17","F","37014013F102","2067215021")</f>
        <v>123193.21</v>
      </c>
      <c r="G2017" s="48">
        <f>[1]!BexGetData("DP_2","DL719O2RYNEBZX0HTMQQ0BY0J","17","F","37014013F102","2067215021")</f>
        <v>123193.21</v>
      </c>
      <c r="H2017" s="48">
        <f>[1]!BexGetData("DP_2","DL719O2RYNGN1RZRS91K7M4TV","17","F","37014013F102","2067215021")</f>
        <v>25788.01</v>
      </c>
      <c r="I2017" s="48">
        <f>[1]!BexGetData("DP_2","DL719O2RYNIY3MZ1QVCEEWBN7","17","F","37014013F102","2067215021")</f>
        <v>0</v>
      </c>
    </row>
    <row r="2018" spans="1:9" x14ac:dyDescent="0.2">
      <c r="A2018" s="46" t="s">
        <v>32</v>
      </c>
      <c r="B2018" s="46" t="s">
        <v>32</v>
      </c>
      <c r="C2018" s="46" t="s">
        <v>32</v>
      </c>
      <c r="D2018" s="46" t="s">
        <v>32</v>
      </c>
      <c r="E2018" s="46" t="s">
        <v>32</v>
      </c>
      <c r="F2018" s="47">
        <f>[1]!BexGetData("DP_2","DL719O2RYNC0Y217V0FVT1R77","17","F","37014013F102","2067216011")</f>
        <v>10488.11</v>
      </c>
      <c r="G2018" s="48">
        <f>[1]!BexGetData("DP_2","DL719O2RYNEBZX0HTMQQ0BY0J","17","F","37014013F102","2067216011")</f>
        <v>10488.11</v>
      </c>
      <c r="H2018" s="48">
        <f>[1]!BexGetData("DP_2","DL719O2RYNGN1RZRS91K7M4TV","17","F","37014013F102","2067216011")</f>
        <v>6251.79</v>
      </c>
      <c r="I2018" s="48">
        <f>[1]!BexGetData("DP_2","DL719O2RYNIY3MZ1QVCEEWBN7","17","F","37014013F102","2067216011")</f>
        <v>0</v>
      </c>
    </row>
    <row r="2019" spans="1:9" x14ac:dyDescent="0.2">
      <c r="A2019" s="46" t="s">
        <v>32</v>
      </c>
      <c r="B2019" s="46" t="s">
        <v>32</v>
      </c>
      <c r="C2019" s="46" t="s">
        <v>32</v>
      </c>
      <c r="D2019" s="46" t="s">
        <v>32</v>
      </c>
      <c r="E2019" s="46" t="s">
        <v>32</v>
      </c>
      <c r="F2019" s="47">
        <f>[1]!BexGetData("DP_2","DL719O2RYNC0Y217V0FVT1R77","17","F","37014013F102","2067217011")</f>
        <v>70998.44</v>
      </c>
      <c r="G2019" s="48">
        <f>[1]!BexGetData("DP_2","DL719O2RYNEBZX0HTMQQ0BY0J","17","F","37014013F102","2067217011")</f>
        <v>70998.44</v>
      </c>
      <c r="H2019" s="48">
        <f>[1]!BexGetData("DP_2","DL719O2RYNGN1RZRS91K7M4TV","17","F","37014013F102","2067217011")</f>
        <v>70998.44</v>
      </c>
      <c r="I2019" s="48">
        <f>[1]!BexGetData("DP_2","DL719O2RYNIY3MZ1QVCEEWBN7","17","F","37014013F102","2067217011")</f>
        <v>0</v>
      </c>
    </row>
    <row r="2020" spans="1:9" x14ac:dyDescent="0.2">
      <c r="A2020" s="46" t="s">
        <v>32</v>
      </c>
      <c r="B2020" s="46" t="s">
        <v>32</v>
      </c>
      <c r="C2020" s="46" t="s">
        <v>32</v>
      </c>
      <c r="D2020" s="46" t="s">
        <v>32</v>
      </c>
      <c r="E2020" s="46" t="s">
        <v>32</v>
      </c>
      <c r="F2020" s="47">
        <f>[1]!BexGetData("DP_2","DL719O2RYNC0Y217V0FVT1R77","17","F","37014013F102","2067221011")</f>
        <v>10392.08</v>
      </c>
      <c r="G2020" s="48">
        <f>[1]!BexGetData("DP_2","DL719O2RYNEBZX0HTMQQ0BY0J","17","F","37014013F102","2067221011")</f>
        <v>10392.08</v>
      </c>
      <c r="H2020" s="48">
        <f>[1]!BexGetData("DP_2","DL719O2RYNGN1RZRS91K7M4TV","17","F","37014013F102","2067221011")</f>
        <v>10392.08</v>
      </c>
      <c r="I2020" s="48">
        <f>[1]!BexGetData("DP_2","DL719O2RYNIY3MZ1QVCEEWBN7","17","F","37014013F102","2067221011")</f>
        <v>0</v>
      </c>
    </row>
    <row r="2021" spans="1:9" x14ac:dyDescent="0.2">
      <c r="A2021" s="46" t="s">
        <v>32</v>
      </c>
      <c r="B2021" s="46" t="s">
        <v>32</v>
      </c>
      <c r="C2021" s="46" t="s">
        <v>32</v>
      </c>
      <c r="D2021" s="46" t="s">
        <v>32</v>
      </c>
      <c r="E2021" s="46" t="s">
        <v>32</v>
      </c>
      <c r="F2021" s="47">
        <f>[1]!BexGetData("DP_2","DL719O2RYNC0Y217V0FVT1R77","17","F","37014013F102","2067221021")</f>
        <v>8882.2000000000007</v>
      </c>
      <c r="G2021" s="48">
        <f>[1]!BexGetData("DP_2","DL719O2RYNEBZX0HTMQQ0BY0J","17","F","37014013F102","2067221021")</f>
        <v>8882.2000000000007</v>
      </c>
      <c r="H2021" s="48">
        <f>[1]!BexGetData("DP_2","DL719O2RYNGN1RZRS91K7M4TV","17","F","37014013F102","2067221021")</f>
        <v>8882.2000000000007</v>
      </c>
      <c r="I2021" s="48">
        <f>[1]!BexGetData("DP_2","DL719O2RYNIY3MZ1QVCEEWBN7","17","F","37014013F102","2067221021")</f>
        <v>0</v>
      </c>
    </row>
    <row r="2022" spans="1:9" x14ac:dyDescent="0.2">
      <c r="A2022" s="46" t="s">
        <v>32</v>
      </c>
      <c r="B2022" s="46" t="s">
        <v>32</v>
      </c>
      <c r="C2022" s="46" t="s">
        <v>32</v>
      </c>
      <c r="D2022" s="46" t="s">
        <v>32</v>
      </c>
      <c r="E2022" s="46" t="s">
        <v>32</v>
      </c>
      <c r="F2022" s="47">
        <f>[1]!BexGetData("DP_2","DL719O2RYNC0Y217V0FVT1R77","17","F","37014013F102","2067221031")</f>
        <v>30390.01</v>
      </c>
      <c r="G2022" s="48">
        <f>[1]!BexGetData("DP_2","DL719O2RYNEBZX0HTMQQ0BY0J","17","F","37014013F102","2067221031")</f>
        <v>30390.01</v>
      </c>
      <c r="H2022" s="48">
        <f>[1]!BexGetData("DP_2","DL719O2RYNGN1RZRS91K7M4TV","17","F","37014013F102","2067221031")</f>
        <v>30390.01</v>
      </c>
      <c r="I2022" s="48">
        <f>[1]!BexGetData("DP_2","DL719O2RYNIY3MZ1QVCEEWBN7","17","F","37014013F102","2067221031")</f>
        <v>0</v>
      </c>
    </row>
    <row r="2023" spans="1:9" x14ac:dyDescent="0.2">
      <c r="A2023" s="46" t="s">
        <v>32</v>
      </c>
      <c r="B2023" s="46" t="s">
        <v>32</v>
      </c>
      <c r="C2023" s="46" t="s">
        <v>32</v>
      </c>
      <c r="D2023" s="46" t="s">
        <v>32</v>
      </c>
      <c r="E2023" s="46" t="s">
        <v>32</v>
      </c>
      <c r="F2023" s="47">
        <f>[1]!BexGetData("DP_2","DL719O2RYNC0Y217V0FVT1R77","17","F","37014013F102","2067239011")</f>
        <v>12465</v>
      </c>
      <c r="G2023" s="48">
        <f>[1]!BexGetData("DP_2","DL719O2RYNEBZX0HTMQQ0BY0J","17","F","37014013F102","2067239011")</f>
        <v>12465</v>
      </c>
      <c r="H2023" s="48">
        <f>[1]!BexGetData("DP_2","DL719O2RYNGN1RZRS91K7M4TV","17","F","37014013F102","2067239011")</f>
        <v>3765</v>
      </c>
      <c r="I2023" s="48">
        <f>[1]!BexGetData("DP_2","DL719O2RYNIY3MZ1QVCEEWBN7","17","F","37014013F102","2067239011")</f>
        <v>0</v>
      </c>
    </row>
    <row r="2024" spans="1:9" x14ac:dyDescent="0.2">
      <c r="A2024" s="46" t="s">
        <v>32</v>
      </c>
      <c r="B2024" s="46" t="s">
        <v>32</v>
      </c>
      <c r="C2024" s="46" t="s">
        <v>32</v>
      </c>
      <c r="D2024" s="46" t="s">
        <v>32</v>
      </c>
      <c r="E2024" s="46" t="s">
        <v>32</v>
      </c>
      <c r="F2024" s="47">
        <f>[1]!BexGetData("DP_2","DL719O2RYNC0Y217V0FVT1R77","17","F","37014013F102","2067246011")</f>
        <v>1452.21</v>
      </c>
      <c r="G2024" s="48">
        <f>[1]!BexGetData("DP_2","DL719O2RYNEBZX0HTMQQ0BY0J","17","F","37014013F102","2067246011")</f>
        <v>1452.21</v>
      </c>
      <c r="H2024" s="48">
        <f>[1]!BexGetData("DP_2","DL719O2RYNGN1RZRS91K7M4TV","17","F","37014013F102","2067246011")</f>
        <v>1452.21</v>
      </c>
      <c r="I2024" s="48">
        <f>[1]!BexGetData("DP_2","DL719O2RYNIY3MZ1QVCEEWBN7","17","F","37014013F102","2067246011")</f>
        <v>0</v>
      </c>
    </row>
    <row r="2025" spans="1:9" x14ac:dyDescent="0.2">
      <c r="A2025" s="46" t="s">
        <v>32</v>
      </c>
      <c r="B2025" s="46" t="s">
        <v>32</v>
      </c>
      <c r="C2025" s="46" t="s">
        <v>32</v>
      </c>
      <c r="D2025" s="46" t="s">
        <v>32</v>
      </c>
      <c r="E2025" s="46" t="s">
        <v>32</v>
      </c>
      <c r="F2025" s="47">
        <f>[1]!BexGetData("DP_2","DL719O2RYNC0Y217V0FVT1R77","17","F","37014013F102","2067247011")</f>
        <v>31.8</v>
      </c>
      <c r="G2025" s="48">
        <f>[1]!BexGetData("DP_2","DL719O2RYNEBZX0HTMQQ0BY0J","17","F","37014013F102","2067247011")</f>
        <v>31.8</v>
      </c>
      <c r="H2025" s="48">
        <f>[1]!BexGetData("DP_2","DL719O2RYNGN1RZRS91K7M4TV","17","F","37014013F102","2067247011")</f>
        <v>31.8</v>
      </c>
      <c r="I2025" s="48">
        <f>[1]!BexGetData("DP_2","DL719O2RYNIY3MZ1QVCEEWBN7","17","F","37014013F102","2067247011")</f>
        <v>0</v>
      </c>
    </row>
    <row r="2026" spans="1:9" x14ac:dyDescent="0.2">
      <c r="A2026" s="46" t="s">
        <v>32</v>
      </c>
      <c r="B2026" s="46" t="s">
        <v>32</v>
      </c>
      <c r="C2026" s="46" t="s">
        <v>32</v>
      </c>
      <c r="D2026" s="46" t="s">
        <v>32</v>
      </c>
      <c r="E2026" s="46" t="s">
        <v>32</v>
      </c>
      <c r="F2026" s="47">
        <f>[1]!BexGetData("DP_2","DL719O2RYNC0Y217V0FVT1R77","17","F","37014013F102","2067249011")</f>
        <v>3398.89</v>
      </c>
      <c r="G2026" s="48">
        <f>[1]!BexGetData("DP_2","DL719O2RYNEBZX0HTMQQ0BY0J","17","F","37014013F102","2067249011")</f>
        <v>3398.89</v>
      </c>
      <c r="H2026" s="48">
        <f>[1]!BexGetData("DP_2","DL719O2RYNGN1RZRS91K7M4TV","17","F","37014013F102","2067249011")</f>
        <v>3398.89</v>
      </c>
      <c r="I2026" s="48">
        <f>[1]!BexGetData("DP_2","DL719O2RYNIY3MZ1QVCEEWBN7","17","F","37014013F102","2067249011")</f>
        <v>0</v>
      </c>
    </row>
    <row r="2027" spans="1:9" x14ac:dyDescent="0.2">
      <c r="A2027" s="46" t="s">
        <v>32</v>
      </c>
      <c r="B2027" s="46" t="s">
        <v>32</v>
      </c>
      <c r="C2027" s="46" t="s">
        <v>32</v>
      </c>
      <c r="D2027" s="46" t="s">
        <v>32</v>
      </c>
      <c r="E2027" s="46" t="s">
        <v>32</v>
      </c>
      <c r="F2027" s="47">
        <f>[1]!BexGetData("DP_2","DL719O2RYNC0Y217V0FVT1R77","17","F","37014013F102","2067252011")</f>
        <v>11769</v>
      </c>
      <c r="G2027" s="48">
        <f>[1]!BexGetData("DP_2","DL719O2RYNEBZX0HTMQQ0BY0J","17","F","37014013F102","2067252011")</f>
        <v>11769</v>
      </c>
      <c r="H2027" s="48">
        <f>[1]!BexGetData("DP_2","DL719O2RYNGN1RZRS91K7M4TV","17","F","37014013F102","2067252011")</f>
        <v>11769</v>
      </c>
      <c r="I2027" s="48">
        <f>[1]!BexGetData("DP_2","DL719O2RYNIY3MZ1QVCEEWBN7","17","F","37014013F102","2067252011")</f>
        <v>0</v>
      </c>
    </row>
    <row r="2028" spans="1:9" x14ac:dyDescent="0.2">
      <c r="A2028" s="46" t="s">
        <v>32</v>
      </c>
      <c r="B2028" s="46" t="s">
        <v>32</v>
      </c>
      <c r="C2028" s="46" t="s">
        <v>32</v>
      </c>
      <c r="D2028" s="46" t="s">
        <v>32</v>
      </c>
      <c r="E2028" s="46" t="s">
        <v>32</v>
      </c>
      <c r="F2028" s="47">
        <f>[1]!BexGetData("DP_2","DL719O2RYNC0Y217V0FVT1R77","17","F","37014013F102","2067253021")</f>
        <v>399.08</v>
      </c>
      <c r="G2028" s="48">
        <f>[1]!BexGetData("DP_2","DL719O2RYNEBZX0HTMQQ0BY0J","17","F","37014013F102","2067253021")</f>
        <v>399.08</v>
      </c>
      <c r="H2028" s="48">
        <f>[1]!BexGetData("DP_2","DL719O2RYNGN1RZRS91K7M4TV","17","F","37014013F102","2067253021")</f>
        <v>399.08</v>
      </c>
      <c r="I2028" s="48">
        <f>[1]!BexGetData("DP_2","DL719O2RYNIY3MZ1QVCEEWBN7","17","F","37014013F102","2067253021")</f>
        <v>0</v>
      </c>
    </row>
    <row r="2029" spans="1:9" x14ac:dyDescent="0.2">
      <c r="A2029" s="46" t="s">
        <v>32</v>
      </c>
      <c r="B2029" s="46" t="s">
        <v>32</v>
      </c>
      <c r="C2029" s="46" t="s">
        <v>32</v>
      </c>
      <c r="D2029" s="46" t="s">
        <v>32</v>
      </c>
      <c r="E2029" s="46" t="s">
        <v>32</v>
      </c>
      <c r="F2029" s="47">
        <f>[1]!BexGetData("DP_2","DL719O2RYNC0Y217V0FVT1R77","17","F","37014013F102","2067256011")</f>
        <v>20.88</v>
      </c>
      <c r="G2029" s="48">
        <f>[1]!BexGetData("DP_2","DL719O2RYNEBZX0HTMQQ0BY0J","17","F","37014013F102","2067256011")</f>
        <v>20.88</v>
      </c>
      <c r="H2029" s="48">
        <f>[1]!BexGetData("DP_2","DL719O2RYNGN1RZRS91K7M4TV","17","F","37014013F102","2067256011")</f>
        <v>20.88</v>
      </c>
      <c r="I2029" s="48">
        <f>[1]!BexGetData("DP_2","DL719O2RYNIY3MZ1QVCEEWBN7","17","F","37014013F102","2067256011")</f>
        <v>0</v>
      </c>
    </row>
    <row r="2030" spans="1:9" x14ac:dyDescent="0.2">
      <c r="A2030" s="46" t="s">
        <v>32</v>
      </c>
      <c r="B2030" s="46" t="s">
        <v>32</v>
      </c>
      <c r="C2030" s="46" t="s">
        <v>32</v>
      </c>
      <c r="D2030" s="46" t="s">
        <v>32</v>
      </c>
      <c r="E2030" s="46" t="s">
        <v>32</v>
      </c>
      <c r="F2030" s="47">
        <f>[1]!BexGetData("DP_2","DL719O2RYNC0Y217V0FVT1R77","17","F","37014013F102","2067261011")</f>
        <v>9356.1</v>
      </c>
      <c r="G2030" s="48">
        <f>[1]!BexGetData("DP_2","DL719O2RYNEBZX0HTMQQ0BY0J","17","F","37014013F102","2067261011")</f>
        <v>9356.1</v>
      </c>
      <c r="H2030" s="48">
        <f>[1]!BexGetData("DP_2","DL719O2RYNGN1RZRS91K7M4TV","17","F","37014013F102","2067261011")</f>
        <v>9356.1</v>
      </c>
      <c r="I2030" s="48">
        <f>[1]!BexGetData("DP_2","DL719O2RYNIY3MZ1QVCEEWBN7","17","F","37014013F102","2067261011")</f>
        <v>0</v>
      </c>
    </row>
    <row r="2031" spans="1:9" x14ac:dyDescent="0.2">
      <c r="A2031" s="46" t="s">
        <v>32</v>
      </c>
      <c r="B2031" s="46" t="s">
        <v>32</v>
      </c>
      <c r="C2031" s="46" t="s">
        <v>32</v>
      </c>
      <c r="D2031" s="46" t="s">
        <v>32</v>
      </c>
      <c r="E2031" s="46" t="s">
        <v>32</v>
      </c>
      <c r="F2031" s="47">
        <f>[1]!BexGetData("DP_2","DL719O2RYNC0Y217V0FVT1R77","17","F","37014013F102","2067271011")</f>
        <v>16205.2</v>
      </c>
      <c r="G2031" s="48">
        <f>[1]!BexGetData("DP_2","DL719O2RYNEBZX0HTMQQ0BY0J","17","F","37014013F102","2067271011")</f>
        <v>16205.2</v>
      </c>
      <c r="H2031" s="48">
        <f>[1]!BexGetData("DP_2","DL719O2RYNGN1RZRS91K7M4TV","17","F","37014013F102","2067271011")</f>
        <v>16205.2</v>
      </c>
      <c r="I2031" s="48">
        <f>[1]!BexGetData("DP_2","DL719O2RYNIY3MZ1QVCEEWBN7","17","F","37014013F102","2067271011")</f>
        <v>0</v>
      </c>
    </row>
    <row r="2032" spans="1:9" x14ac:dyDescent="0.2">
      <c r="A2032" s="46" t="s">
        <v>32</v>
      </c>
      <c r="B2032" s="46" t="s">
        <v>32</v>
      </c>
      <c r="C2032" s="46" t="s">
        <v>32</v>
      </c>
      <c r="D2032" s="46" t="s">
        <v>32</v>
      </c>
      <c r="E2032" s="46" t="s">
        <v>32</v>
      </c>
      <c r="F2032" s="47">
        <f>[1]!BexGetData("DP_2","DL719O2RYNC0Y217V0FVT1R77","17","F","37014013F102","2067274011")</f>
        <v>8947.5</v>
      </c>
      <c r="G2032" s="48">
        <f>[1]!BexGetData("DP_2","DL719O2RYNEBZX0HTMQQ0BY0J","17","F","37014013F102","2067274011")</f>
        <v>8947.5</v>
      </c>
      <c r="H2032" s="48">
        <f>[1]!BexGetData("DP_2","DL719O2RYNGN1RZRS91K7M4TV","17","F","37014013F102","2067274011")</f>
        <v>8947.5</v>
      </c>
      <c r="I2032" s="48">
        <f>[1]!BexGetData("DP_2","DL719O2RYNIY3MZ1QVCEEWBN7","17","F","37014013F102","2067274011")</f>
        <v>0</v>
      </c>
    </row>
    <row r="2033" spans="1:9" x14ac:dyDescent="0.2">
      <c r="A2033" s="46" t="s">
        <v>32</v>
      </c>
      <c r="B2033" s="46" t="s">
        <v>32</v>
      </c>
      <c r="C2033" s="46" t="s">
        <v>32</v>
      </c>
      <c r="D2033" s="46" t="s">
        <v>32</v>
      </c>
      <c r="E2033" s="46" t="s">
        <v>32</v>
      </c>
      <c r="F2033" s="47">
        <f>[1]!BexGetData("DP_2","DL719O2RYNC0Y217V0FVT1R77","17","F","37014013F102","2067291011")</f>
        <v>827.09</v>
      </c>
      <c r="G2033" s="48">
        <f>[1]!BexGetData("DP_2","DL719O2RYNEBZX0HTMQQ0BY0J","17","F","37014013F102","2067291011")</f>
        <v>827.09</v>
      </c>
      <c r="H2033" s="48">
        <f>[1]!BexGetData("DP_2","DL719O2RYNGN1RZRS91K7M4TV","17","F","37014013F102","2067291011")</f>
        <v>827.09</v>
      </c>
      <c r="I2033" s="48">
        <f>[1]!BexGetData("DP_2","DL719O2RYNIY3MZ1QVCEEWBN7","17","F","37014013F102","2067291011")</f>
        <v>0</v>
      </c>
    </row>
    <row r="2034" spans="1:9" x14ac:dyDescent="0.2">
      <c r="A2034" s="46" t="s">
        <v>32</v>
      </c>
      <c r="B2034" s="46" t="s">
        <v>32</v>
      </c>
      <c r="C2034" s="46" t="s">
        <v>32</v>
      </c>
      <c r="D2034" s="46" t="s">
        <v>32</v>
      </c>
      <c r="E2034" s="46" t="s">
        <v>32</v>
      </c>
      <c r="F2034" s="47">
        <f>[1]!BexGetData("DP_2","DL719O2RYNC0Y217V0FVT1R77","17","F","37014013F102","2067292011")</f>
        <v>48</v>
      </c>
      <c r="G2034" s="48">
        <f>[1]!BexGetData("DP_2","DL719O2RYNEBZX0HTMQQ0BY0J","17","F","37014013F102","2067292011")</f>
        <v>48</v>
      </c>
      <c r="H2034" s="48">
        <f>[1]!BexGetData("DP_2","DL719O2RYNGN1RZRS91K7M4TV","17","F","37014013F102","2067292011")</f>
        <v>48</v>
      </c>
      <c r="I2034" s="48">
        <f>[1]!BexGetData("DP_2","DL719O2RYNIY3MZ1QVCEEWBN7","17","F","37014013F102","2067292011")</f>
        <v>0</v>
      </c>
    </row>
    <row r="2035" spans="1:9" x14ac:dyDescent="0.2">
      <c r="A2035" s="46" t="s">
        <v>32</v>
      </c>
      <c r="B2035" s="46" t="s">
        <v>32</v>
      </c>
      <c r="C2035" s="46" t="s">
        <v>32</v>
      </c>
      <c r="D2035" s="46" t="s">
        <v>32</v>
      </c>
      <c r="E2035" s="46" t="s">
        <v>32</v>
      </c>
      <c r="F2035" s="47">
        <f>[1]!BexGetData("DP_2","DL719O2RYNC0Y217V0FVT1R77","17","F","37014013F102","2067293031")</f>
        <v>185</v>
      </c>
      <c r="G2035" s="48">
        <f>[1]!BexGetData("DP_2","DL719O2RYNEBZX0HTMQQ0BY0J","17","F","37014013F102","2067293031")</f>
        <v>185</v>
      </c>
      <c r="H2035" s="48">
        <f>[1]!BexGetData("DP_2","DL719O2RYNGN1RZRS91K7M4TV","17","F","37014013F102","2067293031")</f>
        <v>185</v>
      </c>
      <c r="I2035" s="48">
        <f>[1]!BexGetData("DP_2","DL719O2RYNIY3MZ1QVCEEWBN7","17","F","37014013F102","2067293031")</f>
        <v>0</v>
      </c>
    </row>
    <row r="2036" spans="1:9" x14ac:dyDescent="0.2">
      <c r="A2036" s="46" t="s">
        <v>32</v>
      </c>
      <c r="B2036" s="46" t="s">
        <v>32</v>
      </c>
      <c r="C2036" s="46" t="s">
        <v>32</v>
      </c>
      <c r="D2036" s="46" t="s">
        <v>32</v>
      </c>
      <c r="E2036" s="46" t="s">
        <v>32</v>
      </c>
      <c r="F2036" s="47">
        <f>[1]!BexGetData("DP_2","DL719O2RYNC0Y217V0FVT1R77","17","F","37014013F102","2067294011")</f>
        <v>1078.8</v>
      </c>
      <c r="G2036" s="48">
        <f>[1]!BexGetData("DP_2","DL719O2RYNEBZX0HTMQQ0BY0J","17","F","37014013F102","2067294011")</f>
        <v>1078.8</v>
      </c>
      <c r="H2036" s="48">
        <f>[1]!BexGetData("DP_2","DL719O2RYNGN1RZRS91K7M4TV","17","F","37014013F102","2067294011")</f>
        <v>1078.8</v>
      </c>
      <c r="I2036" s="48">
        <f>[1]!BexGetData("DP_2","DL719O2RYNIY3MZ1QVCEEWBN7","17","F","37014013F102","2067294011")</f>
        <v>0</v>
      </c>
    </row>
    <row r="2037" spans="1:9" x14ac:dyDescent="0.2">
      <c r="A2037" s="46" t="s">
        <v>32</v>
      </c>
      <c r="B2037" s="46" t="s">
        <v>32</v>
      </c>
      <c r="C2037" s="46" t="s">
        <v>32</v>
      </c>
      <c r="D2037" s="46" t="s">
        <v>32</v>
      </c>
      <c r="E2037" s="46" t="s">
        <v>32</v>
      </c>
      <c r="F2037" s="47">
        <f>[1]!BexGetData("DP_2","DL719O2RYNC0Y217V0FVT1R77","17","F","37014013F102","2067311011")</f>
        <v>282</v>
      </c>
      <c r="G2037" s="48">
        <f>[1]!BexGetData("DP_2","DL719O2RYNEBZX0HTMQQ0BY0J","17","F","37014013F102","2067311011")</f>
        <v>282</v>
      </c>
      <c r="H2037" s="48">
        <f>[1]!BexGetData("DP_2","DL719O2RYNGN1RZRS91K7M4TV","17","F","37014013F102","2067311011")</f>
        <v>282</v>
      </c>
      <c r="I2037" s="48">
        <f>[1]!BexGetData("DP_2","DL719O2RYNIY3MZ1QVCEEWBN7","17","F","37014013F102","2067311011")</f>
        <v>0</v>
      </c>
    </row>
    <row r="2038" spans="1:9" x14ac:dyDescent="0.2">
      <c r="A2038" s="46" t="s">
        <v>32</v>
      </c>
      <c r="B2038" s="46" t="s">
        <v>32</v>
      </c>
      <c r="C2038" s="46" t="s">
        <v>32</v>
      </c>
      <c r="D2038" s="46" t="s">
        <v>32</v>
      </c>
      <c r="E2038" s="46" t="s">
        <v>32</v>
      </c>
      <c r="F2038" s="47">
        <f>[1]!BexGetData("DP_2","DL719O2RYNC0Y217V0FVT1R77","17","F","37014013F102","2067312011")</f>
        <v>0</v>
      </c>
      <c r="G2038" s="48">
        <f>[1]!BexGetData("DP_2","DL719O2RYNEBZX0HTMQQ0BY0J","17","F","37014013F102","2067312011")</f>
        <v>0</v>
      </c>
      <c r="H2038" s="48">
        <f>[1]!BexGetData("DP_2","DL719O2RYNGN1RZRS91K7M4TV","17","F","37014013F102","2067312011")</f>
        <v>0</v>
      </c>
      <c r="I2038" s="48">
        <f>[1]!BexGetData("DP_2","DL719O2RYNIY3MZ1QVCEEWBN7","17","F","37014013F102","2067312011")</f>
        <v>0</v>
      </c>
    </row>
    <row r="2039" spans="1:9" x14ac:dyDescent="0.2">
      <c r="A2039" s="46" t="s">
        <v>32</v>
      </c>
      <c r="B2039" s="46" t="s">
        <v>32</v>
      </c>
      <c r="C2039" s="46" t="s">
        <v>32</v>
      </c>
      <c r="D2039" s="46" t="s">
        <v>32</v>
      </c>
      <c r="E2039" s="46" t="s">
        <v>32</v>
      </c>
      <c r="F2039" s="47">
        <f>[1]!BexGetData("DP_2","DL719O2RYNC0Y217V0FVT1R77","17","F","37014013F102","2067325011")</f>
        <v>18000</v>
      </c>
      <c r="G2039" s="48">
        <f>[1]!BexGetData("DP_2","DL719O2RYNEBZX0HTMQQ0BY0J","17","F","37014013F102","2067325011")</f>
        <v>18000</v>
      </c>
      <c r="H2039" s="48">
        <f>[1]!BexGetData("DP_2","DL719O2RYNGN1RZRS91K7M4TV","17","F","37014013F102","2067325011")</f>
        <v>18000</v>
      </c>
      <c r="I2039" s="48">
        <f>[1]!BexGetData("DP_2","DL719O2RYNIY3MZ1QVCEEWBN7","17","F","37014013F102","2067325011")</f>
        <v>0</v>
      </c>
    </row>
    <row r="2040" spans="1:9" x14ac:dyDescent="0.2">
      <c r="A2040" s="46" t="s">
        <v>32</v>
      </c>
      <c r="B2040" s="46" t="s">
        <v>32</v>
      </c>
      <c r="C2040" s="46" t="s">
        <v>32</v>
      </c>
      <c r="D2040" s="46" t="s">
        <v>32</v>
      </c>
      <c r="E2040" s="46" t="s">
        <v>32</v>
      </c>
      <c r="F2040" s="47">
        <f>[1]!BexGetData("DP_2","DL719O2RYNC0Y217V0FVT1R77","17","F","37014013F102","2067327011")</f>
        <v>0</v>
      </c>
      <c r="G2040" s="48">
        <f>[1]!BexGetData("DP_2","DL719O2RYNEBZX0HTMQQ0BY0J","17","F","37014013F102","2067327011")</f>
        <v>0</v>
      </c>
      <c r="H2040" s="48">
        <f>[1]!BexGetData("DP_2","DL719O2RYNGN1RZRS91K7M4TV","17","F","37014013F102","2067327011")</f>
        <v>0</v>
      </c>
      <c r="I2040" s="48">
        <f>[1]!BexGetData("DP_2","DL719O2RYNIY3MZ1QVCEEWBN7","17","F","37014013F102","2067327011")</f>
        <v>0</v>
      </c>
    </row>
    <row r="2041" spans="1:9" x14ac:dyDescent="0.2">
      <c r="A2041" s="46" t="s">
        <v>32</v>
      </c>
      <c r="B2041" s="46" t="s">
        <v>32</v>
      </c>
      <c r="C2041" s="46" t="s">
        <v>32</v>
      </c>
      <c r="D2041" s="46" t="s">
        <v>32</v>
      </c>
      <c r="E2041" s="46" t="s">
        <v>32</v>
      </c>
      <c r="F2041" s="47">
        <f>[1]!BexGetData("DP_2","DL719O2RYNC0Y217V0FVT1R77","17","F","37014013F102","2067329011")</f>
        <v>852154.63</v>
      </c>
      <c r="G2041" s="48">
        <f>[1]!BexGetData("DP_2","DL719O2RYNEBZX0HTMQQ0BY0J","17","F","37014013F102","2067329011")</f>
        <v>852154.63</v>
      </c>
      <c r="H2041" s="48">
        <f>[1]!BexGetData("DP_2","DL719O2RYNGN1RZRS91K7M4TV","17","F","37014013F102","2067329011")</f>
        <v>407234.63</v>
      </c>
      <c r="I2041" s="48">
        <f>[1]!BexGetData("DP_2","DL719O2RYNIY3MZ1QVCEEWBN7","17","F","37014013F102","2067329011")</f>
        <v>0</v>
      </c>
    </row>
    <row r="2042" spans="1:9" x14ac:dyDescent="0.2">
      <c r="A2042" s="46" t="s">
        <v>32</v>
      </c>
      <c r="B2042" s="46" t="s">
        <v>32</v>
      </c>
      <c r="C2042" s="46" t="s">
        <v>32</v>
      </c>
      <c r="D2042" s="46" t="s">
        <v>32</v>
      </c>
      <c r="E2042" s="46" t="s">
        <v>32</v>
      </c>
      <c r="F2042" s="47">
        <f>[1]!BexGetData("DP_2","DL719O2RYNC0Y217V0FVT1R77","17","F","37014013F102","2067335011")</f>
        <v>0</v>
      </c>
      <c r="G2042" s="48">
        <f>[1]!BexGetData("DP_2","DL719O2RYNEBZX0HTMQQ0BY0J","17","F","37014013F102","2067335011")</f>
        <v>0</v>
      </c>
      <c r="H2042" s="48">
        <f>[1]!BexGetData("DP_2","DL719O2RYNGN1RZRS91K7M4TV","17","F","37014013F102","2067335011")</f>
        <v>0</v>
      </c>
      <c r="I2042" s="48">
        <f>[1]!BexGetData("DP_2","DL719O2RYNIY3MZ1QVCEEWBN7","17","F","37014013F102","2067335011")</f>
        <v>0</v>
      </c>
    </row>
    <row r="2043" spans="1:9" x14ac:dyDescent="0.2">
      <c r="A2043" s="46" t="s">
        <v>32</v>
      </c>
      <c r="B2043" s="46" t="s">
        <v>32</v>
      </c>
      <c r="C2043" s="46" t="s">
        <v>32</v>
      </c>
      <c r="D2043" s="46" t="s">
        <v>32</v>
      </c>
      <c r="E2043" s="46" t="s">
        <v>32</v>
      </c>
      <c r="F2043" s="47">
        <f>[1]!BexGetData("DP_2","DL719O2RYNC0Y217V0FVT1R77","17","F","37014013F102","2067336011")</f>
        <v>134422.32999999999</v>
      </c>
      <c r="G2043" s="48">
        <f>[1]!BexGetData("DP_2","DL719O2RYNEBZX0HTMQQ0BY0J","17","F","37014013F102","2067336011")</f>
        <v>134422.32999999999</v>
      </c>
      <c r="H2043" s="48">
        <f>[1]!BexGetData("DP_2","DL719O2RYNGN1RZRS91K7M4TV","17","F","37014013F102","2067336011")</f>
        <v>101462.23</v>
      </c>
      <c r="I2043" s="48">
        <f>[1]!BexGetData("DP_2","DL719O2RYNIY3MZ1QVCEEWBN7","17","F","37014013F102","2067336011")</f>
        <v>0</v>
      </c>
    </row>
    <row r="2044" spans="1:9" x14ac:dyDescent="0.2">
      <c r="A2044" s="46" t="s">
        <v>32</v>
      </c>
      <c r="B2044" s="46" t="s">
        <v>32</v>
      </c>
      <c r="C2044" s="46" t="s">
        <v>32</v>
      </c>
      <c r="D2044" s="46" t="s">
        <v>32</v>
      </c>
      <c r="E2044" s="46" t="s">
        <v>32</v>
      </c>
      <c r="F2044" s="47">
        <f>[1]!BexGetData("DP_2","DL719O2RYNC0Y217V0FVT1R77","17","F","37014013F102","2067339011")</f>
        <v>169711</v>
      </c>
      <c r="G2044" s="48">
        <f>[1]!BexGetData("DP_2","DL719O2RYNEBZX0HTMQQ0BY0J","17","F","37014013F102","2067339011")</f>
        <v>169711</v>
      </c>
      <c r="H2044" s="48">
        <f>[1]!BexGetData("DP_2","DL719O2RYNGN1RZRS91K7M4TV","17","F","37014013F102","2067339011")</f>
        <v>143819.79999999999</v>
      </c>
      <c r="I2044" s="48">
        <f>[1]!BexGetData("DP_2","DL719O2RYNIY3MZ1QVCEEWBN7","17","F","37014013F102","2067339011")</f>
        <v>0</v>
      </c>
    </row>
    <row r="2045" spans="1:9" x14ac:dyDescent="0.2">
      <c r="A2045" s="46" t="s">
        <v>32</v>
      </c>
      <c r="B2045" s="46" t="s">
        <v>32</v>
      </c>
      <c r="C2045" s="46" t="s">
        <v>32</v>
      </c>
      <c r="D2045" s="46" t="s">
        <v>32</v>
      </c>
      <c r="E2045" s="46" t="s">
        <v>32</v>
      </c>
      <c r="F2045" s="47">
        <f>[1]!BexGetData("DP_2","DL719O2RYNC0Y217V0FVT1R77","17","F","37014013F102","2067347011")</f>
        <v>111480.01</v>
      </c>
      <c r="G2045" s="48">
        <f>[1]!BexGetData("DP_2","DL719O2RYNEBZX0HTMQQ0BY0J","17","F","37014013F102","2067347011")</f>
        <v>111480.01</v>
      </c>
      <c r="H2045" s="48">
        <f>[1]!BexGetData("DP_2","DL719O2RYNGN1RZRS91K7M4TV","17","F","37014013F102","2067347011")</f>
        <v>111480.01</v>
      </c>
      <c r="I2045" s="48">
        <f>[1]!BexGetData("DP_2","DL719O2RYNIY3MZ1QVCEEWBN7","17","F","37014013F102","2067347011")</f>
        <v>0</v>
      </c>
    </row>
    <row r="2046" spans="1:9" x14ac:dyDescent="0.2">
      <c r="A2046" s="46" t="s">
        <v>32</v>
      </c>
      <c r="B2046" s="46" t="s">
        <v>32</v>
      </c>
      <c r="C2046" s="46" t="s">
        <v>32</v>
      </c>
      <c r="D2046" s="46" t="s">
        <v>32</v>
      </c>
      <c r="E2046" s="46" t="s">
        <v>32</v>
      </c>
      <c r="F2046" s="47">
        <f>[1]!BexGetData("DP_2","DL719O2RYNC0Y217V0FVT1R77","17","F","37014013F102","2067352011")</f>
        <v>638</v>
      </c>
      <c r="G2046" s="48">
        <f>[1]!BexGetData("DP_2","DL719O2RYNEBZX0HTMQQ0BY0J","17","F","37014013F102","2067352011")</f>
        <v>638</v>
      </c>
      <c r="H2046" s="48">
        <f>[1]!BexGetData("DP_2","DL719O2RYNGN1RZRS91K7M4TV","17","F","37014013F102","2067352011")</f>
        <v>638</v>
      </c>
      <c r="I2046" s="48">
        <f>[1]!BexGetData("DP_2","DL719O2RYNIY3MZ1QVCEEWBN7","17","F","37014013F102","2067352011")</f>
        <v>0</v>
      </c>
    </row>
    <row r="2047" spans="1:9" x14ac:dyDescent="0.2">
      <c r="A2047" s="46" t="s">
        <v>32</v>
      </c>
      <c r="B2047" s="46" t="s">
        <v>32</v>
      </c>
      <c r="C2047" s="46" t="s">
        <v>32</v>
      </c>
      <c r="D2047" s="46" t="s">
        <v>32</v>
      </c>
      <c r="E2047" s="46" t="s">
        <v>32</v>
      </c>
      <c r="F2047" s="47">
        <f>[1]!BexGetData("DP_2","DL719O2RYNC0Y217V0FVT1R77","17","F","37014013F102","2067357091")</f>
        <v>21228</v>
      </c>
      <c r="G2047" s="48">
        <f>[1]!BexGetData("DP_2","DL719O2RYNEBZX0HTMQQ0BY0J","17","F","37014013F102","2067357091")</f>
        <v>21228</v>
      </c>
      <c r="H2047" s="48">
        <f>[1]!BexGetData("DP_2","DL719O2RYNGN1RZRS91K7M4TV","17","F","37014013F102","2067357091")</f>
        <v>21228</v>
      </c>
      <c r="I2047" s="48">
        <f>[1]!BexGetData("DP_2","DL719O2RYNIY3MZ1QVCEEWBN7","17","F","37014013F102","2067357091")</f>
        <v>0</v>
      </c>
    </row>
    <row r="2048" spans="1:9" x14ac:dyDescent="0.2">
      <c r="A2048" s="46" t="s">
        <v>32</v>
      </c>
      <c r="B2048" s="46" t="s">
        <v>32</v>
      </c>
      <c r="C2048" s="46" t="s">
        <v>32</v>
      </c>
      <c r="D2048" s="46" t="s">
        <v>32</v>
      </c>
      <c r="E2048" s="46" t="s">
        <v>32</v>
      </c>
      <c r="F2048" s="47">
        <f>[1]!BexGetData("DP_2","DL719O2RYNC0Y217V0FVT1R77","17","F","37014013F102","2067358011")</f>
        <v>36308</v>
      </c>
      <c r="G2048" s="48">
        <f>[1]!BexGetData("DP_2","DL719O2RYNEBZX0HTMQQ0BY0J","17","F","37014013F102","2067358011")</f>
        <v>36308</v>
      </c>
      <c r="H2048" s="48">
        <f>[1]!BexGetData("DP_2","DL719O2RYNGN1RZRS91K7M4TV","17","F","37014013F102","2067358011")</f>
        <v>0</v>
      </c>
      <c r="I2048" s="48">
        <f>[1]!BexGetData("DP_2","DL719O2RYNIY3MZ1QVCEEWBN7","17","F","37014013F102","2067358011")</f>
        <v>0</v>
      </c>
    </row>
    <row r="2049" spans="1:9" x14ac:dyDescent="0.2">
      <c r="A2049" s="46" t="s">
        <v>32</v>
      </c>
      <c r="B2049" s="46" t="s">
        <v>32</v>
      </c>
      <c r="C2049" s="46" t="s">
        <v>32</v>
      </c>
      <c r="D2049" s="46" t="s">
        <v>32</v>
      </c>
      <c r="E2049" s="46" t="s">
        <v>32</v>
      </c>
      <c r="F2049" s="47">
        <f>[1]!BexGetData("DP_2","DL719O2RYNC0Y217V0FVT1R77","17","F","37014013F102","2067361011")</f>
        <v>42495.44</v>
      </c>
      <c r="G2049" s="48">
        <f>[1]!BexGetData("DP_2","DL719O2RYNEBZX0HTMQQ0BY0J","17","F","37014013F102","2067361011")</f>
        <v>42495.44</v>
      </c>
      <c r="H2049" s="48">
        <f>[1]!BexGetData("DP_2","DL719O2RYNGN1RZRS91K7M4TV","17","F","37014013F102","2067361011")</f>
        <v>42495.44</v>
      </c>
      <c r="I2049" s="48">
        <f>[1]!BexGetData("DP_2","DL719O2RYNIY3MZ1QVCEEWBN7","17","F","37014013F102","2067361011")</f>
        <v>0</v>
      </c>
    </row>
    <row r="2050" spans="1:9" x14ac:dyDescent="0.2">
      <c r="A2050" s="46" t="s">
        <v>32</v>
      </c>
      <c r="B2050" s="46" t="s">
        <v>32</v>
      </c>
      <c r="C2050" s="46" t="s">
        <v>32</v>
      </c>
      <c r="D2050" s="46" t="s">
        <v>32</v>
      </c>
      <c r="E2050" s="46" t="s">
        <v>32</v>
      </c>
      <c r="F2050" s="47">
        <f>[1]!BexGetData("DP_2","DL719O2RYNC0Y217V0FVT1R77","17","F","37014013F102","2067364011")</f>
        <v>472.12</v>
      </c>
      <c r="G2050" s="48">
        <f>[1]!BexGetData("DP_2","DL719O2RYNEBZX0HTMQQ0BY0J","17","F","37014013F102","2067364011")</f>
        <v>472.12</v>
      </c>
      <c r="H2050" s="48">
        <f>[1]!BexGetData("DP_2","DL719O2RYNGN1RZRS91K7M4TV","17","F","37014013F102","2067364011")</f>
        <v>472.12</v>
      </c>
      <c r="I2050" s="48">
        <f>[1]!BexGetData("DP_2","DL719O2RYNIY3MZ1QVCEEWBN7","17","F","37014013F102","2067364011")</f>
        <v>0</v>
      </c>
    </row>
    <row r="2051" spans="1:9" x14ac:dyDescent="0.2">
      <c r="A2051" s="46" t="s">
        <v>32</v>
      </c>
      <c r="B2051" s="46" t="s">
        <v>32</v>
      </c>
      <c r="C2051" s="46" t="s">
        <v>32</v>
      </c>
      <c r="D2051" s="46" t="s">
        <v>32</v>
      </c>
      <c r="E2051" s="46" t="s">
        <v>32</v>
      </c>
      <c r="F2051" s="47">
        <f>[1]!BexGetData("DP_2","DL719O2RYNC0Y217V0FVT1R77","17","F","37014013F102","2067371011")</f>
        <v>38400.980000000003</v>
      </c>
      <c r="G2051" s="48">
        <f>[1]!BexGetData("DP_2","DL719O2RYNEBZX0HTMQQ0BY0J","17","F","37014013F102","2067371011")</f>
        <v>38400.980000000003</v>
      </c>
      <c r="H2051" s="48">
        <f>[1]!BexGetData("DP_2","DL719O2RYNGN1RZRS91K7M4TV","17","F","37014013F102","2067371011")</f>
        <v>38400.980000000003</v>
      </c>
      <c r="I2051" s="48">
        <f>[1]!BexGetData("DP_2","DL719O2RYNIY3MZ1QVCEEWBN7","17","F","37014013F102","2067371011")</f>
        <v>0</v>
      </c>
    </row>
    <row r="2052" spans="1:9" x14ac:dyDescent="0.2">
      <c r="A2052" s="46" t="s">
        <v>32</v>
      </c>
      <c r="B2052" s="46" t="s">
        <v>32</v>
      </c>
      <c r="C2052" s="46" t="s">
        <v>32</v>
      </c>
      <c r="D2052" s="46" t="s">
        <v>32</v>
      </c>
      <c r="E2052" s="46" t="s">
        <v>32</v>
      </c>
      <c r="F2052" s="47">
        <f>[1]!BexGetData("DP_2","DL719O2RYNC0Y217V0FVT1R77","17","F","37014013F102","2067371021")</f>
        <v>58851.44</v>
      </c>
      <c r="G2052" s="48">
        <f>[1]!BexGetData("DP_2","DL719O2RYNEBZX0HTMQQ0BY0J","17","F","37014013F102","2067371021")</f>
        <v>58851.44</v>
      </c>
      <c r="H2052" s="48">
        <f>[1]!BexGetData("DP_2","DL719O2RYNGN1RZRS91K7M4TV","17","F","37014013F102","2067371021")</f>
        <v>58851.44</v>
      </c>
      <c r="I2052" s="48">
        <f>[1]!BexGetData("DP_2","DL719O2RYNIY3MZ1QVCEEWBN7","17","F","37014013F102","2067371021")</f>
        <v>0</v>
      </c>
    </row>
    <row r="2053" spans="1:9" x14ac:dyDescent="0.2">
      <c r="A2053" s="46" t="s">
        <v>32</v>
      </c>
      <c r="B2053" s="46" t="s">
        <v>32</v>
      </c>
      <c r="C2053" s="46" t="s">
        <v>32</v>
      </c>
      <c r="D2053" s="46" t="s">
        <v>32</v>
      </c>
      <c r="E2053" s="46" t="s">
        <v>32</v>
      </c>
      <c r="F2053" s="47">
        <f>[1]!BexGetData("DP_2","DL719O2RYNC0Y217V0FVT1R77","17","F","37014013F102","2067372011")</f>
        <v>15807</v>
      </c>
      <c r="G2053" s="48">
        <f>[1]!BexGetData("DP_2","DL719O2RYNEBZX0HTMQQ0BY0J","17","F","37014013F102","2067372011")</f>
        <v>15807</v>
      </c>
      <c r="H2053" s="48">
        <f>[1]!BexGetData("DP_2","DL719O2RYNGN1RZRS91K7M4TV","17","F","37014013F102","2067372011")</f>
        <v>15807</v>
      </c>
      <c r="I2053" s="48">
        <f>[1]!BexGetData("DP_2","DL719O2RYNIY3MZ1QVCEEWBN7","17","F","37014013F102","2067372011")</f>
        <v>0</v>
      </c>
    </row>
    <row r="2054" spans="1:9" x14ac:dyDescent="0.2">
      <c r="A2054" s="46" t="s">
        <v>32</v>
      </c>
      <c r="B2054" s="46" t="s">
        <v>32</v>
      </c>
      <c r="C2054" s="46" t="s">
        <v>32</v>
      </c>
      <c r="D2054" s="46" t="s">
        <v>32</v>
      </c>
      <c r="E2054" s="46" t="s">
        <v>32</v>
      </c>
      <c r="F2054" s="47">
        <f>[1]!BexGetData("DP_2","DL719O2RYNC0Y217V0FVT1R77","17","F","37014013F102","2067375011")</f>
        <v>77200</v>
      </c>
      <c r="G2054" s="48">
        <f>[1]!BexGetData("DP_2","DL719O2RYNEBZX0HTMQQ0BY0J","17","F","37014013F102","2067375011")</f>
        <v>77200</v>
      </c>
      <c r="H2054" s="48">
        <f>[1]!BexGetData("DP_2","DL719O2RYNGN1RZRS91K7M4TV","17","F","37014013F102","2067375011")</f>
        <v>72700</v>
      </c>
      <c r="I2054" s="48">
        <f>[1]!BexGetData("DP_2","DL719O2RYNIY3MZ1QVCEEWBN7","17","F","37014013F102","2067375011")</f>
        <v>0</v>
      </c>
    </row>
    <row r="2055" spans="1:9" x14ac:dyDescent="0.2">
      <c r="A2055" s="46" t="s">
        <v>32</v>
      </c>
      <c r="B2055" s="46" t="s">
        <v>32</v>
      </c>
      <c r="C2055" s="46" t="s">
        <v>32</v>
      </c>
      <c r="D2055" s="46" t="s">
        <v>32</v>
      </c>
      <c r="E2055" s="46" t="s">
        <v>32</v>
      </c>
      <c r="F2055" s="47">
        <f>[1]!BexGetData("DP_2","DL719O2RYNC0Y217V0FVT1R77","17","F","37014013F102","2067376011")</f>
        <v>23987.25</v>
      </c>
      <c r="G2055" s="48">
        <f>[1]!BexGetData("DP_2","DL719O2RYNEBZX0HTMQQ0BY0J","17","F","37014013F102","2067376011")</f>
        <v>23987.25</v>
      </c>
      <c r="H2055" s="48">
        <f>[1]!BexGetData("DP_2","DL719O2RYNGN1RZRS91K7M4TV","17","F","37014013F102","2067376011")</f>
        <v>23987.25</v>
      </c>
      <c r="I2055" s="48">
        <f>[1]!BexGetData("DP_2","DL719O2RYNIY3MZ1QVCEEWBN7","17","F","37014013F102","2067376011")</f>
        <v>0</v>
      </c>
    </row>
    <row r="2056" spans="1:9" x14ac:dyDescent="0.2">
      <c r="A2056" s="46" t="s">
        <v>32</v>
      </c>
      <c r="B2056" s="46" t="s">
        <v>32</v>
      </c>
      <c r="C2056" s="46" t="s">
        <v>32</v>
      </c>
      <c r="D2056" s="46" t="s">
        <v>32</v>
      </c>
      <c r="E2056" s="46" t="s">
        <v>32</v>
      </c>
      <c r="F2056" s="47">
        <f>[1]!BexGetData("DP_2","DL719O2RYNC0Y217V0FVT1R77","17","F","37014013F102","2067382011")</f>
        <v>2623523.12</v>
      </c>
      <c r="G2056" s="48">
        <f>[1]!BexGetData("DP_2","DL719O2RYNEBZX0HTMQQ0BY0J","17","F","37014013F102","2067382011")</f>
        <v>2623523.12</v>
      </c>
      <c r="H2056" s="48">
        <f>[1]!BexGetData("DP_2","DL719O2RYNGN1RZRS91K7M4TV","17","F","37014013F102","2067382011")</f>
        <v>554762.55000000005</v>
      </c>
      <c r="I2056" s="48">
        <f>[1]!BexGetData("DP_2","DL719O2RYNIY3MZ1QVCEEWBN7","17","F","37014013F102","2067382011")</f>
        <v>0</v>
      </c>
    </row>
    <row r="2057" spans="1:9" x14ac:dyDescent="0.2">
      <c r="A2057" s="46" t="s">
        <v>32</v>
      </c>
      <c r="B2057" s="46" t="s">
        <v>32</v>
      </c>
      <c r="C2057" s="46" t="s">
        <v>32</v>
      </c>
      <c r="D2057" s="46" t="s">
        <v>32</v>
      </c>
      <c r="E2057" s="46" t="s">
        <v>32</v>
      </c>
      <c r="F2057" s="47">
        <f>[1]!BexGetData("DP_2","DL719O2RYNC0Y217V0FVT1R77","17","F","37014013F102","2067382021")</f>
        <v>169044.71</v>
      </c>
      <c r="G2057" s="48">
        <f>[1]!BexGetData("DP_2","DL719O2RYNEBZX0HTMQQ0BY0J","17","F","37014013F102","2067382021")</f>
        <v>169044.71</v>
      </c>
      <c r="H2057" s="48">
        <f>[1]!BexGetData("DP_2","DL719O2RYNGN1RZRS91K7M4TV","17","F","37014013F102","2067382021")</f>
        <v>129044.71</v>
      </c>
      <c r="I2057" s="48">
        <f>[1]!BexGetData("DP_2","DL719O2RYNIY3MZ1QVCEEWBN7","17","F","37014013F102","2067382021")</f>
        <v>0</v>
      </c>
    </row>
    <row r="2058" spans="1:9" x14ac:dyDescent="0.2">
      <c r="A2058" s="46" t="s">
        <v>32</v>
      </c>
      <c r="B2058" s="46" t="s">
        <v>32</v>
      </c>
      <c r="C2058" s="46" t="s">
        <v>32</v>
      </c>
      <c r="D2058" s="46" t="s">
        <v>32</v>
      </c>
      <c r="E2058" s="46" t="s">
        <v>32</v>
      </c>
      <c r="F2058" s="47">
        <f>[1]!BexGetData("DP_2","DL719O2RYNC0Y217V0FVT1R77","17","F","37014013F102","2067383011")</f>
        <v>13000</v>
      </c>
      <c r="G2058" s="48">
        <f>[1]!BexGetData("DP_2","DL719O2RYNEBZX0HTMQQ0BY0J","17","F","37014013F102","2067383011")</f>
        <v>13000</v>
      </c>
      <c r="H2058" s="48">
        <f>[1]!BexGetData("DP_2","DL719O2RYNGN1RZRS91K7M4TV","17","F","37014013F102","2067383011")</f>
        <v>13000</v>
      </c>
      <c r="I2058" s="48">
        <f>[1]!BexGetData("DP_2","DL719O2RYNIY3MZ1QVCEEWBN7","17","F","37014013F102","2067383011")</f>
        <v>0</v>
      </c>
    </row>
    <row r="2059" spans="1:9" x14ac:dyDescent="0.2">
      <c r="A2059" s="46" t="s">
        <v>32</v>
      </c>
      <c r="B2059" s="46" t="s">
        <v>32</v>
      </c>
      <c r="C2059" s="46" t="s">
        <v>32</v>
      </c>
      <c r="D2059" s="46" t="s">
        <v>32</v>
      </c>
      <c r="E2059" s="46" t="s">
        <v>32</v>
      </c>
      <c r="F2059" s="47">
        <f>[1]!BexGetData("DP_2","DL719O2RYNC0Y217V0FVT1R77","17","F","37014013F102","2067392011")</f>
        <v>1842</v>
      </c>
      <c r="G2059" s="48">
        <f>[1]!BexGetData("DP_2","DL719O2RYNEBZX0HTMQQ0BY0J","17","F","37014013F102","2067392011")</f>
        <v>1842</v>
      </c>
      <c r="H2059" s="48">
        <f>[1]!BexGetData("DP_2","DL719O2RYNGN1RZRS91K7M4TV","17","F","37014013F102","2067392011")</f>
        <v>1842</v>
      </c>
      <c r="I2059" s="48">
        <f>[1]!BexGetData("DP_2","DL719O2RYNIY3MZ1QVCEEWBN7","17","F","37014013F102","2067392011")</f>
        <v>0</v>
      </c>
    </row>
    <row r="2060" spans="1:9" x14ac:dyDescent="0.2">
      <c r="A2060" s="46" t="s">
        <v>32</v>
      </c>
      <c r="B2060" s="46" t="s">
        <v>32</v>
      </c>
      <c r="C2060" s="46" t="s">
        <v>32</v>
      </c>
      <c r="D2060" s="46" t="s">
        <v>32</v>
      </c>
      <c r="E2060" s="46" t="s">
        <v>32</v>
      </c>
      <c r="F2060" s="47">
        <f>[1]!BexGetData("DP_2","DL719O2RYNC0Y217V0FVT1R77","17","F","37014013F102","2067399031")</f>
        <v>1305</v>
      </c>
      <c r="G2060" s="48">
        <f>[1]!BexGetData("DP_2","DL719O2RYNEBZX0HTMQQ0BY0J","17","F","37014013F102","2067399031")</f>
        <v>1305</v>
      </c>
      <c r="H2060" s="48">
        <f>[1]!BexGetData("DP_2","DL719O2RYNGN1RZRS91K7M4TV","17","F","37014013F102","2067399031")</f>
        <v>1305</v>
      </c>
      <c r="I2060" s="48">
        <f>[1]!BexGetData("DP_2","DL719O2RYNIY3MZ1QVCEEWBN7","17","F","37014013F102","2067399031")</f>
        <v>0</v>
      </c>
    </row>
    <row r="2061" spans="1:9" x14ac:dyDescent="0.2">
      <c r="A2061" s="46" t="s">
        <v>32</v>
      </c>
      <c r="B2061" s="46" t="s">
        <v>32</v>
      </c>
      <c r="C2061" s="46" t="s">
        <v>32</v>
      </c>
      <c r="D2061" s="46" t="s">
        <v>32</v>
      </c>
      <c r="E2061" s="46" t="s">
        <v>32</v>
      </c>
      <c r="F2061" s="47">
        <f>[1]!BexGetData("DP_2","DL719O2RYNC0Y217V0FVT1R77","17","F","37014013F102","2067513012")</f>
        <v>449999.96</v>
      </c>
      <c r="G2061" s="48">
        <f>[1]!BexGetData("DP_2","DL719O2RYNEBZX0HTMQQ0BY0J","17","F","37014013F102","2067513012")</f>
        <v>449999.96</v>
      </c>
      <c r="H2061" s="48">
        <f>[1]!BexGetData("DP_2","DL719O2RYNGN1RZRS91K7M4TV","17","F","37014013F102","2067513012")</f>
        <v>449999.96</v>
      </c>
      <c r="I2061" s="48">
        <f>[1]!BexGetData("DP_2","DL719O2RYNIY3MZ1QVCEEWBN7","17","F","37014013F102","2067513012")</f>
        <v>0</v>
      </c>
    </row>
    <row r="2062" spans="1:9" x14ac:dyDescent="0.2">
      <c r="A2062" s="46" t="s">
        <v>32</v>
      </c>
      <c r="B2062" s="46" t="s">
        <v>32</v>
      </c>
      <c r="C2062" s="46" t="s">
        <v>32</v>
      </c>
      <c r="D2062" s="46" t="s">
        <v>32</v>
      </c>
      <c r="E2062" s="46" t="s">
        <v>32</v>
      </c>
      <c r="F2062" s="47">
        <f>[1]!BexGetData("DP_2","DL719O2RYNC0Y217V0FVT1R77","17","F","37014013F102","2067515012")</f>
        <v>47096</v>
      </c>
      <c r="G2062" s="48">
        <f>[1]!BexGetData("DP_2","DL719O2RYNEBZX0HTMQQ0BY0J","17","F","37014013F102","2067515012")</f>
        <v>47096</v>
      </c>
      <c r="H2062" s="48">
        <f>[1]!BexGetData("DP_2","DL719O2RYNGN1RZRS91K7M4TV","17","F","37014013F102","2067515012")</f>
        <v>47096</v>
      </c>
      <c r="I2062" s="48">
        <f>[1]!BexGetData("DP_2","DL719O2RYNIY3MZ1QVCEEWBN7","17","F","37014013F102","2067515012")</f>
        <v>0</v>
      </c>
    </row>
    <row r="2063" spans="1:9" x14ac:dyDescent="0.2">
      <c r="A2063" s="46" t="s">
        <v>32</v>
      </c>
      <c r="B2063" s="46" t="s">
        <v>32</v>
      </c>
      <c r="C2063" s="46" t="s">
        <v>136</v>
      </c>
      <c r="D2063" s="46" t="s">
        <v>136</v>
      </c>
      <c r="E2063" s="46" t="s">
        <v>32</v>
      </c>
      <c r="F2063" s="47">
        <f>[1]!BexGetData("DP_2","DL719O2RYNC0Y217V0FVT1R77","17","F","37014018F102","2067113011")</f>
        <v>2003434.09</v>
      </c>
      <c r="G2063" s="48">
        <f>[1]!BexGetData("DP_2","DL719O2RYNEBZX0HTMQQ0BY0J","17","F","37014018F102","2067113011")</f>
        <v>2003434.09</v>
      </c>
      <c r="H2063" s="48">
        <f>[1]!BexGetData("DP_2","DL719O2RYNGN1RZRS91K7M4TV","17","F","37014018F102","2067113011")</f>
        <v>2003434.09</v>
      </c>
      <c r="I2063" s="48">
        <f>[1]!BexGetData("DP_2","DL719O2RYNIY3MZ1QVCEEWBN7","17","F","37014018F102","2067113011")</f>
        <v>0</v>
      </c>
    </row>
    <row r="2064" spans="1:9" x14ac:dyDescent="0.2">
      <c r="A2064" s="46" t="s">
        <v>32</v>
      </c>
      <c r="B2064" s="46" t="s">
        <v>32</v>
      </c>
      <c r="C2064" s="46" t="s">
        <v>32</v>
      </c>
      <c r="D2064" s="46" t="s">
        <v>32</v>
      </c>
      <c r="E2064" s="46" t="s">
        <v>32</v>
      </c>
      <c r="F2064" s="47">
        <f>[1]!BexGetData("DP_2","DL719O2RYNC0Y217V0FVT1R77","17","F","37014018F102","2067113021")</f>
        <v>1451723.81</v>
      </c>
      <c r="G2064" s="48">
        <f>[1]!BexGetData("DP_2","DL719O2RYNEBZX0HTMQQ0BY0J","17","F","37014018F102","2067113021")</f>
        <v>1451723.81</v>
      </c>
      <c r="H2064" s="48">
        <f>[1]!BexGetData("DP_2","DL719O2RYNGN1RZRS91K7M4TV","17","F","37014018F102","2067113021")</f>
        <v>1451723.81</v>
      </c>
      <c r="I2064" s="48">
        <f>[1]!BexGetData("DP_2","DL719O2RYNIY3MZ1QVCEEWBN7","17","F","37014018F102","2067113021")</f>
        <v>0</v>
      </c>
    </row>
    <row r="2065" spans="1:9" x14ac:dyDescent="0.2">
      <c r="A2065" s="46" t="s">
        <v>32</v>
      </c>
      <c r="B2065" s="46" t="s">
        <v>32</v>
      </c>
      <c r="C2065" s="46" t="s">
        <v>32</v>
      </c>
      <c r="D2065" s="46" t="s">
        <v>32</v>
      </c>
      <c r="E2065" s="46" t="s">
        <v>32</v>
      </c>
      <c r="F2065" s="47">
        <f>[1]!BexGetData("DP_2","DL719O2RYNC0Y217V0FVT1R77","17","F","37014018F102","2067121011")</f>
        <v>0</v>
      </c>
      <c r="G2065" s="48">
        <f>[1]!BexGetData("DP_2","DL719O2RYNEBZX0HTMQQ0BY0J","17","F","37014018F102","2067121011")</f>
        <v>0</v>
      </c>
      <c r="H2065" s="48">
        <f>[1]!BexGetData("DP_2","DL719O2RYNGN1RZRS91K7M4TV","17","F","37014018F102","2067121011")</f>
        <v>0</v>
      </c>
      <c r="I2065" s="48">
        <f>[1]!BexGetData("DP_2","DL719O2RYNIY3MZ1QVCEEWBN7","17","F","37014018F102","2067121011")</f>
        <v>0</v>
      </c>
    </row>
    <row r="2066" spans="1:9" x14ac:dyDescent="0.2">
      <c r="A2066" s="46" t="s">
        <v>32</v>
      </c>
      <c r="B2066" s="46" t="s">
        <v>32</v>
      </c>
      <c r="C2066" s="46" t="s">
        <v>32</v>
      </c>
      <c r="D2066" s="46" t="s">
        <v>32</v>
      </c>
      <c r="E2066" s="46" t="s">
        <v>32</v>
      </c>
      <c r="F2066" s="47">
        <f>[1]!BexGetData("DP_2","DL719O2RYNC0Y217V0FVT1R77","17","F","37014018F102","2067122011")</f>
        <v>493480.25</v>
      </c>
      <c r="G2066" s="48">
        <f>[1]!BexGetData("DP_2","DL719O2RYNEBZX0HTMQQ0BY0J","17","F","37014018F102","2067122011")</f>
        <v>493480.25</v>
      </c>
      <c r="H2066" s="48">
        <f>[1]!BexGetData("DP_2","DL719O2RYNGN1RZRS91K7M4TV","17","F","37014018F102","2067122011")</f>
        <v>493480.25</v>
      </c>
      <c r="I2066" s="48">
        <f>[1]!BexGetData("DP_2","DL719O2RYNIY3MZ1QVCEEWBN7","17","F","37014018F102","2067122011")</f>
        <v>0</v>
      </c>
    </row>
    <row r="2067" spans="1:9" x14ac:dyDescent="0.2">
      <c r="A2067" s="46" t="s">
        <v>32</v>
      </c>
      <c r="B2067" s="46" t="s">
        <v>32</v>
      </c>
      <c r="C2067" s="46" t="s">
        <v>32</v>
      </c>
      <c r="D2067" s="46" t="s">
        <v>32</v>
      </c>
      <c r="E2067" s="46" t="s">
        <v>32</v>
      </c>
      <c r="F2067" s="47">
        <f>[1]!BexGetData("DP_2","DL719O2RYNC0Y217V0FVT1R77","17","F","37014018F102","2067131011")</f>
        <v>149141.4</v>
      </c>
      <c r="G2067" s="48">
        <f>[1]!BexGetData("DP_2","DL719O2RYNEBZX0HTMQQ0BY0J","17","F","37014018F102","2067131011")</f>
        <v>149141.4</v>
      </c>
      <c r="H2067" s="48">
        <f>[1]!BexGetData("DP_2","DL719O2RYNGN1RZRS91K7M4TV","17","F","37014018F102","2067131011")</f>
        <v>149141.4</v>
      </c>
      <c r="I2067" s="48">
        <f>[1]!BexGetData("DP_2","DL719O2RYNIY3MZ1QVCEEWBN7","17","F","37014018F102","2067131011")</f>
        <v>0</v>
      </c>
    </row>
    <row r="2068" spans="1:9" x14ac:dyDescent="0.2">
      <c r="A2068" s="46" t="s">
        <v>32</v>
      </c>
      <c r="B2068" s="46" t="s">
        <v>32</v>
      </c>
      <c r="C2068" s="46" t="s">
        <v>32</v>
      </c>
      <c r="D2068" s="46" t="s">
        <v>32</v>
      </c>
      <c r="E2068" s="46" t="s">
        <v>32</v>
      </c>
      <c r="F2068" s="47">
        <f>[1]!BexGetData("DP_2","DL719O2RYNC0Y217V0FVT1R77","17","F","37014018F102","2067131021")</f>
        <v>42023.040000000001</v>
      </c>
      <c r="G2068" s="48">
        <f>[1]!BexGetData("DP_2","DL719O2RYNEBZX0HTMQQ0BY0J","17","F","37014018F102","2067131021")</f>
        <v>42023.040000000001</v>
      </c>
      <c r="H2068" s="48">
        <f>[1]!BexGetData("DP_2","DL719O2RYNGN1RZRS91K7M4TV","17","F","37014018F102","2067131021")</f>
        <v>42023.040000000001</v>
      </c>
      <c r="I2068" s="48">
        <f>[1]!BexGetData("DP_2","DL719O2RYNIY3MZ1QVCEEWBN7","17","F","37014018F102","2067131021")</f>
        <v>0</v>
      </c>
    </row>
    <row r="2069" spans="1:9" x14ac:dyDescent="0.2">
      <c r="A2069" s="46" t="s">
        <v>32</v>
      </c>
      <c r="B2069" s="46" t="s">
        <v>32</v>
      </c>
      <c r="C2069" s="46" t="s">
        <v>32</v>
      </c>
      <c r="D2069" s="46" t="s">
        <v>32</v>
      </c>
      <c r="E2069" s="46" t="s">
        <v>32</v>
      </c>
      <c r="F2069" s="47">
        <f>[1]!BexGetData("DP_2","DL719O2RYNC0Y217V0FVT1R77","17","F","37014018F102","2067132011")</f>
        <v>141804.88</v>
      </c>
      <c r="G2069" s="48">
        <f>[1]!BexGetData("DP_2","DL719O2RYNEBZX0HTMQQ0BY0J","17","F","37014018F102","2067132011")</f>
        <v>141804.88</v>
      </c>
      <c r="H2069" s="48">
        <f>[1]!BexGetData("DP_2","DL719O2RYNGN1RZRS91K7M4TV","17","F","37014018F102","2067132011")</f>
        <v>141804.88</v>
      </c>
      <c r="I2069" s="48">
        <f>[1]!BexGetData("DP_2","DL719O2RYNIY3MZ1QVCEEWBN7","17","F","37014018F102","2067132011")</f>
        <v>0</v>
      </c>
    </row>
    <row r="2070" spans="1:9" x14ac:dyDescent="0.2">
      <c r="A2070" s="46" t="s">
        <v>32</v>
      </c>
      <c r="B2070" s="46" t="s">
        <v>32</v>
      </c>
      <c r="C2070" s="46" t="s">
        <v>32</v>
      </c>
      <c r="D2070" s="46" t="s">
        <v>32</v>
      </c>
      <c r="E2070" s="46" t="s">
        <v>32</v>
      </c>
      <c r="F2070" s="47">
        <f>[1]!BexGetData("DP_2","DL719O2RYNC0Y217V0FVT1R77","17","F","37014018F102","2067132021")</f>
        <v>709640.98</v>
      </c>
      <c r="G2070" s="48">
        <f>[1]!BexGetData("DP_2","DL719O2RYNEBZX0HTMQQ0BY0J","17","F","37014018F102","2067132021")</f>
        <v>709640.98</v>
      </c>
      <c r="H2070" s="48">
        <f>[1]!BexGetData("DP_2","DL719O2RYNGN1RZRS91K7M4TV","17","F","37014018F102","2067132021")</f>
        <v>709640.98</v>
      </c>
      <c r="I2070" s="48">
        <f>[1]!BexGetData("DP_2","DL719O2RYNIY3MZ1QVCEEWBN7","17","F","37014018F102","2067132021")</f>
        <v>0</v>
      </c>
    </row>
    <row r="2071" spans="1:9" x14ac:dyDescent="0.2">
      <c r="A2071" s="46" t="s">
        <v>32</v>
      </c>
      <c r="B2071" s="46" t="s">
        <v>32</v>
      </c>
      <c r="C2071" s="46" t="s">
        <v>32</v>
      </c>
      <c r="D2071" s="46" t="s">
        <v>32</v>
      </c>
      <c r="E2071" s="46" t="s">
        <v>32</v>
      </c>
      <c r="F2071" s="47">
        <f>[1]!BexGetData("DP_2","DL719O2RYNC0Y217V0FVT1R77","17","F","37014018F102","2067134011")</f>
        <v>3852755.02</v>
      </c>
      <c r="G2071" s="48">
        <f>[1]!BexGetData("DP_2","DL719O2RYNEBZX0HTMQQ0BY0J","17","F","37014018F102","2067134011")</f>
        <v>3852755.02</v>
      </c>
      <c r="H2071" s="48">
        <f>[1]!BexGetData("DP_2","DL719O2RYNGN1RZRS91K7M4TV","17","F","37014018F102","2067134011")</f>
        <v>3915739.68</v>
      </c>
      <c r="I2071" s="48">
        <f>[1]!BexGetData("DP_2","DL719O2RYNIY3MZ1QVCEEWBN7","17","F","37014018F102","2067134011")</f>
        <v>-2.0000000000000001E-9</v>
      </c>
    </row>
    <row r="2072" spans="1:9" x14ac:dyDescent="0.2">
      <c r="A2072" s="46" t="s">
        <v>32</v>
      </c>
      <c r="B2072" s="46" t="s">
        <v>32</v>
      </c>
      <c r="C2072" s="46" t="s">
        <v>32</v>
      </c>
      <c r="D2072" s="46" t="s">
        <v>32</v>
      </c>
      <c r="E2072" s="46" t="s">
        <v>32</v>
      </c>
      <c r="F2072" s="47">
        <f>[1]!BexGetData("DP_2","DL719O2RYNC0Y217V0FVT1R77","17","F","37014018F102","2067134021")</f>
        <v>2570536.85</v>
      </c>
      <c r="G2072" s="48">
        <f>[1]!BexGetData("DP_2","DL719O2RYNEBZX0HTMQQ0BY0J","17","F","37014018F102","2067134021")</f>
        <v>2570536.85</v>
      </c>
      <c r="H2072" s="48">
        <f>[1]!BexGetData("DP_2","DL719O2RYNGN1RZRS91K7M4TV","17","F","37014018F102","2067134021")</f>
        <v>2570536.85</v>
      </c>
      <c r="I2072" s="48">
        <f>[1]!BexGetData("DP_2","DL719O2RYNIY3MZ1QVCEEWBN7","17","F","37014018F102","2067134021")</f>
        <v>0</v>
      </c>
    </row>
    <row r="2073" spans="1:9" x14ac:dyDescent="0.2">
      <c r="A2073" s="46" t="s">
        <v>32</v>
      </c>
      <c r="B2073" s="46" t="s">
        <v>32</v>
      </c>
      <c r="C2073" s="46" t="s">
        <v>32</v>
      </c>
      <c r="D2073" s="46" t="s">
        <v>32</v>
      </c>
      <c r="E2073" s="46" t="s">
        <v>32</v>
      </c>
      <c r="F2073" s="47">
        <f>[1]!BexGetData("DP_2","DL719O2RYNC0Y217V0FVT1R77","17","F","37014018F102","2067141011")</f>
        <v>750514.63</v>
      </c>
      <c r="G2073" s="48">
        <f>[1]!BexGetData("DP_2","DL719O2RYNEBZX0HTMQQ0BY0J","17","F","37014018F102","2067141011")</f>
        <v>750514.63</v>
      </c>
      <c r="H2073" s="48">
        <f>[1]!BexGetData("DP_2","DL719O2RYNGN1RZRS91K7M4TV","17","F","37014018F102","2067141011")</f>
        <v>750514.63</v>
      </c>
      <c r="I2073" s="48">
        <f>[1]!BexGetData("DP_2","DL719O2RYNIY3MZ1QVCEEWBN7","17","F","37014018F102","2067141011")</f>
        <v>0</v>
      </c>
    </row>
    <row r="2074" spans="1:9" x14ac:dyDescent="0.2">
      <c r="A2074" s="46" t="s">
        <v>32</v>
      </c>
      <c r="B2074" s="46" t="s">
        <v>32</v>
      </c>
      <c r="C2074" s="46" t="s">
        <v>32</v>
      </c>
      <c r="D2074" s="46" t="s">
        <v>32</v>
      </c>
      <c r="E2074" s="46" t="s">
        <v>32</v>
      </c>
      <c r="F2074" s="47">
        <f>[1]!BexGetData("DP_2","DL719O2RYNC0Y217V0FVT1R77","17","F","37014018F102","2067141021")</f>
        <v>245375</v>
      </c>
      <c r="G2074" s="48">
        <f>[1]!BexGetData("DP_2","DL719O2RYNEBZX0HTMQQ0BY0J","17","F","37014018F102","2067141021")</f>
        <v>245375</v>
      </c>
      <c r="H2074" s="48">
        <f>[1]!BexGetData("DP_2","DL719O2RYNGN1RZRS91K7M4TV","17","F","37014018F102","2067141021")</f>
        <v>245375</v>
      </c>
      <c r="I2074" s="48">
        <f>[1]!BexGetData("DP_2","DL719O2RYNIY3MZ1QVCEEWBN7","17","F","37014018F102","2067141021")</f>
        <v>0</v>
      </c>
    </row>
    <row r="2075" spans="1:9" x14ac:dyDescent="0.2">
      <c r="A2075" s="46" t="s">
        <v>32</v>
      </c>
      <c r="B2075" s="46" t="s">
        <v>32</v>
      </c>
      <c r="C2075" s="46" t="s">
        <v>32</v>
      </c>
      <c r="D2075" s="46" t="s">
        <v>32</v>
      </c>
      <c r="E2075" s="46" t="s">
        <v>32</v>
      </c>
      <c r="F2075" s="47">
        <f>[1]!BexGetData("DP_2","DL719O2RYNC0Y217V0FVT1R77","17","F","37014018F102","2067143011")</f>
        <v>115564.46</v>
      </c>
      <c r="G2075" s="48">
        <f>[1]!BexGetData("DP_2","DL719O2RYNEBZX0HTMQQ0BY0J","17","F","37014018F102","2067143011")</f>
        <v>115564.46</v>
      </c>
      <c r="H2075" s="48">
        <f>[1]!BexGetData("DP_2","DL719O2RYNGN1RZRS91K7M4TV","17","F","37014018F102","2067143011")</f>
        <v>115564.46</v>
      </c>
      <c r="I2075" s="48">
        <f>[1]!BexGetData("DP_2","DL719O2RYNIY3MZ1QVCEEWBN7","17","F","37014018F102","2067143011")</f>
        <v>0</v>
      </c>
    </row>
    <row r="2076" spans="1:9" x14ac:dyDescent="0.2">
      <c r="A2076" s="46" t="s">
        <v>32</v>
      </c>
      <c r="B2076" s="46" t="s">
        <v>32</v>
      </c>
      <c r="C2076" s="46" t="s">
        <v>32</v>
      </c>
      <c r="D2076" s="46" t="s">
        <v>32</v>
      </c>
      <c r="E2076" s="46" t="s">
        <v>32</v>
      </c>
      <c r="F2076" s="47">
        <f>[1]!BexGetData("DP_2","DL719O2RYNC0Y217V0FVT1R77","17","F","37014018F102","2067151011")</f>
        <v>414941.16</v>
      </c>
      <c r="G2076" s="48">
        <f>[1]!BexGetData("DP_2","DL719O2RYNEBZX0HTMQQ0BY0J","17","F","37014018F102","2067151011")</f>
        <v>414941.16</v>
      </c>
      <c r="H2076" s="48">
        <f>[1]!BexGetData("DP_2","DL719O2RYNGN1RZRS91K7M4TV","17","F","37014018F102","2067151011")</f>
        <v>414941.16</v>
      </c>
      <c r="I2076" s="48">
        <f>[1]!BexGetData("DP_2","DL719O2RYNIY3MZ1QVCEEWBN7","17","F","37014018F102","2067151011")</f>
        <v>0</v>
      </c>
    </row>
    <row r="2077" spans="1:9" x14ac:dyDescent="0.2">
      <c r="A2077" s="46" t="s">
        <v>32</v>
      </c>
      <c r="B2077" s="46" t="s">
        <v>32</v>
      </c>
      <c r="C2077" s="46" t="s">
        <v>32</v>
      </c>
      <c r="D2077" s="46" t="s">
        <v>32</v>
      </c>
      <c r="E2077" s="46" t="s">
        <v>32</v>
      </c>
      <c r="F2077" s="47">
        <f>[1]!BexGetData("DP_2","DL719O2RYNC0Y217V0FVT1R77","17","F","37014018F102","2067154011")</f>
        <v>1810058.66</v>
      </c>
      <c r="G2077" s="48">
        <f>[1]!BexGetData("DP_2","DL719O2RYNEBZX0HTMQQ0BY0J","17","F","37014018F102","2067154011")</f>
        <v>1810058.66</v>
      </c>
      <c r="H2077" s="48">
        <f>[1]!BexGetData("DP_2","DL719O2RYNGN1RZRS91K7M4TV","17","F","37014018F102","2067154011")</f>
        <v>1810058.66</v>
      </c>
      <c r="I2077" s="48">
        <f>[1]!BexGetData("DP_2","DL719O2RYNIY3MZ1QVCEEWBN7","17","F","37014018F102","2067154011")</f>
        <v>0</v>
      </c>
    </row>
    <row r="2078" spans="1:9" x14ac:dyDescent="0.2">
      <c r="A2078" s="46" t="s">
        <v>32</v>
      </c>
      <c r="B2078" s="46" t="s">
        <v>32</v>
      </c>
      <c r="C2078" s="46" t="s">
        <v>32</v>
      </c>
      <c r="D2078" s="46" t="s">
        <v>32</v>
      </c>
      <c r="E2078" s="46" t="s">
        <v>32</v>
      </c>
      <c r="F2078" s="47">
        <f>[1]!BexGetData("DP_2","DL719O2RYNC0Y217V0FVT1R77","17","F","37014018F102","2067211011")</f>
        <v>74389.37</v>
      </c>
      <c r="G2078" s="48">
        <f>[1]!BexGetData("DP_2","DL719O2RYNEBZX0HTMQQ0BY0J","17","F","37014018F102","2067211011")</f>
        <v>74389.37</v>
      </c>
      <c r="H2078" s="48">
        <f>[1]!BexGetData("DP_2","DL719O2RYNGN1RZRS91K7M4TV","17","F","37014018F102","2067211011")</f>
        <v>74389.37</v>
      </c>
      <c r="I2078" s="48">
        <f>[1]!BexGetData("DP_2","DL719O2RYNIY3MZ1QVCEEWBN7","17","F","37014018F102","2067211011")</f>
        <v>0</v>
      </c>
    </row>
    <row r="2079" spans="1:9" x14ac:dyDescent="0.2">
      <c r="A2079" s="46" t="s">
        <v>32</v>
      </c>
      <c r="B2079" s="46" t="s">
        <v>32</v>
      </c>
      <c r="C2079" s="46" t="s">
        <v>32</v>
      </c>
      <c r="D2079" s="46" t="s">
        <v>32</v>
      </c>
      <c r="E2079" s="46" t="s">
        <v>32</v>
      </c>
      <c r="F2079" s="47">
        <f>[1]!BexGetData("DP_2","DL719O2RYNC0Y217V0FVT1R77","17","F","37014018F102","2067211021")</f>
        <v>315.01</v>
      </c>
      <c r="G2079" s="48">
        <f>[1]!BexGetData("DP_2","DL719O2RYNEBZX0HTMQQ0BY0J","17","F","37014018F102","2067211021")</f>
        <v>315.01</v>
      </c>
      <c r="H2079" s="48">
        <f>[1]!BexGetData("DP_2","DL719O2RYNGN1RZRS91K7M4TV","17","F","37014018F102","2067211021")</f>
        <v>315.01</v>
      </c>
      <c r="I2079" s="48">
        <f>[1]!BexGetData("DP_2","DL719O2RYNIY3MZ1QVCEEWBN7","17","F","37014018F102","2067211021")</f>
        <v>0</v>
      </c>
    </row>
    <row r="2080" spans="1:9" x14ac:dyDescent="0.2">
      <c r="A2080" s="46" t="s">
        <v>32</v>
      </c>
      <c r="B2080" s="46" t="s">
        <v>32</v>
      </c>
      <c r="C2080" s="46" t="s">
        <v>32</v>
      </c>
      <c r="D2080" s="46" t="s">
        <v>32</v>
      </c>
      <c r="E2080" s="46" t="s">
        <v>32</v>
      </c>
      <c r="F2080" s="47">
        <f>[1]!BexGetData("DP_2","DL719O2RYNC0Y217V0FVT1R77","17","F","37014018F102","2067212021")</f>
        <v>5762.3</v>
      </c>
      <c r="G2080" s="48">
        <f>[1]!BexGetData("DP_2","DL719O2RYNEBZX0HTMQQ0BY0J","17","F","37014018F102","2067212021")</f>
        <v>5762.3</v>
      </c>
      <c r="H2080" s="48">
        <f>[1]!BexGetData("DP_2","DL719O2RYNGN1RZRS91K7M4TV","17","F","37014018F102","2067212021")</f>
        <v>5762.3</v>
      </c>
      <c r="I2080" s="48">
        <f>[1]!BexGetData("DP_2","DL719O2RYNIY3MZ1QVCEEWBN7","17","F","37014018F102","2067212021")</f>
        <v>0</v>
      </c>
    </row>
    <row r="2081" spans="1:9" x14ac:dyDescent="0.2">
      <c r="A2081" s="46" t="s">
        <v>32</v>
      </c>
      <c r="B2081" s="46" t="s">
        <v>32</v>
      </c>
      <c r="C2081" s="46" t="s">
        <v>32</v>
      </c>
      <c r="D2081" s="46" t="s">
        <v>32</v>
      </c>
      <c r="E2081" s="46" t="s">
        <v>32</v>
      </c>
      <c r="F2081" s="47">
        <f>[1]!BexGetData("DP_2","DL719O2RYNC0Y217V0FVT1R77","17","F","37014018F102","2067213011")</f>
        <v>0</v>
      </c>
      <c r="G2081" s="48">
        <f>[1]!BexGetData("DP_2","DL719O2RYNEBZX0HTMQQ0BY0J","17","F","37014018F102","2067213011")</f>
        <v>0</v>
      </c>
      <c r="H2081" s="48">
        <f>[1]!BexGetData("DP_2","DL719O2RYNGN1RZRS91K7M4TV","17","F","37014018F102","2067213011")</f>
        <v>0</v>
      </c>
      <c r="I2081" s="48">
        <f>[1]!BexGetData("DP_2","DL719O2RYNIY3MZ1QVCEEWBN7","17","F","37014018F102","2067213011")</f>
        <v>0</v>
      </c>
    </row>
    <row r="2082" spans="1:9" x14ac:dyDescent="0.2">
      <c r="A2082" s="46" t="s">
        <v>32</v>
      </c>
      <c r="B2082" s="46" t="s">
        <v>32</v>
      </c>
      <c r="C2082" s="46" t="s">
        <v>32</v>
      </c>
      <c r="D2082" s="46" t="s">
        <v>32</v>
      </c>
      <c r="E2082" s="46" t="s">
        <v>32</v>
      </c>
      <c r="F2082" s="47">
        <f>[1]!BexGetData("DP_2","DL719O2RYNC0Y217V0FVT1R77","17","F","37014018F102","2067214011")</f>
        <v>3955.6</v>
      </c>
      <c r="G2082" s="48">
        <f>[1]!BexGetData("DP_2","DL719O2RYNEBZX0HTMQQ0BY0J","17","F","37014018F102","2067214011")</f>
        <v>3955.6</v>
      </c>
      <c r="H2082" s="48">
        <f>[1]!BexGetData("DP_2","DL719O2RYNGN1RZRS91K7M4TV","17","F","37014018F102","2067214011")</f>
        <v>3955.6</v>
      </c>
      <c r="I2082" s="48">
        <f>[1]!BexGetData("DP_2","DL719O2RYNIY3MZ1QVCEEWBN7","17","F","37014018F102","2067214011")</f>
        <v>0</v>
      </c>
    </row>
    <row r="2083" spans="1:9" x14ac:dyDescent="0.2">
      <c r="A2083" s="46" t="s">
        <v>32</v>
      </c>
      <c r="B2083" s="46" t="s">
        <v>32</v>
      </c>
      <c r="C2083" s="46" t="s">
        <v>32</v>
      </c>
      <c r="D2083" s="46" t="s">
        <v>32</v>
      </c>
      <c r="E2083" s="46" t="s">
        <v>32</v>
      </c>
      <c r="F2083" s="47">
        <f>[1]!BexGetData("DP_2","DL719O2RYNC0Y217V0FVT1R77","17","F","37014018F102","2067214021")</f>
        <v>2050</v>
      </c>
      <c r="G2083" s="48">
        <f>[1]!BexGetData("DP_2","DL719O2RYNEBZX0HTMQQ0BY0J","17","F","37014018F102","2067214021")</f>
        <v>2050</v>
      </c>
      <c r="H2083" s="48">
        <f>[1]!BexGetData("DP_2","DL719O2RYNGN1RZRS91K7M4TV","17","F","37014018F102","2067214021")</f>
        <v>2050</v>
      </c>
      <c r="I2083" s="48">
        <f>[1]!BexGetData("DP_2","DL719O2RYNIY3MZ1QVCEEWBN7","17","F","37014018F102","2067214021")</f>
        <v>0</v>
      </c>
    </row>
    <row r="2084" spans="1:9" x14ac:dyDescent="0.2">
      <c r="A2084" s="46" t="s">
        <v>32</v>
      </c>
      <c r="B2084" s="46" t="s">
        <v>32</v>
      </c>
      <c r="C2084" s="46" t="s">
        <v>32</v>
      </c>
      <c r="D2084" s="46" t="s">
        <v>32</v>
      </c>
      <c r="E2084" s="46" t="s">
        <v>32</v>
      </c>
      <c r="F2084" s="47">
        <f>[1]!BexGetData("DP_2","DL719O2RYNC0Y217V0FVT1R77","17","F","37014018F102","2067214031")</f>
        <v>370</v>
      </c>
      <c r="G2084" s="48">
        <f>[1]!BexGetData("DP_2","DL719O2RYNEBZX0HTMQQ0BY0J","17","F","37014018F102","2067214031")</f>
        <v>370</v>
      </c>
      <c r="H2084" s="48">
        <f>[1]!BexGetData("DP_2","DL719O2RYNGN1RZRS91K7M4TV","17","F","37014018F102","2067214031")</f>
        <v>370</v>
      </c>
      <c r="I2084" s="48">
        <f>[1]!BexGetData("DP_2","DL719O2RYNIY3MZ1QVCEEWBN7","17","F","37014018F102","2067214031")</f>
        <v>0</v>
      </c>
    </row>
    <row r="2085" spans="1:9" x14ac:dyDescent="0.2">
      <c r="A2085" s="46" t="s">
        <v>32</v>
      </c>
      <c r="B2085" s="46" t="s">
        <v>32</v>
      </c>
      <c r="C2085" s="46" t="s">
        <v>32</v>
      </c>
      <c r="D2085" s="46" t="s">
        <v>32</v>
      </c>
      <c r="E2085" s="46" t="s">
        <v>32</v>
      </c>
      <c r="F2085" s="47">
        <f>[1]!BexGetData("DP_2","DL719O2RYNC0Y217V0FVT1R77","17","F","37014018F102","2067215021")</f>
        <v>105196.59</v>
      </c>
      <c r="G2085" s="48">
        <f>[1]!BexGetData("DP_2","DL719O2RYNEBZX0HTMQQ0BY0J","17","F","37014018F102","2067215021")</f>
        <v>105196.59</v>
      </c>
      <c r="H2085" s="48">
        <f>[1]!BexGetData("DP_2","DL719O2RYNGN1RZRS91K7M4TV","17","F","37014018F102","2067215021")</f>
        <v>93496</v>
      </c>
      <c r="I2085" s="48">
        <f>[1]!BexGetData("DP_2","DL719O2RYNIY3MZ1QVCEEWBN7","17","F","37014018F102","2067215021")</f>
        <v>0</v>
      </c>
    </row>
    <row r="2086" spans="1:9" x14ac:dyDescent="0.2">
      <c r="A2086" s="46" t="s">
        <v>32</v>
      </c>
      <c r="B2086" s="46" t="s">
        <v>32</v>
      </c>
      <c r="C2086" s="46" t="s">
        <v>32</v>
      </c>
      <c r="D2086" s="46" t="s">
        <v>32</v>
      </c>
      <c r="E2086" s="46" t="s">
        <v>32</v>
      </c>
      <c r="F2086" s="47">
        <f>[1]!BexGetData("DP_2","DL719O2RYNC0Y217V0FVT1R77","17","F","37014018F102","2067216011")</f>
        <v>9498.2099999999991</v>
      </c>
      <c r="G2086" s="48">
        <f>[1]!BexGetData("DP_2","DL719O2RYNEBZX0HTMQQ0BY0J","17","F","37014018F102","2067216011")</f>
        <v>9498.2099999999991</v>
      </c>
      <c r="H2086" s="48">
        <f>[1]!BexGetData("DP_2","DL719O2RYNGN1RZRS91K7M4TV","17","F","37014018F102","2067216011")</f>
        <v>2494.77</v>
      </c>
      <c r="I2086" s="48">
        <f>[1]!BexGetData("DP_2","DL719O2RYNIY3MZ1QVCEEWBN7","17","F","37014018F102","2067216011")</f>
        <v>0</v>
      </c>
    </row>
    <row r="2087" spans="1:9" x14ac:dyDescent="0.2">
      <c r="A2087" s="46" t="s">
        <v>32</v>
      </c>
      <c r="B2087" s="46" t="s">
        <v>32</v>
      </c>
      <c r="C2087" s="46" t="s">
        <v>32</v>
      </c>
      <c r="D2087" s="46" t="s">
        <v>32</v>
      </c>
      <c r="E2087" s="46" t="s">
        <v>32</v>
      </c>
      <c r="F2087" s="47">
        <f>[1]!BexGetData("DP_2","DL719O2RYNC0Y217V0FVT1R77","17","F","37014018F102","2067217011")</f>
        <v>312.39999999999998</v>
      </c>
      <c r="G2087" s="48">
        <f>[1]!BexGetData("DP_2","DL719O2RYNEBZX0HTMQQ0BY0J","17","F","37014018F102","2067217011")</f>
        <v>312.39999999999998</v>
      </c>
      <c r="H2087" s="48">
        <f>[1]!BexGetData("DP_2","DL719O2RYNGN1RZRS91K7M4TV","17","F","37014018F102","2067217011")</f>
        <v>312.39999999999998</v>
      </c>
      <c r="I2087" s="48">
        <f>[1]!BexGetData("DP_2","DL719O2RYNIY3MZ1QVCEEWBN7","17","F","37014018F102","2067217011")</f>
        <v>0</v>
      </c>
    </row>
    <row r="2088" spans="1:9" x14ac:dyDescent="0.2">
      <c r="A2088" s="46" t="s">
        <v>32</v>
      </c>
      <c r="B2088" s="46" t="s">
        <v>32</v>
      </c>
      <c r="C2088" s="46" t="s">
        <v>32</v>
      </c>
      <c r="D2088" s="46" t="s">
        <v>32</v>
      </c>
      <c r="E2088" s="46" t="s">
        <v>32</v>
      </c>
      <c r="F2088" s="47">
        <f>[1]!BexGetData("DP_2","DL719O2RYNC0Y217V0FVT1R77","17","F","37014018F102","2067221011")</f>
        <v>25360.17</v>
      </c>
      <c r="G2088" s="48">
        <f>[1]!BexGetData("DP_2","DL719O2RYNEBZX0HTMQQ0BY0J","17","F","37014018F102","2067221011")</f>
        <v>25360.17</v>
      </c>
      <c r="H2088" s="48">
        <f>[1]!BexGetData("DP_2","DL719O2RYNGN1RZRS91K7M4TV","17","F","37014018F102","2067221011")</f>
        <v>19358.330000000002</v>
      </c>
      <c r="I2088" s="48">
        <f>[1]!BexGetData("DP_2","DL719O2RYNIY3MZ1QVCEEWBN7","17","F","37014018F102","2067221011")</f>
        <v>0</v>
      </c>
    </row>
    <row r="2089" spans="1:9" x14ac:dyDescent="0.2">
      <c r="A2089" s="46" t="s">
        <v>32</v>
      </c>
      <c r="B2089" s="46" t="s">
        <v>32</v>
      </c>
      <c r="C2089" s="46" t="s">
        <v>32</v>
      </c>
      <c r="D2089" s="46" t="s">
        <v>32</v>
      </c>
      <c r="E2089" s="46" t="s">
        <v>32</v>
      </c>
      <c r="F2089" s="47">
        <f>[1]!BexGetData("DP_2","DL719O2RYNC0Y217V0FVT1R77","17","F","37014018F102","2067221021")</f>
        <v>5466.38</v>
      </c>
      <c r="G2089" s="48">
        <f>[1]!BexGetData("DP_2","DL719O2RYNEBZX0HTMQQ0BY0J","17","F","37014018F102","2067221021")</f>
        <v>5466.38</v>
      </c>
      <c r="H2089" s="48">
        <f>[1]!BexGetData("DP_2","DL719O2RYNGN1RZRS91K7M4TV","17","F","37014018F102","2067221021")</f>
        <v>5466.38</v>
      </c>
      <c r="I2089" s="48">
        <f>[1]!BexGetData("DP_2","DL719O2RYNIY3MZ1QVCEEWBN7","17","F","37014018F102","2067221021")</f>
        <v>0</v>
      </c>
    </row>
    <row r="2090" spans="1:9" x14ac:dyDescent="0.2">
      <c r="A2090" s="46" t="s">
        <v>32</v>
      </c>
      <c r="B2090" s="46" t="s">
        <v>32</v>
      </c>
      <c r="C2090" s="46" t="s">
        <v>32</v>
      </c>
      <c r="D2090" s="46" t="s">
        <v>32</v>
      </c>
      <c r="E2090" s="46" t="s">
        <v>32</v>
      </c>
      <c r="F2090" s="47">
        <f>[1]!BexGetData("DP_2","DL719O2RYNC0Y217V0FVT1R77","17","F","37014018F102","2067221031")</f>
        <v>499</v>
      </c>
      <c r="G2090" s="48">
        <f>[1]!BexGetData("DP_2","DL719O2RYNEBZX0HTMQQ0BY0J","17","F","37014018F102","2067221031")</f>
        <v>499</v>
      </c>
      <c r="H2090" s="48">
        <f>[1]!BexGetData("DP_2","DL719O2RYNGN1RZRS91K7M4TV","17","F","37014018F102","2067221031")</f>
        <v>499</v>
      </c>
      <c r="I2090" s="48">
        <f>[1]!BexGetData("DP_2","DL719O2RYNIY3MZ1QVCEEWBN7","17","F","37014018F102","2067221031")</f>
        <v>0</v>
      </c>
    </row>
    <row r="2091" spans="1:9" x14ac:dyDescent="0.2">
      <c r="A2091" s="46" t="s">
        <v>32</v>
      </c>
      <c r="B2091" s="46" t="s">
        <v>32</v>
      </c>
      <c r="C2091" s="46" t="s">
        <v>32</v>
      </c>
      <c r="D2091" s="46" t="s">
        <v>32</v>
      </c>
      <c r="E2091" s="46" t="s">
        <v>32</v>
      </c>
      <c r="F2091" s="47">
        <f>[1]!BexGetData("DP_2","DL719O2RYNC0Y217V0FVT1R77","17","F","37014018F102","2067246011")</f>
        <v>154.6</v>
      </c>
      <c r="G2091" s="48">
        <f>[1]!BexGetData("DP_2","DL719O2RYNEBZX0HTMQQ0BY0J","17","F","37014018F102","2067246011")</f>
        <v>154.6</v>
      </c>
      <c r="H2091" s="48">
        <f>[1]!BexGetData("DP_2","DL719O2RYNGN1RZRS91K7M4TV","17","F","37014018F102","2067246011")</f>
        <v>154.6</v>
      </c>
      <c r="I2091" s="48">
        <f>[1]!BexGetData("DP_2","DL719O2RYNIY3MZ1QVCEEWBN7","17","F","37014018F102","2067246011")</f>
        <v>0</v>
      </c>
    </row>
    <row r="2092" spans="1:9" x14ac:dyDescent="0.2">
      <c r="A2092" s="46" t="s">
        <v>32</v>
      </c>
      <c r="B2092" s="46" t="s">
        <v>32</v>
      </c>
      <c r="C2092" s="46" t="s">
        <v>32</v>
      </c>
      <c r="D2092" s="46" t="s">
        <v>32</v>
      </c>
      <c r="E2092" s="46" t="s">
        <v>32</v>
      </c>
      <c r="F2092" s="47">
        <f>[1]!BexGetData("DP_2","DL719O2RYNC0Y217V0FVT1R77","17","F","37014018F102","2067247011")</f>
        <v>245231.35</v>
      </c>
      <c r="G2092" s="48">
        <f>[1]!BexGetData("DP_2","DL719O2RYNEBZX0HTMQQ0BY0J","17","F","37014018F102","2067247011")</f>
        <v>245231.35</v>
      </c>
      <c r="H2092" s="48">
        <f>[1]!BexGetData("DP_2","DL719O2RYNGN1RZRS91K7M4TV","17","F","37014018F102","2067247011")</f>
        <v>245231.35</v>
      </c>
      <c r="I2092" s="48">
        <f>[1]!BexGetData("DP_2","DL719O2RYNIY3MZ1QVCEEWBN7","17","F","37014018F102","2067247011")</f>
        <v>0</v>
      </c>
    </row>
    <row r="2093" spans="1:9" x14ac:dyDescent="0.2">
      <c r="A2093" s="46" t="s">
        <v>32</v>
      </c>
      <c r="B2093" s="46" t="s">
        <v>32</v>
      </c>
      <c r="C2093" s="46" t="s">
        <v>32</v>
      </c>
      <c r="D2093" s="46" t="s">
        <v>32</v>
      </c>
      <c r="E2093" s="46" t="s">
        <v>32</v>
      </c>
      <c r="F2093" s="47">
        <f>[1]!BexGetData("DP_2","DL719O2RYNC0Y217V0FVT1R77","17","F","37014018F102","2067249011")</f>
        <v>18102.2</v>
      </c>
      <c r="G2093" s="48">
        <f>[1]!BexGetData("DP_2","DL719O2RYNEBZX0HTMQQ0BY0J","17","F","37014018F102","2067249011")</f>
        <v>18102.2</v>
      </c>
      <c r="H2093" s="48">
        <f>[1]!BexGetData("DP_2","DL719O2RYNGN1RZRS91K7M4TV","17","F","37014018F102","2067249011")</f>
        <v>18102.2</v>
      </c>
      <c r="I2093" s="48">
        <f>[1]!BexGetData("DP_2","DL719O2RYNIY3MZ1QVCEEWBN7","17","F","37014018F102","2067249011")</f>
        <v>0</v>
      </c>
    </row>
    <row r="2094" spans="1:9" x14ac:dyDescent="0.2">
      <c r="A2094" s="46" t="s">
        <v>32</v>
      </c>
      <c r="B2094" s="46" t="s">
        <v>32</v>
      </c>
      <c r="C2094" s="46" t="s">
        <v>32</v>
      </c>
      <c r="D2094" s="46" t="s">
        <v>32</v>
      </c>
      <c r="E2094" s="46" t="s">
        <v>32</v>
      </c>
      <c r="F2094" s="47">
        <f>[1]!BexGetData("DP_2","DL719O2RYNC0Y217V0FVT1R77","17","F","37014018F102","2067256011")</f>
        <v>1805.45</v>
      </c>
      <c r="G2094" s="48">
        <f>[1]!BexGetData("DP_2","DL719O2RYNEBZX0HTMQQ0BY0J","17","F","37014018F102","2067256011")</f>
        <v>1805.45</v>
      </c>
      <c r="H2094" s="48">
        <f>[1]!BexGetData("DP_2","DL719O2RYNGN1RZRS91K7M4TV","17","F","37014018F102","2067256011")</f>
        <v>819.45</v>
      </c>
      <c r="I2094" s="48">
        <f>[1]!BexGetData("DP_2","DL719O2RYNIY3MZ1QVCEEWBN7","17","F","37014018F102","2067256011")</f>
        <v>0</v>
      </c>
    </row>
    <row r="2095" spans="1:9" x14ac:dyDescent="0.2">
      <c r="A2095" s="46" t="s">
        <v>32</v>
      </c>
      <c r="B2095" s="46" t="s">
        <v>32</v>
      </c>
      <c r="C2095" s="46" t="s">
        <v>32</v>
      </c>
      <c r="D2095" s="46" t="s">
        <v>32</v>
      </c>
      <c r="E2095" s="46" t="s">
        <v>32</v>
      </c>
      <c r="F2095" s="47">
        <f>[1]!BexGetData("DP_2","DL719O2RYNC0Y217V0FVT1R77","17","F","37014018F102","2067261011")</f>
        <v>0</v>
      </c>
      <c r="G2095" s="48">
        <f>[1]!BexGetData("DP_2","DL719O2RYNEBZX0HTMQQ0BY0J","17","F","37014018F102","2067261011")</f>
        <v>0</v>
      </c>
      <c r="H2095" s="48">
        <f>[1]!BexGetData("DP_2","DL719O2RYNGN1RZRS91K7M4TV","17","F","37014018F102","2067261011")</f>
        <v>0</v>
      </c>
      <c r="I2095" s="48">
        <f>[1]!BexGetData("DP_2","DL719O2RYNIY3MZ1QVCEEWBN7","17","F","37014018F102","2067261011")</f>
        <v>0</v>
      </c>
    </row>
    <row r="2096" spans="1:9" x14ac:dyDescent="0.2">
      <c r="A2096" s="46" t="s">
        <v>32</v>
      </c>
      <c r="B2096" s="46" t="s">
        <v>32</v>
      </c>
      <c r="C2096" s="46" t="s">
        <v>32</v>
      </c>
      <c r="D2096" s="46" t="s">
        <v>32</v>
      </c>
      <c r="E2096" s="46" t="s">
        <v>32</v>
      </c>
      <c r="F2096" s="47">
        <f>[1]!BexGetData("DP_2","DL719O2RYNC0Y217V0FVT1R77","17","F","37014018F102","2067272011")</f>
        <v>151</v>
      </c>
      <c r="G2096" s="48">
        <f>[1]!BexGetData("DP_2","DL719O2RYNEBZX0HTMQQ0BY0J","17","F","37014018F102","2067272011")</f>
        <v>151</v>
      </c>
      <c r="H2096" s="48">
        <f>[1]!BexGetData("DP_2","DL719O2RYNGN1RZRS91K7M4TV","17","F","37014018F102","2067272011")</f>
        <v>122</v>
      </c>
      <c r="I2096" s="48">
        <f>[1]!BexGetData("DP_2","DL719O2RYNIY3MZ1QVCEEWBN7","17","F","37014018F102","2067272011")</f>
        <v>0</v>
      </c>
    </row>
    <row r="2097" spans="1:9" x14ac:dyDescent="0.2">
      <c r="A2097" s="46" t="s">
        <v>32</v>
      </c>
      <c r="B2097" s="46" t="s">
        <v>32</v>
      </c>
      <c r="C2097" s="46" t="s">
        <v>32</v>
      </c>
      <c r="D2097" s="46" t="s">
        <v>32</v>
      </c>
      <c r="E2097" s="46" t="s">
        <v>32</v>
      </c>
      <c r="F2097" s="47">
        <f>[1]!BexGetData("DP_2","DL719O2RYNC0Y217V0FVT1R77","17","F","37014018F102","2067291011")</f>
        <v>66.97</v>
      </c>
      <c r="G2097" s="48">
        <f>[1]!BexGetData("DP_2","DL719O2RYNEBZX0HTMQQ0BY0J","17","F","37014018F102","2067291011")</f>
        <v>66.97</v>
      </c>
      <c r="H2097" s="48">
        <f>[1]!BexGetData("DP_2","DL719O2RYNGN1RZRS91K7M4TV","17","F","37014018F102","2067291011")</f>
        <v>66.97</v>
      </c>
      <c r="I2097" s="48">
        <f>[1]!BexGetData("DP_2","DL719O2RYNIY3MZ1QVCEEWBN7","17","F","37014018F102","2067291011")</f>
        <v>0</v>
      </c>
    </row>
    <row r="2098" spans="1:9" x14ac:dyDescent="0.2">
      <c r="A2098" s="46" t="s">
        <v>32</v>
      </c>
      <c r="B2098" s="46" t="s">
        <v>32</v>
      </c>
      <c r="C2098" s="46" t="s">
        <v>32</v>
      </c>
      <c r="D2098" s="46" t="s">
        <v>32</v>
      </c>
      <c r="E2098" s="46" t="s">
        <v>32</v>
      </c>
      <c r="F2098" s="47">
        <f>[1]!BexGetData("DP_2","DL719O2RYNC0Y217V0FVT1R77","17","F","37014018F102","2067293041")</f>
        <v>3480</v>
      </c>
      <c r="G2098" s="48">
        <f>[1]!BexGetData("DP_2","DL719O2RYNEBZX0HTMQQ0BY0J","17","F","37014018F102","2067293041")</f>
        <v>3480</v>
      </c>
      <c r="H2098" s="48">
        <f>[1]!BexGetData("DP_2","DL719O2RYNGN1RZRS91K7M4TV","17","F","37014018F102","2067293041")</f>
        <v>0</v>
      </c>
      <c r="I2098" s="48">
        <f>[1]!BexGetData("DP_2","DL719O2RYNIY3MZ1QVCEEWBN7","17","F","37014018F102","2067293041")</f>
        <v>0</v>
      </c>
    </row>
    <row r="2099" spans="1:9" x14ac:dyDescent="0.2">
      <c r="A2099" s="46" t="s">
        <v>32</v>
      </c>
      <c r="B2099" s="46" t="s">
        <v>32</v>
      </c>
      <c r="C2099" s="46" t="s">
        <v>32</v>
      </c>
      <c r="D2099" s="46" t="s">
        <v>32</v>
      </c>
      <c r="E2099" s="46" t="s">
        <v>32</v>
      </c>
      <c r="F2099" s="47">
        <f>[1]!BexGetData("DP_2","DL719O2RYNC0Y217V0FVT1R77","17","F","37014018F102","2067294011")</f>
        <v>348.99</v>
      </c>
      <c r="G2099" s="48">
        <f>[1]!BexGetData("DP_2","DL719O2RYNEBZX0HTMQQ0BY0J","17","F","37014018F102","2067294011")</f>
        <v>348.99</v>
      </c>
      <c r="H2099" s="48">
        <f>[1]!BexGetData("DP_2","DL719O2RYNGN1RZRS91K7M4TV","17","F","37014018F102","2067294011")</f>
        <v>348.99</v>
      </c>
      <c r="I2099" s="48">
        <f>[1]!BexGetData("DP_2","DL719O2RYNIY3MZ1QVCEEWBN7","17","F","37014018F102","2067294011")</f>
        <v>0</v>
      </c>
    </row>
    <row r="2100" spans="1:9" x14ac:dyDescent="0.2">
      <c r="A2100" s="46" t="s">
        <v>32</v>
      </c>
      <c r="B2100" s="46" t="s">
        <v>32</v>
      </c>
      <c r="C2100" s="46" t="s">
        <v>32</v>
      </c>
      <c r="D2100" s="46" t="s">
        <v>32</v>
      </c>
      <c r="E2100" s="46" t="s">
        <v>32</v>
      </c>
      <c r="F2100" s="47">
        <f>[1]!BexGetData("DP_2","DL719O2RYNC0Y217V0FVT1R77","17","F","37014018F102","2067311011")</f>
        <v>40789.64</v>
      </c>
      <c r="G2100" s="48">
        <f>[1]!BexGetData("DP_2","DL719O2RYNEBZX0HTMQQ0BY0J","17","F","37014018F102","2067311011")</f>
        <v>40789.64</v>
      </c>
      <c r="H2100" s="48">
        <f>[1]!BexGetData("DP_2","DL719O2RYNGN1RZRS91K7M4TV","17","F","37014018F102","2067311011")</f>
        <v>34286.639999999999</v>
      </c>
      <c r="I2100" s="48">
        <f>[1]!BexGetData("DP_2","DL719O2RYNIY3MZ1QVCEEWBN7","17","F","37014018F102","2067311011")</f>
        <v>0</v>
      </c>
    </row>
    <row r="2101" spans="1:9" x14ac:dyDescent="0.2">
      <c r="A2101" s="46" t="s">
        <v>32</v>
      </c>
      <c r="B2101" s="46" t="s">
        <v>32</v>
      </c>
      <c r="C2101" s="46" t="s">
        <v>32</v>
      </c>
      <c r="D2101" s="46" t="s">
        <v>32</v>
      </c>
      <c r="E2101" s="46" t="s">
        <v>32</v>
      </c>
      <c r="F2101" s="47">
        <f>[1]!BexGetData("DP_2","DL719O2RYNC0Y217V0FVT1R77","17","F","37014018F102","2067312011")</f>
        <v>5552.35</v>
      </c>
      <c r="G2101" s="48">
        <f>[1]!BexGetData("DP_2","DL719O2RYNEBZX0HTMQQ0BY0J","17","F","37014018F102","2067312011")</f>
        <v>5552.35</v>
      </c>
      <c r="H2101" s="48">
        <f>[1]!BexGetData("DP_2","DL719O2RYNGN1RZRS91K7M4TV","17","F","37014018F102","2067312011")</f>
        <v>5552.35</v>
      </c>
      <c r="I2101" s="48">
        <f>[1]!BexGetData("DP_2","DL719O2RYNIY3MZ1QVCEEWBN7","17","F","37014018F102","2067312011")</f>
        <v>0</v>
      </c>
    </row>
    <row r="2102" spans="1:9" x14ac:dyDescent="0.2">
      <c r="A2102" s="46" t="s">
        <v>32</v>
      </c>
      <c r="B2102" s="46" t="s">
        <v>32</v>
      </c>
      <c r="C2102" s="46" t="s">
        <v>32</v>
      </c>
      <c r="D2102" s="46" t="s">
        <v>32</v>
      </c>
      <c r="E2102" s="46" t="s">
        <v>32</v>
      </c>
      <c r="F2102" s="47">
        <f>[1]!BexGetData("DP_2","DL719O2RYNC0Y217V0FVT1R77","17","F","37014018F102","2067313011")</f>
        <v>21372</v>
      </c>
      <c r="G2102" s="48">
        <f>[1]!BexGetData("DP_2","DL719O2RYNEBZX0HTMQQ0BY0J","17","F","37014018F102","2067313011")</f>
        <v>21372</v>
      </c>
      <c r="H2102" s="48">
        <f>[1]!BexGetData("DP_2","DL719O2RYNGN1RZRS91K7M4TV","17","F","37014018F102","2067313011")</f>
        <v>21372</v>
      </c>
      <c r="I2102" s="48">
        <f>[1]!BexGetData("DP_2","DL719O2RYNIY3MZ1QVCEEWBN7","17","F","37014018F102","2067313011")</f>
        <v>0</v>
      </c>
    </row>
    <row r="2103" spans="1:9" x14ac:dyDescent="0.2">
      <c r="A2103" s="46" t="s">
        <v>32</v>
      </c>
      <c r="B2103" s="46" t="s">
        <v>32</v>
      </c>
      <c r="C2103" s="46" t="s">
        <v>32</v>
      </c>
      <c r="D2103" s="46" t="s">
        <v>32</v>
      </c>
      <c r="E2103" s="46" t="s">
        <v>32</v>
      </c>
      <c r="F2103" s="47">
        <f>[1]!BexGetData("DP_2","DL719O2RYNC0Y217V0FVT1R77","17","F","37014018F102","2067314011")</f>
        <v>47525.09</v>
      </c>
      <c r="G2103" s="48">
        <f>[1]!BexGetData("DP_2","DL719O2RYNEBZX0HTMQQ0BY0J","17","F","37014018F102","2067314011")</f>
        <v>47525.09</v>
      </c>
      <c r="H2103" s="48">
        <f>[1]!BexGetData("DP_2","DL719O2RYNGN1RZRS91K7M4TV","17","F","37014018F102","2067314011")</f>
        <v>47525.09</v>
      </c>
      <c r="I2103" s="48">
        <f>[1]!BexGetData("DP_2","DL719O2RYNIY3MZ1QVCEEWBN7","17","F","37014018F102","2067314011")</f>
        <v>0</v>
      </c>
    </row>
    <row r="2104" spans="1:9" x14ac:dyDescent="0.2">
      <c r="A2104" s="46" t="s">
        <v>32</v>
      </c>
      <c r="B2104" s="46" t="s">
        <v>32</v>
      </c>
      <c r="C2104" s="46" t="s">
        <v>32</v>
      </c>
      <c r="D2104" s="46" t="s">
        <v>32</v>
      </c>
      <c r="E2104" s="46" t="s">
        <v>32</v>
      </c>
      <c r="F2104" s="47">
        <f>[1]!BexGetData("DP_2","DL719O2RYNC0Y217V0FVT1R77","17","F","37014018F102","2067315011")</f>
        <v>0</v>
      </c>
      <c r="G2104" s="48">
        <f>[1]!BexGetData("DP_2","DL719O2RYNEBZX0HTMQQ0BY0J","17","F","37014018F102","2067315011")</f>
        <v>0</v>
      </c>
      <c r="H2104" s="48">
        <f>[1]!BexGetData("DP_2","DL719O2RYNGN1RZRS91K7M4TV","17","F","37014018F102","2067315011")</f>
        <v>0</v>
      </c>
      <c r="I2104" s="48">
        <f>[1]!BexGetData("DP_2","DL719O2RYNIY3MZ1QVCEEWBN7","17","F","37014018F102","2067315011")</f>
        <v>0</v>
      </c>
    </row>
    <row r="2105" spans="1:9" x14ac:dyDescent="0.2">
      <c r="A2105" s="46" t="s">
        <v>32</v>
      </c>
      <c r="B2105" s="46" t="s">
        <v>32</v>
      </c>
      <c r="C2105" s="46" t="s">
        <v>32</v>
      </c>
      <c r="D2105" s="46" t="s">
        <v>32</v>
      </c>
      <c r="E2105" s="46" t="s">
        <v>32</v>
      </c>
      <c r="F2105" s="47">
        <f>[1]!BexGetData("DP_2","DL719O2RYNC0Y217V0FVT1R77","17","F","37014018F102","2067318011")</f>
        <v>0</v>
      </c>
      <c r="G2105" s="48">
        <f>[1]!BexGetData("DP_2","DL719O2RYNEBZX0HTMQQ0BY0J","17","F","37014018F102","2067318011")</f>
        <v>0</v>
      </c>
      <c r="H2105" s="48">
        <f>[1]!BexGetData("DP_2","DL719O2RYNGN1RZRS91K7M4TV","17","F","37014018F102","2067318011")</f>
        <v>0</v>
      </c>
      <c r="I2105" s="48">
        <f>[1]!BexGetData("DP_2","DL719O2RYNIY3MZ1QVCEEWBN7","17","F","37014018F102","2067318011")</f>
        <v>0</v>
      </c>
    </row>
    <row r="2106" spans="1:9" x14ac:dyDescent="0.2">
      <c r="A2106" s="46" t="s">
        <v>32</v>
      </c>
      <c r="B2106" s="46" t="s">
        <v>32</v>
      </c>
      <c r="C2106" s="46" t="s">
        <v>32</v>
      </c>
      <c r="D2106" s="46" t="s">
        <v>32</v>
      </c>
      <c r="E2106" s="46" t="s">
        <v>32</v>
      </c>
      <c r="F2106" s="47">
        <f>[1]!BexGetData("DP_2","DL719O2RYNC0Y217V0FVT1R77","17","F","37014018F102","2067323011")</f>
        <v>0</v>
      </c>
      <c r="G2106" s="48">
        <f>[1]!BexGetData("DP_2","DL719O2RYNEBZX0HTMQQ0BY0J","17","F","37014018F102","2067323011")</f>
        <v>0</v>
      </c>
      <c r="H2106" s="48">
        <f>[1]!BexGetData("DP_2","DL719O2RYNGN1RZRS91K7M4TV","17","F","37014018F102","2067323011")</f>
        <v>0</v>
      </c>
      <c r="I2106" s="48">
        <f>[1]!BexGetData("DP_2","DL719O2RYNIY3MZ1QVCEEWBN7","17","F","37014018F102","2067323011")</f>
        <v>0</v>
      </c>
    </row>
    <row r="2107" spans="1:9" x14ac:dyDescent="0.2">
      <c r="A2107" s="46" t="s">
        <v>32</v>
      </c>
      <c r="B2107" s="46" t="s">
        <v>32</v>
      </c>
      <c r="C2107" s="46" t="s">
        <v>32</v>
      </c>
      <c r="D2107" s="46" t="s">
        <v>32</v>
      </c>
      <c r="E2107" s="46" t="s">
        <v>32</v>
      </c>
      <c r="F2107" s="47">
        <f>[1]!BexGetData("DP_2","DL719O2RYNC0Y217V0FVT1R77","17","F","37014018F102","2067329011")</f>
        <v>123864.8</v>
      </c>
      <c r="G2107" s="48">
        <f>[1]!BexGetData("DP_2","DL719O2RYNEBZX0HTMQQ0BY0J","17","F","37014018F102","2067329011")</f>
        <v>123864.8</v>
      </c>
      <c r="H2107" s="48">
        <f>[1]!BexGetData("DP_2","DL719O2RYNGN1RZRS91K7M4TV","17","F","37014018F102","2067329011")</f>
        <v>118644.8</v>
      </c>
      <c r="I2107" s="48">
        <f>[1]!BexGetData("DP_2","DL719O2RYNIY3MZ1QVCEEWBN7","17","F","37014018F102","2067329011")</f>
        <v>0</v>
      </c>
    </row>
    <row r="2108" spans="1:9" x14ac:dyDescent="0.2">
      <c r="A2108" s="46" t="s">
        <v>32</v>
      </c>
      <c r="B2108" s="46" t="s">
        <v>32</v>
      </c>
      <c r="C2108" s="46" t="s">
        <v>32</v>
      </c>
      <c r="D2108" s="46" t="s">
        <v>32</v>
      </c>
      <c r="E2108" s="46" t="s">
        <v>32</v>
      </c>
      <c r="F2108" s="47">
        <f>[1]!BexGetData("DP_2","DL719O2RYNC0Y217V0FVT1R77","17","F","37014018F102","2067332011")</f>
        <v>9860</v>
      </c>
      <c r="G2108" s="48">
        <f>[1]!BexGetData("DP_2","DL719O2RYNEBZX0HTMQQ0BY0J","17","F","37014018F102","2067332011")</f>
        <v>9860</v>
      </c>
      <c r="H2108" s="48">
        <f>[1]!BexGetData("DP_2","DL719O2RYNGN1RZRS91K7M4TV","17","F","37014018F102","2067332011")</f>
        <v>9860</v>
      </c>
      <c r="I2108" s="48">
        <f>[1]!BexGetData("DP_2","DL719O2RYNIY3MZ1QVCEEWBN7","17","F","37014018F102","2067332011")</f>
        <v>0</v>
      </c>
    </row>
    <row r="2109" spans="1:9" x14ac:dyDescent="0.2">
      <c r="A2109" s="46" t="s">
        <v>32</v>
      </c>
      <c r="B2109" s="46" t="s">
        <v>32</v>
      </c>
      <c r="C2109" s="46" t="s">
        <v>32</v>
      </c>
      <c r="D2109" s="46" t="s">
        <v>32</v>
      </c>
      <c r="E2109" s="46" t="s">
        <v>32</v>
      </c>
      <c r="F2109" s="47">
        <f>[1]!BexGetData("DP_2","DL719O2RYNC0Y217V0FVT1R77","17","F","37014018F102","2067335011")</f>
        <v>11600</v>
      </c>
      <c r="G2109" s="48">
        <f>[1]!BexGetData("DP_2","DL719O2RYNEBZX0HTMQQ0BY0J","17","F","37014018F102","2067335011")</f>
        <v>11600</v>
      </c>
      <c r="H2109" s="48">
        <f>[1]!BexGetData("DP_2","DL719O2RYNGN1RZRS91K7M4TV","17","F","37014018F102","2067335011")</f>
        <v>11600</v>
      </c>
      <c r="I2109" s="48">
        <f>[1]!BexGetData("DP_2","DL719O2RYNIY3MZ1QVCEEWBN7","17","F","37014018F102","2067335011")</f>
        <v>0</v>
      </c>
    </row>
    <row r="2110" spans="1:9" x14ac:dyDescent="0.2">
      <c r="A2110" s="46" t="s">
        <v>32</v>
      </c>
      <c r="B2110" s="46" t="s">
        <v>32</v>
      </c>
      <c r="C2110" s="46" t="s">
        <v>32</v>
      </c>
      <c r="D2110" s="46" t="s">
        <v>32</v>
      </c>
      <c r="E2110" s="46" t="s">
        <v>32</v>
      </c>
      <c r="F2110" s="47">
        <f>[1]!BexGetData("DP_2","DL719O2RYNC0Y217V0FVT1R77","17","F","37014018F102","2067336011")</f>
        <v>203833.36</v>
      </c>
      <c r="G2110" s="48">
        <f>[1]!BexGetData("DP_2","DL719O2RYNEBZX0HTMQQ0BY0J","17","F","37014018F102","2067336011")</f>
        <v>203833.36</v>
      </c>
      <c r="H2110" s="48">
        <f>[1]!BexGetData("DP_2","DL719O2RYNGN1RZRS91K7M4TV","17","F","37014018F102","2067336011")</f>
        <v>172748.4</v>
      </c>
      <c r="I2110" s="48">
        <f>[1]!BexGetData("DP_2","DL719O2RYNIY3MZ1QVCEEWBN7","17","F","37014018F102","2067336011")</f>
        <v>0</v>
      </c>
    </row>
    <row r="2111" spans="1:9" x14ac:dyDescent="0.2">
      <c r="A2111" s="46" t="s">
        <v>32</v>
      </c>
      <c r="B2111" s="46" t="s">
        <v>32</v>
      </c>
      <c r="C2111" s="46" t="s">
        <v>32</v>
      </c>
      <c r="D2111" s="46" t="s">
        <v>32</v>
      </c>
      <c r="E2111" s="46" t="s">
        <v>32</v>
      </c>
      <c r="F2111" s="47">
        <f>[1]!BexGetData("DP_2","DL719O2RYNC0Y217V0FVT1R77","17","F","37014018F102","2067339011")</f>
        <v>68092</v>
      </c>
      <c r="G2111" s="48">
        <f>[1]!BexGetData("DP_2","DL719O2RYNEBZX0HTMQQ0BY0J","17","F","37014018F102","2067339011")</f>
        <v>68092</v>
      </c>
      <c r="H2111" s="48">
        <f>[1]!BexGetData("DP_2","DL719O2RYNGN1RZRS91K7M4TV","17","F","37014018F102","2067339011")</f>
        <v>68092</v>
      </c>
      <c r="I2111" s="48">
        <f>[1]!BexGetData("DP_2","DL719O2RYNIY3MZ1QVCEEWBN7","17","F","37014018F102","2067339011")</f>
        <v>0</v>
      </c>
    </row>
    <row r="2112" spans="1:9" x14ac:dyDescent="0.2">
      <c r="A2112" s="46" t="s">
        <v>32</v>
      </c>
      <c r="B2112" s="46" t="s">
        <v>32</v>
      </c>
      <c r="C2112" s="46" t="s">
        <v>32</v>
      </c>
      <c r="D2112" s="46" t="s">
        <v>32</v>
      </c>
      <c r="E2112" s="46" t="s">
        <v>32</v>
      </c>
      <c r="F2112" s="47">
        <f>[1]!BexGetData("DP_2","DL719O2RYNC0Y217V0FVT1R77","17","F","37014018F102","2067339021")</f>
        <v>25752</v>
      </c>
      <c r="G2112" s="48">
        <f>[1]!BexGetData("DP_2","DL719O2RYNEBZX0HTMQQ0BY0J","17","F","37014018F102","2067339021")</f>
        <v>25752</v>
      </c>
      <c r="H2112" s="48">
        <f>[1]!BexGetData("DP_2","DL719O2RYNGN1RZRS91K7M4TV","17","F","37014018F102","2067339021")</f>
        <v>25752</v>
      </c>
      <c r="I2112" s="48">
        <f>[1]!BexGetData("DP_2","DL719O2RYNIY3MZ1QVCEEWBN7","17","F","37014018F102","2067339021")</f>
        <v>0</v>
      </c>
    </row>
    <row r="2113" spans="1:9" x14ac:dyDescent="0.2">
      <c r="A2113" s="46" t="s">
        <v>32</v>
      </c>
      <c r="B2113" s="46" t="s">
        <v>32</v>
      </c>
      <c r="C2113" s="46" t="s">
        <v>32</v>
      </c>
      <c r="D2113" s="46" t="s">
        <v>32</v>
      </c>
      <c r="E2113" s="46" t="s">
        <v>32</v>
      </c>
      <c r="F2113" s="47">
        <f>[1]!BexGetData("DP_2","DL719O2RYNC0Y217V0FVT1R77","17","F","37014018F102","2067352011")</f>
        <v>3132</v>
      </c>
      <c r="G2113" s="48">
        <f>[1]!BexGetData("DP_2","DL719O2RYNEBZX0HTMQQ0BY0J","17","F","37014018F102","2067352011")</f>
        <v>3132</v>
      </c>
      <c r="H2113" s="48">
        <f>[1]!BexGetData("DP_2","DL719O2RYNGN1RZRS91K7M4TV","17","F","37014018F102","2067352011")</f>
        <v>3132</v>
      </c>
      <c r="I2113" s="48">
        <f>[1]!BexGetData("DP_2","DL719O2RYNIY3MZ1QVCEEWBN7","17","F","37014018F102","2067352011")</f>
        <v>0</v>
      </c>
    </row>
    <row r="2114" spans="1:9" x14ac:dyDescent="0.2">
      <c r="A2114" s="46" t="s">
        <v>32</v>
      </c>
      <c r="B2114" s="46" t="s">
        <v>32</v>
      </c>
      <c r="C2114" s="46" t="s">
        <v>32</v>
      </c>
      <c r="D2114" s="46" t="s">
        <v>32</v>
      </c>
      <c r="E2114" s="46" t="s">
        <v>32</v>
      </c>
      <c r="F2114" s="47">
        <f>[1]!BexGetData("DP_2","DL719O2RYNC0Y217V0FVT1R77","17","F","37014018F102","2067352021")</f>
        <v>12199.99</v>
      </c>
      <c r="G2114" s="48">
        <f>[1]!BexGetData("DP_2","DL719O2RYNEBZX0HTMQQ0BY0J","17","F","37014018F102","2067352021")</f>
        <v>12199.99</v>
      </c>
      <c r="H2114" s="48">
        <f>[1]!BexGetData("DP_2","DL719O2RYNGN1RZRS91K7M4TV","17","F","37014018F102","2067352021")</f>
        <v>7200</v>
      </c>
      <c r="I2114" s="48">
        <f>[1]!BexGetData("DP_2","DL719O2RYNIY3MZ1QVCEEWBN7","17","F","37014018F102","2067352021")</f>
        <v>0</v>
      </c>
    </row>
    <row r="2115" spans="1:9" x14ac:dyDescent="0.2">
      <c r="A2115" s="46" t="s">
        <v>32</v>
      </c>
      <c r="B2115" s="46" t="s">
        <v>32</v>
      </c>
      <c r="C2115" s="46" t="s">
        <v>32</v>
      </c>
      <c r="D2115" s="46" t="s">
        <v>32</v>
      </c>
      <c r="E2115" s="46" t="s">
        <v>32</v>
      </c>
      <c r="F2115" s="47">
        <f>[1]!BexGetData("DP_2","DL719O2RYNC0Y217V0FVT1R77","17","F","37014018F102","2067355011")</f>
        <v>0</v>
      </c>
      <c r="G2115" s="48">
        <f>[1]!BexGetData("DP_2","DL719O2RYNEBZX0HTMQQ0BY0J","17","F","37014018F102","2067355011")</f>
        <v>0</v>
      </c>
      <c r="H2115" s="48">
        <f>[1]!BexGetData("DP_2","DL719O2RYNGN1RZRS91K7M4TV","17","F","37014018F102","2067355011")</f>
        <v>0</v>
      </c>
      <c r="I2115" s="48">
        <f>[1]!BexGetData("DP_2","DL719O2RYNIY3MZ1QVCEEWBN7","17","F","37014018F102","2067355011")</f>
        <v>0</v>
      </c>
    </row>
    <row r="2116" spans="1:9" x14ac:dyDescent="0.2">
      <c r="A2116" s="46" t="s">
        <v>32</v>
      </c>
      <c r="B2116" s="46" t="s">
        <v>32</v>
      </c>
      <c r="C2116" s="46" t="s">
        <v>32</v>
      </c>
      <c r="D2116" s="46" t="s">
        <v>32</v>
      </c>
      <c r="E2116" s="46" t="s">
        <v>32</v>
      </c>
      <c r="F2116" s="47">
        <f>[1]!BexGetData("DP_2","DL719O2RYNC0Y217V0FVT1R77","17","F","37014018F102","2067357091")</f>
        <v>450</v>
      </c>
      <c r="G2116" s="48">
        <f>[1]!BexGetData("DP_2","DL719O2RYNEBZX0HTMQQ0BY0J","17","F","37014018F102","2067357091")</f>
        <v>450</v>
      </c>
      <c r="H2116" s="48">
        <f>[1]!BexGetData("DP_2","DL719O2RYNGN1RZRS91K7M4TV","17","F","37014018F102","2067357091")</f>
        <v>450</v>
      </c>
      <c r="I2116" s="48">
        <f>[1]!BexGetData("DP_2","DL719O2RYNIY3MZ1QVCEEWBN7","17","F","37014018F102","2067357091")</f>
        <v>0</v>
      </c>
    </row>
    <row r="2117" spans="1:9" x14ac:dyDescent="0.2">
      <c r="A2117" s="46" t="s">
        <v>32</v>
      </c>
      <c r="B2117" s="46" t="s">
        <v>32</v>
      </c>
      <c r="C2117" s="46" t="s">
        <v>32</v>
      </c>
      <c r="D2117" s="46" t="s">
        <v>32</v>
      </c>
      <c r="E2117" s="46" t="s">
        <v>32</v>
      </c>
      <c r="F2117" s="47">
        <f>[1]!BexGetData("DP_2","DL719O2RYNC0Y217V0FVT1R77","17","F","37014018F102","2067358011")</f>
        <v>23200</v>
      </c>
      <c r="G2117" s="48">
        <f>[1]!BexGetData("DP_2","DL719O2RYNEBZX0HTMQQ0BY0J","17","F","37014018F102","2067358011")</f>
        <v>23200</v>
      </c>
      <c r="H2117" s="48">
        <f>[1]!BexGetData("DP_2","DL719O2RYNGN1RZRS91K7M4TV","17","F","37014018F102","2067358011")</f>
        <v>23200</v>
      </c>
      <c r="I2117" s="48">
        <f>[1]!BexGetData("DP_2","DL719O2RYNIY3MZ1QVCEEWBN7","17","F","37014018F102","2067358011")</f>
        <v>0</v>
      </c>
    </row>
    <row r="2118" spans="1:9" x14ac:dyDescent="0.2">
      <c r="A2118" s="46" t="s">
        <v>32</v>
      </c>
      <c r="B2118" s="46" t="s">
        <v>32</v>
      </c>
      <c r="C2118" s="46" t="s">
        <v>32</v>
      </c>
      <c r="D2118" s="46" t="s">
        <v>32</v>
      </c>
      <c r="E2118" s="46" t="s">
        <v>32</v>
      </c>
      <c r="F2118" s="47">
        <f>[1]!BexGetData("DP_2","DL719O2RYNC0Y217V0FVT1R77","17","F","37014018F102","2067361011")</f>
        <v>20000</v>
      </c>
      <c r="G2118" s="48">
        <f>[1]!BexGetData("DP_2","DL719O2RYNEBZX0HTMQQ0BY0J","17","F","37014018F102","2067361011")</f>
        <v>20000</v>
      </c>
      <c r="H2118" s="48">
        <f>[1]!BexGetData("DP_2","DL719O2RYNGN1RZRS91K7M4TV","17","F","37014018F102","2067361011")</f>
        <v>20000</v>
      </c>
      <c r="I2118" s="48">
        <f>[1]!BexGetData("DP_2","DL719O2RYNIY3MZ1QVCEEWBN7","17","F","37014018F102","2067361011")</f>
        <v>0</v>
      </c>
    </row>
    <row r="2119" spans="1:9" x14ac:dyDescent="0.2">
      <c r="A2119" s="46" t="s">
        <v>32</v>
      </c>
      <c r="B2119" s="46" t="s">
        <v>32</v>
      </c>
      <c r="C2119" s="46" t="s">
        <v>32</v>
      </c>
      <c r="D2119" s="46" t="s">
        <v>32</v>
      </c>
      <c r="E2119" s="46" t="s">
        <v>32</v>
      </c>
      <c r="F2119" s="47">
        <f>[1]!BexGetData("DP_2","DL719O2RYNC0Y217V0FVT1R77","17","F","37014018F102","2067364011")</f>
        <v>15193.22</v>
      </c>
      <c r="G2119" s="48">
        <f>[1]!BexGetData("DP_2","DL719O2RYNEBZX0HTMQQ0BY0J","17","F","37014018F102","2067364011")</f>
        <v>15193.22</v>
      </c>
      <c r="H2119" s="48">
        <f>[1]!BexGetData("DP_2","DL719O2RYNGN1RZRS91K7M4TV","17","F","37014018F102","2067364011")</f>
        <v>15193.22</v>
      </c>
      <c r="I2119" s="48">
        <f>[1]!BexGetData("DP_2","DL719O2RYNIY3MZ1QVCEEWBN7","17","F","37014018F102","2067364011")</f>
        <v>0</v>
      </c>
    </row>
    <row r="2120" spans="1:9" x14ac:dyDescent="0.2">
      <c r="A2120" s="46" t="s">
        <v>32</v>
      </c>
      <c r="B2120" s="46" t="s">
        <v>32</v>
      </c>
      <c r="C2120" s="46" t="s">
        <v>32</v>
      </c>
      <c r="D2120" s="46" t="s">
        <v>32</v>
      </c>
      <c r="E2120" s="46" t="s">
        <v>32</v>
      </c>
      <c r="F2120" s="47">
        <f>[1]!BexGetData("DP_2","DL719O2RYNC0Y217V0FVT1R77","17","F","37014018F102","2067369011")</f>
        <v>3123825.5</v>
      </c>
      <c r="G2120" s="48">
        <f>[1]!BexGetData("DP_2","DL719O2RYNEBZX0HTMQQ0BY0J","17","F","37014018F102","2067369011")</f>
        <v>3123825</v>
      </c>
      <c r="H2120" s="48">
        <f>[1]!BexGetData("DP_2","DL719O2RYNGN1RZRS91K7M4TV","17","F","37014018F102","2067369011")</f>
        <v>2054912.5</v>
      </c>
      <c r="I2120" s="48">
        <f>[1]!BexGetData("DP_2","DL719O2RYNIY3MZ1QVCEEWBN7","17","F","37014018F102","2067369011")</f>
        <v>0.5</v>
      </c>
    </row>
    <row r="2121" spans="1:9" x14ac:dyDescent="0.2">
      <c r="A2121" s="46" t="s">
        <v>32</v>
      </c>
      <c r="B2121" s="46" t="s">
        <v>32</v>
      </c>
      <c r="C2121" s="46" t="s">
        <v>32</v>
      </c>
      <c r="D2121" s="46" t="s">
        <v>32</v>
      </c>
      <c r="E2121" s="46" t="s">
        <v>32</v>
      </c>
      <c r="F2121" s="47">
        <f>[1]!BexGetData("DP_2","DL719O2RYNC0Y217V0FVT1R77","17","F","37014018F102","2067371011")</f>
        <v>39125.519999999997</v>
      </c>
      <c r="G2121" s="48">
        <f>[1]!BexGetData("DP_2","DL719O2RYNEBZX0HTMQQ0BY0J","17","F","37014018F102","2067371011")</f>
        <v>39125.519999999997</v>
      </c>
      <c r="H2121" s="48">
        <f>[1]!BexGetData("DP_2","DL719O2RYNGN1RZRS91K7M4TV","17","F","37014018F102","2067371011")</f>
        <v>39125.519999999997</v>
      </c>
      <c r="I2121" s="48">
        <f>[1]!BexGetData("DP_2","DL719O2RYNIY3MZ1QVCEEWBN7","17","F","37014018F102","2067371011")</f>
        <v>0</v>
      </c>
    </row>
    <row r="2122" spans="1:9" x14ac:dyDescent="0.2">
      <c r="A2122" s="46" t="s">
        <v>32</v>
      </c>
      <c r="B2122" s="46" t="s">
        <v>32</v>
      </c>
      <c r="C2122" s="46" t="s">
        <v>32</v>
      </c>
      <c r="D2122" s="46" t="s">
        <v>32</v>
      </c>
      <c r="E2122" s="46" t="s">
        <v>32</v>
      </c>
      <c r="F2122" s="47">
        <f>[1]!BexGetData("DP_2","DL719O2RYNC0Y217V0FVT1R77","17","F","37014018F102","2067371021")</f>
        <v>69633.2</v>
      </c>
      <c r="G2122" s="48">
        <f>[1]!BexGetData("DP_2","DL719O2RYNEBZX0HTMQQ0BY0J","17","F","37014018F102","2067371021")</f>
        <v>69633.2</v>
      </c>
      <c r="H2122" s="48">
        <f>[1]!BexGetData("DP_2","DL719O2RYNGN1RZRS91K7M4TV","17","F","37014018F102","2067371021")</f>
        <v>50773.2</v>
      </c>
      <c r="I2122" s="48">
        <f>[1]!BexGetData("DP_2","DL719O2RYNIY3MZ1QVCEEWBN7","17","F","37014018F102","2067371021")</f>
        <v>0</v>
      </c>
    </row>
    <row r="2123" spans="1:9" x14ac:dyDescent="0.2">
      <c r="A2123" s="46" t="s">
        <v>32</v>
      </c>
      <c r="B2123" s="46" t="s">
        <v>32</v>
      </c>
      <c r="C2123" s="46" t="s">
        <v>32</v>
      </c>
      <c r="D2123" s="46" t="s">
        <v>32</v>
      </c>
      <c r="E2123" s="46" t="s">
        <v>32</v>
      </c>
      <c r="F2123" s="47">
        <f>[1]!BexGetData("DP_2","DL719O2RYNC0Y217V0FVT1R77","17","F","37014018F102","2067372011")</f>
        <v>35433.5</v>
      </c>
      <c r="G2123" s="48">
        <f>[1]!BexGetData("DP_2","DL719O2RYNEBZX0HTMQQ0BY0J","17","F","37014018F102","2067372011")</f>
        <v>35433.5</v>
      </c>
      <c r="H2123" s="48">
        <f>[1]!BexGetData("DP_2","DL719O2RYNGN1RZRS91K7M4TV","17","F","37014018F102","2067372011")</f>
        <v>35433.5</v>
      </c>
      <c r="I2123" s="48">
        <f>[1]!BexGetData("DP_2","DL719O2RYNIY3MZ1QVCEEWBN7","17","F","37014018F102","2067372011")</f>
        <v>0</v>
      </c>
    </row>
    <row r="2124" spans="1:9" x14ac:dyDescent="0.2">
      <c r="A2124" s="46" t="s">
        <v>32</v>
      </c>
      <c r="B2124" s="46" t="s">
        <v>32</v>
      </c>
      <c r="C2124" s="46" t="s">
        <v>32</v>
      </c>
      <c r="D2124" s="46" t="s">
        <v>32</v>
      </c>
      <c r="E2124" s="46" t="s">
        <v>32</v>
      </c>
      <c r="F2124" s="47">
        <f>[1]!BexGetData("DP_2","DL719O2RYNC0Y217V0FVT1R77","17","F","37014018F102","2067375011")</f>
        <v>11800</v>
      </c>
      <c r="G2124" s="48">
        <f>[1]!BexGetData("DP_2","DL719O2RYNEBZX0HTMQQ0BY0J","17","F","37014018F102","2067375011")</f>
        <v>11800</v>
      </c>
      <c r="H2124" s="48">
        <f>[1]!BexGetData("DP_2","DL719O2RYNGN1RZRS91K7M4TV","17","F","37014018F102","2067375011")</f>
        <v>11800</v>
      </c>
      <c r="I2124" s="48">
        <f>[1]!BexGetData("DP_2","DL719O2RYNIY3MZ1QVCEEWBN7","17","F","37014018F102","2067375011")</f>
        <v>0</v>
      </c>
    </row>
    <row r="2125" spans="1:9" x14ac:dyDescent="0.2">
      <c r="A2125" s="46" t="s">
        <v>32</v>
      </c>
      <c r="B2125" s="46" t="s">
        <v>32</v>
      </c>
      <c r="C2125" s="46" t="s">
        <v>32</v>
      </c>
      <c r="D2125" s="46" t="s">
        <v>32</v>
      </c>
      <c r="E2125" s="46" t="s">
        <v>32</v>
      </c>
      <c r="F2125" s="47">
        <f>[1]!BexGetData("DP_2","DL719O2RYNC0Y217V0FVT1R77","17","F","37014018F102","2067376011")</f>
        <v>58280</v>
      </c>
      <c r="G2125" s="48">
        <f>[1]!BexGetData("DP_2","DL719O2RYNEBZX0HTMQQ0BY0J","17","F","37014018F102","2067376011")</f>
        <v>58280</v>
      </c>
      <c r="H2125" s="48">
        <f>[1]!BexGetData("DP_2","DL719O2RYNGN1RZRS91K7M4TV","17","F","37014018F102","2067376011")</f>
        <v>58280</v>
      </c>
      <c r="I2125" s="48">
        <f>[1]!BexGetData("DP_2","DL719O2RYNIY3MZ1QVCEEWBN7","17","F","37014018F102","2067376011")</f>
        <v>0</v>
      </c>
    </row>
    <row r="2126" spans="1:9" x14ac:dyDescent="0.2">
      <c r="A2126" s="46" t="s">
        <v>32</v>
      </c>
      <c r="B2126" s="46" t="s">
        <v>32</v>
      </c>
      <c r="C2126" s="46" t="s">
        <v>32</v>
      </c>
      <c r="D2126" s="46" t="s">
        <v>32</v>
      </c>
      <c r="E2126" s="46" t="s">
        <v>32</v>
      </c>
      <c r="F2126" s="47">
        <f>[1]!BexGetData("DP_2","DL719O2RYNC0Y217V0FVT1R77","17","F","37014018F102","2067382011")</f>
        <v>2195610.2000000002</v>
      </c>
      <c r="G2126" s="48">
        <f>[1]!BexGetData("DP_2","DL719O2RYNEBZX0HTMQQ0BY0J","17","F","37014018F102","2067382011")</f>
        <v>2195610.2000000002</v>
      </c>
      <c r="H2126" s="48">
        <f>[1]!BexGetData("DP_2","DL719O2RYNGN1RZRS91K7M4TV","17","F","37014018F102","2067382011")</f>
        <v>2195610.2000000002</v>
      </c>
      <c r="I2126" s="48">
        <f>[1]!BexGetData("DP_2","DL719O2RYNIY3MZ1QVCEEWBN7","17","F","37014018F102","2067382011")</f>
        <v>0</v>
      </c>
    </row>
    <row r="2127" spans="1:9" x14ac:dyDescent="0.2">
      <c r="A2127" s="46" t="s">
        <v>32</v>
      </c>
      <c r="B2127" s="46" t="s">
        <v>32</v>
      </c>
      <c r="C2127" s="46" t="s">
        <v>32</v>
      </c>
      <c r="D2127" s="46" t="s">
        <v>32</v>
      </c>
      <c r="E2127" s="46" t="s">
        <v>32</v>
      </c>
      <c r="F2127" s="47">
        <f>[1]!BexGetData("DP_2","DL719O2RYNC0Y217V0FVT1R77","17","F","37014018F102","2067382021")</f>
        <v>60490.239999999998</v>
      </c>
      <c r="G2127" s="48">
        <f>[1]!BexGetData("DP_2","DL719O2RYNEBZX0HTMQQ0BY0J","17","F","37014018F102","2067382021")</f>
        <v>60490.239999999998</v>
      </c>
      <c r="H2127" s="48">
        <f>[1]!BexGetData("DP_2","DL719O2RYNGN1RZRS91K7M4TV","17","F","37014018F102","2067382021")</f>
        <v>41465.67</v>
      </c>
      <c r="I2127" s="48">
        <f>[1]!BexGetData("DP_2","DL719O2RYNIY3MZ1QVCEEWBN7","17","F","37014018F102","2067382021")</f>
        <v>0</v>
      </c>
    </row>
    <row r="2128" spans="1:9" x14ac:dyDescent="0.2">
      <c r="A2128" s="46" t="s">
        <v>32</v>
      </c>
      <c r="B2128" s="46" t="s">
        <v>32</v>
      </c>
      <c r="C2128" s="46" t="s">
        <v>32</v>
      </c>
      <c r="D2128" s="46" t="s">
        <v>32</v>
      </c>
      <c r="E2128" s="46" t="s">
        <v>32</v>
      </c>
      <c r="F2128" s="47">
        <f>[1]!BexGetData("DP_2","DL719O2RYNC0Y217V0FVT1R77","17","F","37014018F102","2067383011")</f>
        <v>2320</v>
      </c>
      <c r="G2128" s="48">
        <f>[1]!BexGetData("DP_2","DL719O2RYNEBZX0HTMQQ0BY0J","17","F","37014018F102","2067383011")</f>
        <v>2320</v>
      </c>
      <c r="H2128" s="48">
        <f>[1]!BexGetData("DP_2","DL719O2RYNGN1RZRS91K7M4TV","17","F","37014018F102","2067383011")</f>
        <v>2320</v>
      </c>
      <c r="I2128" s="48">
        <f>[1]!BexGetData("DP_2","DL719O2RYNIY3MZ1QVCEEWBN7","17","F","37014018F102","2067383011")</f>
        <v>0</v>
      </c>
    </row>
    <row r="2129" spans="1:9" x14ac:dyDescent="0.2">
      <c r="A2129" s="46" t="s">
        <v>32</v>
      </c>
      <c r="B2129" s="46" t="s">
        <v>32</v>
      </c>
      <c r="C2129" s="46" t="s">
        <v>32</v>
      </c>
      <c r="D2129" s="46" t="s">
        <v>32</v>
      </c>
      <c r="E2129" s="46" t="s">
        <v>32</v>
      </c>
      <c r="F2129" s="47">
        <f>[1]!BexGetData("DP_2","DL719O2RYNC0Y217V0FVT1R77","17","F","37014018F102","2067385011")</f>
        <v>517</v>
      </c>
      <c r="G2129" s="48">
        <f>[1]!BexGetData("DP_2","DL719O2RYNEBZX0HTMQQ0BY0J","17","F","37014018F102","2067385011")</f>
        <v>517</v>
      </c>
      <c r="H2129" s="48">
        <f>[1]!BexGetData("DP_2","DL719O2RYNGN1RZRS91K7M4TV","17","F","37014018F102","2067385011")</f>
        <v>517</v>
      </c>
      <c r="I2129" s="48">
        <f>[1]!BexGetData("DP_2","DL719O2RYNIY3MZ1QVCEEWBN7","17","F","37014018F102","2067385011")</f>
        <v>0</v>
      </c>
    </row>
    <row r="2130" spans="1:9" x14ac:dyDescent="0.2">
      <c r="A2130" s="46" t="s">
        <v>32</v>
      </c>
      <c r="B2130" s="46" t="s">
        <v>32</v>
      </c>
      <c r="C2130" s="46" t="s">
        <v>32</v>
      </c>
      <c r="D2130" s="46" t="s">
        <v>32</v>
      </c>
      <c r="E2130" s="46" t="s">
        <v>32</v>
      </c>
      <c r="F2130" s="47">
        <f>[1]!BexGetData("DP_2","DL719O2RYNC0Y217V0FVT1R77","17","F","37014018F102","2067392011")</f>
        <v>4418.28</v>
      </c>
      <c r="G2130" s="48">
        <f>[1]!BexGetData("DP_2","DL719O2RYNEBZX0HTMQQ0BY0J","17","F","37014018F102","2067392011")</f>
        <v>4418.28</v>
      </c>
      <c r="H2130" s="48">
        <f>[1]!BexGetData("DP_2","DL719O2RYNGN1RZRS91K7M4TV","17","F","37014018F102","2067392011")</f>
        <v>4418.28</v>
      </c>
      <c r="I2130" s="48">
        <f>[1]!BexGetData("DP_2","DL719O2RYNIY3MZ1QVCEEWBN7","17","F","37014018F102","2067392011")</f>
        <v>0</v>
      </c>
    </row>
    <row r="2131" spans="1:9" x14ac:dyDescent="0.2">
      <c r="A2131" s="46" t="s">
        <v>32</v>
      </c>
      <c r="B2131" s="46" t="s">
        <v>32</v>
      </c>
      <c r="C2131" s="46" t="s">
        <v>32</v>
      </c>
      <c r="D2131" s="46" t="s">
        <v>32</v>
      </c>
      <c r="E2131" s="46" t="s">
        <v>32</v>
      </c>
      <c r="F2131" s="47">
        <f>[1]!BexGetData("DP_2","DL719O2RYNC0Y217V0FVT1R77","17","F","37014018F102","2067399031")</f>
        <v>130</v>
      </c>
      <c r="G2131" s="48">
        <f>[1]!BexGetData("DP_2","DL719O2RYNEBZX0HTMQQ0BY0J","17","F","37014018F102","2067399031")</f>
        <v>130</v>
      </c>
      <c r="H2131" s="48">
        <f>[1]!BexGetData("DP_2","DL719O2RYNGN1RZRS91K7M4TV","17","F","37014018F102","2067399031")</f>
        <v>130</v>
      </c>
      <c r="I2131" s="48">
        <f>[1]!BexGetData("DP_2","DL719O2RYNIY3MZ1QVCEEWBN7","17","F","37014018F102","2067399031")</f>
        <v>0</v>
      </c>
    </row>
    <row r="2132" spans="1:9" x14ac:dyDescent="0.2">
      <c r="A2132" s="46" t="s">
        <v>32</v>
      </c>
      <c r="B2132" s="46" t="s">
        <v>32</v>
      </c>
      <c r="C2132" s="46" t="s">
        <v>32</v>
      </c>
      <c r="D2132" s="46" t="s">
        <v>32</v>
      </c>
      <c r="E2132" s="46" t="s">
        <v>32</v>
      </c>
      <c r="F2132" s="47">
        <f>[1]!BexGetData("DP_2","DL719O2RYNC0Y217V0FVT1R77","17","F","37014018F102","2067441011")</f>
        <v>19500.009999999998</v>
      </c>
      <c r="G2132" s="48">
        <f>[1]!BexGetData("DP_2","DL719O2RYNEBZX0HTMQQ0BY0J","17","F","37014018F102","2067441011")</f>
        <v>19500.009999999998</v>
      </c>
      <c r="H2132" s="48">
        <f>[1]!BexGetData("DP_2","DL719O2RYNGN1RZRS91K7M4TV","17","F","37014018F102","2067441011")</f>
        <v>19500.009999999998</v>
      </c>
      <c r="I2132" s="48">
        <f>[1]!BexGetData("DP_2","DL719O2RYNIY3MZ1QVCEEWBN7","17","F","37014018F102","2067441011")</f>
        <v>0</v>
      </c>
    </row>
    <row r="2133" spans="1:9" x14ac:dyDescent="0.2">
      <c r="A2133" s="46" t="s">
        <v>32</v>
      </c>
      <c r="B2133" s="46" t="s">
        <v>32</v>
      </c>
      <c r="C2133" s="46" t="s">
        <v>32</v>
      </c>
      <c r="D2133" s="46" t="s">
        <v>32</v>
      </c>
      <c r="E2133" s="46" t="s">
        <v>32</v>
      </c>
      <c r="F2133" s="47">
        <f>[1]!BexGetData("DP_2","DL719O2RYNC0Y217V0FVT1R77","17","F","37014018F102","2067445011")</f>
        <v>5800</v>
      </c>
      <c r="G2133" s="48">
        <f>[1]!BexGetData("DP_2","DL719O2RYNEBZX0HTMQQ0BY0J","17","F","37014018F102","2067445011")</f>
        <v>5800</v>
      </c>
      <c r="H2133" s="48">
        <f>[1]!BexGetData("DP_2","DL719O2RYNGN1RZRS91K7M4TV","17","F","37014018F102","2067445011")</f>
        <v>0</v>
      </c>
      <c r="I2133" s="48">
        <f>[1]!BexGetData("DP_2","DL719O2RYNIY3MZ1QVCEEWBN7","17","F","37014018F102","2067445011")</f>
        <v>0</v>
      </c>
    </row>
    <row r="2134" spans="1:9" x14ac:dyDescent="0.2">
      <c r="A2134" s="46" t="s">
        <v>32</v>
      </c>
      <c r="B2134" s="46" t="s">
        <v>45</v>
      </c>
      <c r="C2134" s="46" t="s">
        <v>46</v>
      </c>
      <c r="D2134" s="46" t="s">
        <v>46</v>
      </c>
      <c r="E2134" s="46" t="s">
        <v>32</v>
      </c>
      <c r="F2134" s="47">
        <f>[1]!BexGetData("DP_2","DL719O2RYNC0Y217V0FVT1R77","17","M","15015032M101","2067113011")</f>
        <v>944665.07</v>
      </c>
      <c r="G2134" s="48">
        <f>[1]!BexGetData("DP_2","DL719O2RYNEBZX0HTMQQ0BY0J","17","M","15015032M101","2067113011")</f>
        <v>944665.07</v>
      </c>
      <c r="H2134" s="48">
        <f>[1]!BexGetData("DP_2","DL719O2RYNGN1RZRS91K7M4TV","17","M","15015032M101","2067113011")</f>
        <v>944665.07</v>
      </c>
      <c r="I2134" s="48">
        <f>[1]!BexGetData("DP_2","DL719O2RYNIY3MZ1QVCEEWBN7","17","M","15015032M101","2067113011")</f>
        <v>0</v>
      </c>
    </row>
    <row r="2135" spans="1:9" x14ac:dyDescent="0.2">
      <c r="A2135" s="46" t="s">
        <v>32</v>
      </c>
      <c r="B2135" s="46" t="s">
        <v>32</v>
      </c>
      <c r="C2135" s="46" t="s">
        <v>32</v>
      </c>
      <c r="D2135" s="46" t="s">
        <v>32</v>
      </c>
      <c r="E2135" s="46" t="s">
        <v>32</v>
      </c>
      <c r="F2135" s="47">
        <f>[1]!BexGetData("DP_2","DL719O2RYNC0Y217V0FVT1R77","17","M","15015032M101","2067113021")</f>
        <v>702401.17</v>
      </c>
      <c r="G2135" s="48">
        <f>[1]!BexGetData("DP_2","DL719O2RYNEBZX0HTMQQ0BY0J","17","M","15015032M101","2067113021")</f>
        <v>702401.17</v>
      </c>
      <c r="H2135" s="48">
        <f>[1]!BexGetData("DP_2","DL719O2RYNGN1RZRS91K7M4TV","17","M","15015032M101","2067113021")</f>
        <v>702401.17</v>
      </c>
      <c r="I2135" s="48">
        <f>[1]!BexGetData("DP_2","DL719O2RYNIY3MZ1QVCEEWBN7","17","M","15015032M101","2067113021")</f>
        <v>0</v>
      </c>
    </row>
    <row r="2136" spans="1:9" x14ac:dyDescent="0.2">
      <c r="A2136" s="46" t="s">
        <v>32</v>
      </c>
      <c r="B2136" s="46" t="s">
        <v>32</v>
      </c>
      <c r="C2136" s="46" t="s">
        <v>32</v>
      </c>
      <c r="D2136" s="46" t="s">
        <v>32</v>
      </c>
      <c r="E2136" s="46" t="s">
        <v>32</v>
      </c>
      <c r="F2136" s="47">
        <f>[1]!BexGetData("DP_2","DL719O2RYNC0Y217V0FVT1R77","17","M","15015032M101","2067121011")</f>
        <v>494642.24</v>
      </c>
      <c r="G2136" s="48">
        <f>[1]!BexGetData("DP_2","DL719O2RYNEBZX0HTMQQ0BY0J","17","M","15015032M101","2067121011")</f>
        <v>494642.24</v>
      </c>
      <c r="H2136" s="48">
        <f>[1]!BexGetData("DP_2","DL719O2RYNGN1RZRS91K7M4TV","17","M","15015032M101","2067121011")</f>
        <v>451210.26</v>
      </c>
      <c r="I2136" s="48">
        <f>[1]!BexGetData("DP_2","DL719O2RYNIY3MZ1QVCEEWBN7","17","M","15015032M101","2067121011")</f>
        <v>0</v>
      </c>
    </row>
    <row r="2137" spans="1:9" x14ac:dyDescent="0.2">
      <c r="A2137" s="46" t="s">
        <v>32</v>
      </c>
      <c r="B2137" s="46" t="s">
        <v>32</v>
      </c>
      <c r="C2137" s="46" t="s">
        <v>32</v>
      </c>
      <c r="D2137" s="46" t="s">
        <v>32</v>
      </c>
      <c r="E2137" s="46" t="s">
        <v>32</v>
      </c>
      <c r="F2137" s="47">
        <f>[1]!BexGetData("DP_2","DL719O2RYNC0Y217V0FVT1R77","17","M","15015032M101","2067122011")</f>
        <v>181220.77</v>
      </c>
      <c r="G2137" s="48">
        <f>[1]!BexGetData("DP_2","DL719O2RYNEBZX0HTMQQ0BY0J","17","M","15015032M101","2067122011")</f>
        <v>181220.77</v>
      </c>
      <c r="H2137" s="48">
        <f>[1]!BexGetData("DP_2","DL719O2RYNGN1RZRS91K7M4TV","17","M","15015032M101","2067122011")</f>
        <v>181220.77</v>
      </c>
      <c r="I2137" s="48">
        <f>[1]!BexGetData("DP_2","DL719O2RYNIY3MZ1QVCEEWBN7","17","M","15015032M101","2067122011")</f>
        <v>0</v>
      </c>
    </row>
    <row r="2138" spans="1:9" x14ac:dyDescent="0.2">
      <c r="A2138" s="46" t="s">
        <v>32</v>
      </c>
      <c r="B2138" s="46" t="s">
        <v>32</v>
      </c>
      <c r="C2138" s="46" t="s">
        <v>32</v>
      </c>
      <c r="D2138" s="46" t="s">
        <v>32</v>
      </c>
      <c r="E2138" s="46" t="s">
        <v>32</v>
      </c>
      <c r="F2138" s="47">
        <f>[1]!BexGetData("DP_2","DL719O2RYNC0Y217V0FVT1R77","17","M","15015032M101","2067131011")</f>
        <v>180850.63</v>
      </c>
      <c r="G2138" s="48">
        <f>[1]!BexGetData("DP_2","DL719O2RYNEBZX0HTMQQ0BY0J","17","M","15015032M101","2067131011")</f>
        <v>180850.63</v>
      </c>
      <c r="H2138" s="48">
        <f>[1]!BexGetData("DP_2","DL719O2RYNGN1RZRS91K7M4TV","17","M","15015032M101","2067131011")</f>
        <v>180850.63</v>
      </c>
      <c r="I2138" s="48">
        <f>[1]!BexGetData("DP_2","DL719O2RYNIY3MZ1QVCEEWBN7","17","M","15015032M101","2067131011")</f>
        <v>0</v>
      </c>
    </row>
    <row r="2139" spans="1:9" x14ac:dyDescent="0.2">
      <c r="A2139" s="46" t="s">
        <v>32</v>
      </c>
      <c r="B2139" s="46" t="s">
        <v>32</v>
      </c>
      <c r="C2139" s="46" t="s">
        <v>32</v>
      </c>
      <c r="D2139" s="46" t="s">
        <v>32</v>
      </c>
      <c r="E2139" s="46" t="s">
        <v>32</v>
      </c>
      <c r="F2139" s="47">
        <f>[1]!BexGetData("DP_2","DL719O2RYNC0Y217V0FVT1R77","17","M","15015032M101","2067131021")</f>
        <v>12318.48</v>
      </c>
      <c r="G2139" s="48">
        <f>[1]!BexGetData("DP_2","DL719O2RYNEBZX0HTMQQ0BY0J","17","M","15015032M101","2067131021")</f>
        <v>12318.48</v>
      </c>
      <c r="H2139" s="48">
        <f>[1]!BexGetData("DP_2","DL719O2RYNGN1RZRS91K7M4TV","17","M","15015032M101","2067131021")</f>
        <v>12318.48</v>
      </c>
      <c r="I2139" s="48">
        <f>[1]!BexGetData("DP_2","DL719O2RYNIY3MZ1QVCEEWBN7","17","M","15015032M101","2067131021")</f>
        <v>0</v>
      </c>
    </row>
    <row r="2140" spans="1:9" x14ac:dyDescent="0.2">
      <c r="A2140" s="46" t="s">
        <v>32</v>
      </c>
      <c r="B2140" s="46" t="s">
        <v>32</v>
      </c>
      <c r="C2140" s="46" t="s">
        <v>32</v>
      </c>
      <c r="D2140" s="46" t="s">
        <v>32</v>
      </c>
      <c r="E2140" s="46" t="s">
        <v>32</v>
      </c>
      <c r="F2140" s="47">
        <f>[1]!BexGetData("DP_2","DL719O2RYNC0Y217V0FVT1R77","17","M","15015032M101","2067132011")</f>
        <v>82646.64</v>
      </c>
      <c r="G2140" s="48">
        <f>[1]!BexGetData("DP_2","DL719O2RYNEBZX0HTMQQ0BY0J","17","M","15015032M101","2067132011")</f>
        <v>82646.64</v>
      </c>
      <c r="H2140" s="48">
        <f>[1]!BexGetData("DP_2","DL719O2RYNGN1RZRS91K7M4TV","17","M","15015032M101","2067132011")</f>
        <v>82646.64</v>
      </c>
      <c r="I2140" s="48">
        <f>[1]!BexGetData("DP_2","DL719O2RYNIY3MZ1QVCEEWBN7","17","M","15015032M101","2067132011")</f>
        <v>0</v>
      </c>
    </row>
    <row r="2141" spans="1:9" x14ac:dyDescent="0.2">
      <c r="A2141" s="46" t="s">
        <v>32</v>
      </c>
      <c r="B2141" s="46" t="s">
        <v>32</v>
      </c>
      <c r="C2141" s="46" t="s">
        <v>32</v>
      </c>
      <c r="D2141" s="46" t="s">
        <v>32</v>
      </c>
      <c r="E2141" s="46" t="s">
        <v>32</v>
      </c>
      <c r="F2141" s="47">
        <f>[1]!BexGetData("DP_2","DL719O2RYNC0Y217V0FVT1R77","17","M","15015032M101","2067132021")</f>
        <v>374701.42</v>
      </c>
      <c r="G2141" s="48">
        <f>[1]!BexGetData("DP_2","DL719O2RYNEBZX0HTMQQ0BY0J","17","M","15015032M101","2067132021")</f>
        <v>374701.42</v>
      </c>
      <c r="H2141" s="48">
        <f>[1]!BexGetData("DP_2","DL719O2RYNGN1RZRS91K7M4TV","17","M","15015032M101","2067132021")</f>
        <v>374701.42</v>
      </c>
      <c r="I2141" s="48">
        <f>[1]!BexGetData("DP_2","DL719O2RYNIY3MZ1QVCEEWBN7","17","M","15015032M101","2067132021")</f>
        <v>0</v>
      </c>
    </row>
    <row r="2142" spans="1:9" x14ac:dyDescent="0.2">
      <c r="A2142" s="46" t="s">
        <v>32</v>
      </c>
      <c r="B2142" s="46" t="s">
        <v>32</v>
      </c>
      <c r="C2142" s="46" t="s">
        <v>32</v>
      </c>
      <c r="D2142" s="46" t="s">
        <v>32</v>
      </c>
      <c r="E2142" s="46" t="s">
        <v>32</v>
      </c>
      <c r="F2142" s="47">
        <f>[1]!BexGetData("DP_2","DL719O2RYNC0Y217V0FVT1R77","17","M","15015032M101","2067134011")</f>
        <v>1588206.4</v>
      </c>
      <c r="G2142" s="48">
        <f>[1]!BexGetData("DP_2","DL719O2RYNEBZX0HTMQQ0BY0J","17","M","15015032M101","2067134011")</f>
        <v>1588206.4</v>
      </c>
      <c r="H2142" s="48">
        <f>[1]!BexGetData("DP_2","DL719O2RYNGN1RZRS91K7M4TV","17","M","15015032M101","2067134011")</f>
        <v>1475751.21</v>
      </c>
      <c r="I2142" s="48">
        <f>[1]!BexGetData("DP_2","DL719O2RYNIY3MZ1QVCEEWBN7","17","M","15015032M101","2067134011")</f>
        <v>0</v>
      </c>
    </row>
    <row r="2143" spans="1:9" x14ac:dyDescent="0.2">
      <c r="A2143" s="46" t="s">
        <v>32</v>
      </c>
      <c r="B2143" s="46" t="s">
        <v>32</v>
      </c>
      <c r="C2143" s="46" t="s">
        <v>32</v>
      </c>
      <c r="D2143" s="46" t="s">
        <v>32</v>
      </c>
      <c r="E2143" s="46" t="s">
        <v>32</v>
      </c>
      <c r="F2143" s="47">
        <f>[1]!BexGetData("DP_2","DL719O2RYNC0Y217V0FVT1R77","17","M","15015032M101","2067134021")</f>
        <v>1263245.1299999999</v>
      </c>
      <c r="G2143" s="48">
        <f>[1]!BexGetData("DP_2","DL719O2RYNEBZX0HTMQQ0BY0J","17","M","15015032M101","2067134021")</f>
        <v>1263245.1299999999</v>
      </c>
      <c r="H2143" s="48">
        <f>[1]!BexGetData("DP_2","DL719O2RYNGN1RZRS91K7M4TV","17","M","15015032M101","2067134021")</f>
        <v>1263245.1299999999</v>
      </c>
      <c r="I2143" s="48">
        <f>[1]!BexGetData("DP_2","DL719O2RYNIY3MZ1QVCEEWBN7","17","M","15015032M101","2067134021")</f>
        <v>0</v>
      </c>
    </row>
    <row r="2144" spans="1:9" x14ac:dyDescent="0.2">
      <c r="A2144" s="46" t="s">
        <v>32</v>
      </c>
      <c r="B2144" s="46" t="s">
        <v>32</v>
      </c>
      <c r="C2144" s="46" t="s">
        <v>32</v>
      </c>
      <c r="D2144" s="46" t="s">
        <v>32</v>
      </c>
      <c r="E2144" s="46" t="s">
        <v>32</v>
      </c>
      <c r="F2144" s="47">
        <f>[1]!BexGetData("DP_2","DL719O2RYNC0Y217V0FVT1R77","17","M","15015032M101","2067141011")</f>
        <v>349316.07</v>
      </c>
      <c r="G2144" s="48">
        <f>[1]!BexGetData("DP_2","DL719O2RYNEBZX0HTMQQ0BY0J","17","M","15015032M101","2067141011")</f>
        <v>349316.07</v>
      </c>
      <c r="H2144" s="48">
        <f>[1]!BexGetData("DP_2","DL719O2RYNGN1RZRS91K7M4TV","17","M","15015032M101","2067141011")</f>
        <v>349316.07</v>
      </c>
      <c r="I2144" s="48">
        <f>[1]!BexGetData("DP_2","DL719O2RYNIY3MZ1QVCEEWBN7","17","M","15015032M101","2067141011")</f>
        <v>0</v>
      </c>
    </row>
    <row r="2145" spans="1:9" x14ac:dyDescent="0.2">
      <c r="A2145" s="46" t="s">
        <v>32</v>
      </c>
      <c r="B2145" s="46" t="s">
        <v>32</v>
      </c>
      <c r="C2145" s="46" t="s">
        <v>32</v>
      </c>
      <c r="D2145" s="46" t="s">
        <v>32</v>
      </c>
      <c r="E2145" s="46" t="s">
        <v>32</v>
      </c>
      <c r="F2145" s="47">
        <f>[1]!BexGetData("DP_2","DL719O2RYNC0Y217V0FVT1R77","17","M","15015032M101","2067141021")</f>
        <v>105382.13</v>
      </c>
      <c r="G2145" s="48">
        <f>[1]!BexGetData("DP_2","DL719O2RYNEBZX0HTMQQ0BY0J","17","M","15015032M101","2067141021")</f>
        <v>105382.13</v>
      </c>
      <c r="H2145" s="48">
        <f>[1]!BexGetData("DP_2","DL719O2RYNGN1RZRS91K7M4TV","17","M","15015032M101","2067141021")</f>
        <v>105382.13</v>
      </c>
      <c r="I2145" s="48">
        <f>[1]!BexGetData("DP_2","DL719O2RYNIY3MZ1QVCEEWBN7","17","M","15015032M101","2067141021")</f>
        <v>0</v>
      </c>
    </row>
    <row r="2146" spans="1:9" x14ac:dyDescent="0.2">
      <c r="A2146" s="46" t="s">
        <v>32</v>
      </c>
      <c r="B2146" s="46" t="s">
        <v>32</v>
      </c>
      <c r="C2146" s="46" t="s">
        <v>32</v>
      </c>
      <c r="D2146" s="46" t="s">
        <v>32</v>
      </c>
      <c r="E2146" s="46" t="s">
        <v>32</v>
      </c>
      <c r="F2146" s="47">
        <f>[1]!BexGetData("DP_2","DL719O2RYNC0Y217V0FVT1R77","17","M","15015032M101","2067143011")</f>
        <v>49458.11</v>
      </c>
      <c r="G2146" s="48">
        <f>[1]!BexGetData("DP_2","DL719O2RYNEBZX0HTMQQ0BY0J","17","M","15015032M101","2067143011")</f>
        <v>49458.11</v>
      </c>
      <c r="H2146" s="48">
        <f>[1]!BexGetData("DP_2","DL719O2RYNGN1RZRS91K7M4TV","17","M","15015032M101","2067143011")</f>
        <v>49458.11</v>
      </c>
      <c r="I2146" s="48">
        <f>[1]!BexGetData("DP_2","DL719O2RYNIY3MZ1QVCEEWBN7","17","M","15015032M101","2067143011")</f>
        <v>0</v>
      </c>
    </row>
    <row r="2147" spans="1:9" x14ac:dyDescent="0.2">
      <c r="A2147" s="46" t="s">
        <v>32</v>
      </c>
      <c r="B2147" s="46" t="s">
        <v>32</v>
      </c>
      <c r="C2147" s="46" t="s">
        <v>32</v>
      </c>
      <c r="D2147" s="46" t="s">
        <v>32</v>
      </c>
      <c r="E2147" s="46" t="s">
        <v>32</v>
      </c>
      <c r="F2147" s="47">
        <f>[1]!BexGetData("DP_2","DL719O2RYNC0Y217V0FVT1R77","17","M","15015032M101","2067151011")</f>
        <v>197768.52</v>
      </c>
      <c r="G2147" s="48">
        <f>[1]!BexGetData("DP_2","DL719O2RYNEBZX0HTMQQ0BY0J","17","M","15015032M101","2067151011")</f>
        <v>197768.52</v>
      </c>
      <c r="H2147" s="48">
        <f>[1]!BexGetData("DP_2","DL719O2RYNGN1RZRS91K7M4TV","17","M","15015032M101","2067151011")</f>
        <v>197768.52</v>
      </c>
      <c r="I2147" s="48">
        <f>[1]!BexGetData("DP_2","DL719O2RYNIY3MZ1QVCEEWBN7","17","M","15015032M101","2067151011")</f>
        <v>0</v>
      </c>
    </row>
    <row r="2148" spans="1:9" x14ac:dyDescent="0.2">
      <c r="A2148" s="46" t="s">
        <v>32</v>
      </c>
      <c r="B2148" s="46" t="s">
        <v>32</v>
      </c>
      <c r="C2148" s="46" t="s">
        <v>32</v>
      </c>
      <c r="D2148" s="46" t="s">
        <v>32</v>
      </c>
      <c r="E2148" s="46" t="s">
        <v>32</v>
      </c>
      <c r="F2148" s="47">
        <f>[1]!BexGetData("DP_2","DL719O2RYNC0Y217V0FVT1R77","17","M","15015032M101","2067154011")</f>
        <v>840870.89</v>
      </c>
      <c r="G2148" s="48">
        <f>[1]!BexGetData("DP_2","DL719O2RYNEBZX0HTMQQ0BY0J","17","M","15015032M101","2067154011")</f>
        <v>840870.89</v>
      </c>
      <c r="H2148" s="48">
        <f>[1]!BexGetData("DP_2","DL719O2RYNGN1RZRS91K7M4TV","17","M","15015032M101","2067154011")</f>
        <v>825270.89</v>
      </c>
      <c r="I2148" s="48">
        <f>[1]!BexGetData("DP_2","DL719O2RYNIY3MZ1QVCEEWBN7","17","M","15015032M101","2067154011")</f>
        <v>0</v>
      </c>
    </row>
    <row r="2149" spans="1:9" x14ac:dyDescent="0.2">
      <c r="A2149" s="46" t="s">
        <v>32</v>
      </c>
      <c r="B2149" s="46" t="s">
        <v>32</v>
      </c>
      <c r="C2149" s="46" t="s">
        <v>32</v>
      </c>
      <c r="D2149" s="46" t="s">
        <v>32</v>
      </c>
      <c r="E2149" s="46" t="s">
        <v>32</v>
      </c>
      <c r="F2149" s="47">
        <f>[1]!BexGetData("DP_2","DL719O2RYNC0Y217V0FVT1R77","17","M","15015032M101","2067211011")</f>
        <v>169228.54</v>
      </c>
      <c r="G2149" s="48">
        <f>[1]!BexGetData("DP_2","DL719O2RYNEBZX0HTMQQ0BY0J","17","M","15015032M101","2067211011")</f>
        <v>169228.54</v>
      </c>
      <c r="H2149" s="48">
        <f>[1]!BexGetData("DP_2","DL719O2RYNGN1RZRS91K7M4TV","17","M","15015032M101","2067211011")</f>
        <v>169228.54</v>
      </c>
      <c r="I2149" s="48">
        <f>[1]!BexGetData("DP_2","DL719O2RYNIY3MZ1QVCEEWBN7","17","M","15015032M101","2067211011")</f>
        <v>0</v>
      </c>
    </row>
    <row r="2150" spans="1:9" x14ac:dyDescent="0.2">
      <c r="A2150" s="46" t="s">
        <v>32</v>
      </c>
      <c r="B2150" s="46" t="s">
        <v>32</v>
      </c>
      <c r="C2150" s="46" t="s">
        <v>32</v>
      </c>
      <c r="D2150" s="46" t="s">
        <v>32</v>
      </c>
      <c r="E2150" s="46" t="s">
        <v>32</v>
      </c>
      <c r="F2150" s="47">
        <f>[1]!BexGetData("DP_2","DL719O2RYNC0Y217V0FVT1R77","17","M","15015032M101","2067211021")</f>
        <v>30787.439999999999</v>
      </c>
      <c r="G2150" s="48">
        <f>[1]!BexGetData("DP_2","DL719O2RYNEBZX0HTMQQ0BY0J","17","M","15015032M101","2067211021")</f>
        <v>30787.439999999999</v>
      </c>
      <c r="H2150" s="48">
        <f>[1]!BexGetData("DP_2","DL719O2RYNGN1RZRS91K7M4TV","17","M","15015032M101","2067211021")</f>
        <v>30787.439999999999</v>
      </c>
      <c r="I2150" s="48">
        <f>[1]!BexGetData("DP_2","DL719O2RYNIY3MZ1QVCEEWBN7","17","M","15015032M101","2067211021")</f>
        <v>0</v>
      </c>
    </row>
    <row r="2151" spans="1:9" x14ac:dyDescent="0.2">
      <c r="A2151" s="46" t="s">
        <v>32</v>
      </c>
      <c r="B2151" s="46" t="s">
        <v>32</v>
      </c>
      <c r="C2151" s="46" t="s">
        <v>32</v>
      </c>
      <c r="D2151" s="46" t="s">
        <v>32</v>
      </c>
      <c r="E2151" s="46" t="s">
        <v>32</v>
      </c>
      <c r="F2151" s="47">
        <f>[1]!BexGetData("DP_2","DL719O2RYNC0Y217V0FVT1R77","17","M","15015032M101","2067212021")</f>
        <v>1276</v>
      </c>
      <c r="G2151" s="48">
        <f>[1]!BexGetData("DP_2","DL719O2RYNEBZX0HTMQQ0BY0J","17","M","15015032M101","2067212021")</f>
        <v>1276</v>
      </c>
      <c r="H2151" s="48">
        <f>[1]!BexGetData("DP_2","DL719O2RYNGN1RZRS91K7M4TV","17","M","15015032M101","2067212021")</f>
        <v>1276</v>
      </c>
      <c r="I2151" s="48">
        <f>[1]!BexGetData("DP_2","DL719O2RYNIY3MZ1QVCEEWBN7","17","M","15015032M101","2067212021")</f>
        <v>0</v>
      </c>
    </row>
    <row r="2152" spans="1:9" x14ac:dyDescent="0.2">
      <c r="A2152" s="46" t="s">
        <v>32</v>
      </c>
      <c r="B2152" s="46" t="s">
        <v>32</v>
      </c>
      <c r="C2152" s="46" t="s">
        <v>32</v>
      </c>
      <c r="D2152" s="46" t="s">
        <v>32</v>
      </c>
      <c r="E2152" s="46" t="s">
        <v>32</v>
      </c>
      <c r="F2152" s="47">
        <f>[1]!BexGetData("DP_2","DL719O2RYNC0Y217V0FVT1R77","17","M","15015032M101","2067214011")</f>
        <v>156102.13</v>
      </c>
      <c r="G2152" s="48">
        <f>[1]!BexGetData("DP_2","DL719O2RYNEBZX0HTMQQ0BY0J","17","M","15015032M101","2067214011")</f>
        <v>156102.13</v>
      </c>
      <c r="H2152" s="48">
        <f>[1]!BexGetData("DP_2","DL719O2RYNGN1RZRS91K7M4TV","17","M","15015032M101","2067214011")</f>
        <v>156102.13</v>
      </c>
      <c r="I2152" s="48">
        <f>[1]!BexGetData("DP_2","DL719O2RYNIY3MZ1QVCEEWBN7","17","M","15015032M101","2067214011")</f>
        <v>0</v>
      </c>
    </row>
    <row r="2153" spans="1:9" x14ac:dyDescent="0.2">
      <c r="A2153" s="46" t="s">
        <v>32</v>
      </c>
      <c r="B2153" s="46" t="s">
        <v>32</v>
      </c>
      <c r="C2153" s="46" t="s">
        <v>32</v>
      </c>
      <c r="D2153" s="46" t="s">
        <v>32</v>
      </c>
      <c r="E2153" s="46" t="s">
        <v>32</v>
      </c>
      <c r="F2153" s="47">
        <f>[1]!BexGetData("DP_2","DL719O2RYNC0Y217V0FVT1R77","17","M","15015032M101","2067214021")</f>
        <v>1867.6</v>
      </c>
      <c r="G2153" s="48">
        <f>[1]!BexGetData("DP_2","DL719O2RYNEBZX0HTMQQ0BY0J","17","M","15015032M101","2067214021")</f>
        <v>1867.6</v>
      </c>
      <c r="H2153" s="48">
        <f>[1]!BexGetData("DP_2","DL719O2RYNGN1RZRS91K7M4TV","17","M","15015032M101","2067214021")</f>
        <v>1867.6</v>
      </c>
      <c r="I2153" s="48">
        <f>[1]!BexGetData("DP_2","DL719O2RYNIY3MZ1QVCEEWBN7","17","M","15015032M101","2067214021")</f>
        <v>0</v>
      </c>
    </row>
    <row r="2154" spans="1:9" x14ac:dyDescent="0.2">
      <c r="A2154" s="46" t="s">
        <v>32</v>
      </c>
      <c r="B2154" s="46" t="s">
        <v>32</v>
      </c>
      <c r="C2154" s="46" t="s">
        <v>32</v>
      </c>
      <c r="D2154" s="46" t="s">
        <v>32</v>
      </c>
      <c r="E2154" s="46" t="s">
        <v>32</v>
      </c>
      <c r="F2154" s="47">
        <f>[1]!BexGetData("DP_2","DL719O2RYNC0Y217V0FVT1R77","17","M","15015032M101","2067215011")</f>
        <v>1206</v>
      </c>
      <c r="G2154" s="48">
        <f>[1]!BexGetData("DP_2","DL719O2RYNEBZX0HTMQQ0BY0J","17","M","15015032M101","2067215011")</f>
        <v>1206</v>
      </c>
      <c r="H2154" s="48">
        <f>[1]!BexGetData("DP_2","DL719O2RYNGN1RZRS91K7M4TV","17","M","15015032M101","2067215011")</f>
        <v>1206</v>
      </c>
      <c r="I2154" s="48">
        <f>[1]!BexGetData("DP_2","DL719O2RYNIY3MZ1QVCEEWBN7","17","M","15015032M101","2067215011")</f>
        <v>0</v>
      </c>
    </row>
    <row r="2155" spans="1:9" x14ac:dyDescent="0.2">
      <c r="A2155" s="46" t="s">
        <v>32</v>
      </c>
      <c r="B2155" s="46" t="s">
        <v>32</v>
      </c>
      <c r="C2155" s="46" t="s">
        <v>32</v>
      </c>
      <c r="D2155" s="46" t="s">
        <v>32</v>
      </c>
      <c r="E2155" s="46" t="s">
        <v>32</v>
      </c>
      <c r="F2155" s="47">
        <f>[1]!BexGetData("DP_2","DL719O2RYNC0Y217V0FVT1R77","17","M","15015032M101","2067215021")</f>
        <v>20671.2</v>
      </c>
      <c r="G2155" s="48">
        <f>[1]!BexGetData("DP_2","DL719O2RYNEBZX0HTMQQ0BY0J","17","M","15015032M101","2067215021")</f>
        <v>20671.2</v>
      </c>
      <c r="H2155" s="48">
        <f>[1]!BexGetData("DP_2","DL719O2RYNGN1RZRS91K7M4TV","17","M","15015032M101","2067215021")</f>
        <v>20671.2</v>
      </c>
      <c r="I2155" s="48">
        <f>[1]!BexGetData("DP_2","DL719O2RYNIY3MZ1QVCEEWBN7","17","M","15015032M101","2067215021")</f>
        <v>0</v>
      </c>
    </row>
    <row r="2156" spans="1:9" x14ac:dyDescent="0.2">
      <c r="A2156" s="46" t="s">
        <v>32</v>
      </c>
      <c r="B2156" s="46" t="s">
        <v>32</v>
      </c>
      <c r="C2156" s="46" t="s">
        <v>32</v>
      </c>
      <c r="D2156" s="46" t="s">
        <v>32</v>
      </c>
      <c r="E2156" s="46" t="s">
        <v>32</v>
      </c>
      <c r="F2156" s="47">
        <f>[1]!BexGetData("DP_2","DL719O2RYNC0Y217V0FVT1R77","17","M","15015032M101","2067216011")</f>
        <v>91791.18</v>
      </c>
      <c r="G2156" s="48">
        <f>[1]!BexGetData("DP_2","DL719O2RYNEBZX0HTMQQ0BY0J","17","M","15015032M101","2067216011")</f>
        <v>91791.18</v>
      </c>
      <c r="H2156" s="48">
        <f>[1]!BexGetData("DP_2","DL719O2RYNGN1RZRS91K7M4TV","17","M","15015032M101","2067216011")</f>
        <v>91791.18</v>
      </c>
      <c r="I2156" s="48">
        <f>[1]!BexGetData("DP_2","DL719O2RYNIY3MZ1QVCEEWBN7","17","M","15015032M101","2067216011")</f>
        <v>0</v>
      </c>
    </row>
    <row r="2157" spans="1:9" x14ac:dyDescent="0.2">
      <c r="A2157" s="46" t="s">
        <v>32</v>
      </c>
      <c r="B2157" s="46" t="s">
        <v>32</v>
      </c>
      <c r="C2157" s="46" t="s">
        <v>32</v>
      </c>
      <c r="D2157" s="46" t="s">
        <v>32</v>
      </c>
      <c r="E2157" s="46" t="s">
        <v>32</v>
      </c>
      <c r="F2157" s="47">
        <f>[1]!BexGetData("DP_2","DL719O2RYNC0Y217V0FVT1R77","17","M","15015032M101","2067217011")</f>
        <v>0</v>
      </c>
      <c r="G2157" s="48">
        <f>[1]!BexGetData("DP_2","DL719O2RYNEBZX0HTMQQ0BY0J","17","M","15015032M101","2067217011")</f>
        <v>0</v>
      </c>
      <c r="H2157" s="48">
        <f>[1]!BexGetData("DP_2","DL719O2RYNGN1RZRS91K7M4TV","17","M","15015032M101","2067217011")</f>
        <v>0</v>
      </c>
      <c r="I2157" s="48">
        <f>[1]!BexGetData("DP_2","DL719O2RYNIY3MZ1QVCEEWBN7","17","M","15015032M101","2067217011")</f>
        <v>0</v>
      </c>
    </row>
    <row r="2158" spans="1:9" x14ac:dyDescent="0.2">
      <c r="A2158" s="46" t="s">
        <v>32</v>
      </c>
      <c r="B2158" s="46" t="s">
        <v>32</v>
      </c>
      <c r="C2158" s="46" t="s">
        <v>32</v>
      </c>
      <c r="D2158" s="46" t="s">
        <v>32</v>
      </c>
      <c r="E2158" s="46" t="s">
        <v>32</v>
      </c>
      <c r="F2158" s="47">
        <f>[1]!BexGetData("DP_2","DL719O2RYNC0Y217V0FVT1R77","17","M","15015032M101","2067221011")</f>
        <v>36050.800000000003</v>
      </c>
      <c r="G2158" s="48">
        <f>[1]!BexGetData("DP_2","DL719O2RYNEBZX0HTMQQ0BY0J","17","M","15015032M101","2067221011")</f>
        <v>36050.800000000003</v>
      </c>
      <c r="H2158" s="48">
        <f>[1]!BexGetData("DP_2","DL719O2RYNGN1RZRS91K7M4TV","17","M","15015032M101","2067221011")</f>
        <v>36050.800000000003</v>
      </c>
      <c r="I2158" s="48">
        <f>[1]!BexGetData("DP_2","DL719O2RYNIY3MZ1QVCEEWBN7","17","M","15015032M101","2067221011")</f>
        <v>0</v>
      </c>
    </row>
    <row r="2159" spans="1:9" x14ac:dyDescent="0.2">
      <c r="A2159" s="46" t="s">
        <v>32</v>
      </c>
      <c r="B2159" s="46" t="s">
        <v>32</v>
      </c>
      <c r="C2159" s="46" t="s">
        <v>32</v>
      </c>
      <c r="D2159" s="46" t="s">
        <v>32</v>
      </c>
      <c r="E2159" s="46" t="s">
        <v>32</v>
      </c>
      <c r="F2159" s="47">
        <f>[1]!BexGetData("DP_2","DL719O2RYNC0Y217V0FVT1R77","17","M","15015032M101","2067221021")</f>
        <v>36480</v>
      </c>
      <c r="G2159" s="48">
        <f>[1]!BexGetData("DP_2","DL719O2RYNEBZX0HTMQQ0BY0J","17","M","15015032M101","2067221021")</f>
        <v>36480</v>
      </c>
      <c r="H2159" s="48">
        <f>[1]!BexGetData("DP_2","DL719O2RYNGN1RZRS91K7M4TV","17","M","15015032M101","2067221021")</f>
        <v>36480</v>
      </c>
      <c r="I2159" s="48">
        <f>[1]!BexGetData("DP_2","DL719O2RYNIY3MZ1QVCEEWBN7","17","M","15015032M101","2067221021")</f>
        <v>0</v>
      </c>
    </row>
    <row r="2160" spans="1:9" x14ac:dyDescent="0.2">
      <c r="A2160" s="46" t="s">
        <v>32</v>
      </c>
      <c r="B2160" s="46" t="s">
        <v>32</v>
      </c>
      <c r="C2160" s="46" t="s">
        <v>32</v>
      </c>
      <c r="D2160" s="46" t="s">
        <v>32</v>
      </c>
      <c r="E2160" s="46" t="s">
        <v>32</v>
      </c>
      <c r="F2160" s="47">
        <f>[1]!BexGetData("DP_2","DL719O2RYNC0Y217V0FVT1R77","17","M","15015032M101","2067221031")</f>
        <v>0</v>
      </c>
      <c r="G2160" s="48">
        <f>[1]!BexGetData("DP_2","DL719O2RYNEBZX0HTMQQ0BY0J","17","M","15015032M101","2067221031")</f>
        <v>0</v>
      </c>
      <c r="H2160" s="48">
        <f>[1]!BexGetData("DP_2","DL719O2RYNGN1RZRS91K7M4TV","17","M","15015032M101","2067221031")</f>
        <v>0</v>
      </c>
      <c r="I2160" s="48">
        <f>[1]!BexGetData("DP_2","DL719O2RYNIY3MZ1QVCEEWBN7","17","M","15015032M101","2067221031")</f>
        <v>0</v>
      </c>
    </row>
    <row r="2161" spans="1:9" x14ac:dyDescent="0.2">
      <c r="A2161" s="46" t="s">
        <v>32</v>
      </c>
      <c r="B2161" s="46" t="s">
        <v>32</v>
      </c>
      <c r="C2161" s="46" t="s">
        <v>32</v>
      </c>
      <c r="D2161" s="46" t="s">
        <v>32</v>
      </c>
      <c r="E2161" s="46" t="s">
        <v>32</v>
      </c>
      <c r="F2161" s="47">
        <f>[1]!BexGetData("DP_2","DL719O2RYNC0Y217V0FVT1R77","17","M","15015032M101","2067246011")</f>
        <v>40954.639999999999</v>
      </c>
      <c r="G2161" s="48">
        <f>[1]!BexGetData("DP_2","DL719O2RYNEBZX0HTMQQ0BY0J","17","M","15015032M101","2067246011")</f>
        <v>40954.639999999999</v>
      </c>
      <c r="H2161" s="48">
        <f>[1]!BexGetData("DP_2","DL719O2RYNGN1RZRS91K7M4TV","17","M","15015032M101","2067246011")</f>
        <v>40954.639999999999</v>
      </c>
      <c r="I2161" s="48">
        <f>[1]!BexGetData("DP_2","DL719O2RYNIY3MZ1QVCEEWBN7","17","M","15015032M101","2067246011")</f>
        <v>0</v>
      </c>
    </row>
    <row r="2162" spans="1:9" x14ac:dyDescent="0.2">
      <c r="A2162" s="46" t="s">
        <v>32</v>
      </c>
      <c r="B2162" s="46" t="s">
        <v>32</v>
      </c>
      <c r="C2162" s="46" t="s">
        <v>32</v>
      </c>
      <c r="D2162" s="46" t="s">
        <v>32</v>
      </c>
      <c r="E2162" s="46" t="s">
        <v>32</v>
      </c>
      <c r="F2162" s="47">
        <f>[1]!BexGetData("DP_2","DL719O2RYNC0Y217V0FVT1R77","17","M","15015032M101","2067247011")</f>
        <v>21153.31</v>
      </c>
      <c r="G2162" s="48">
        <f>[1]!BexGetData("DP_2","DL719O2RYNEBZX0HTMQQ0BY0J","17","M","15015032M101","2067247011")</f>
        <v>21153.31</v>
      </c>
      <c r="H2162" s="48">
        <f>[1]!BexGetData("DP_2","DL719O2RYNGN1RZRS91K7M4TV","17","M","15015032M101","2067247011")</f>
        <v>21153.31</v>
      </c>
      <c r="I2162" s="48">
        <f>[1]!BexGetData("DP_2","DL719O2RYNIY3MZ1QVCEEWBN7","17","M","15015032M101","2067247011")</f>
        <v>0</v>
      </c>
    </row>
    <row r="2163" spans="1:9" x14ac:dyDescent="0.2">
      <c r="A2163" s="46" t="s">
        <v>32</v>
      </c>
      <c r="B2163" s="46" t="s">
        <v>32</v>
      </c>
      <c r="C2163" s="46" t="s">
        <v>32</v>
      </c>
      <c r="D2163" s="46" t="s">
        <v>32</v>
      </c>
      <c r="E2163" s="46" t="s">
        <v>32</v>
      </c>
      <c r="F2163" s="47">
        <f>[1]!BexGetData("DP_2","DL719O2RYNC0Y217V0FVT1R77","17","M","15015032M101","2067248011")</f>
        <v>0</v>
      </c>
      <c r="G2163" s="48">
        <f>[1]!BexGetData("DP_2","DL719O2RYNEBZX0HTMQQ0BY0J","17","M","15015032M101","2067248011")</f>
        <v>0</v>
      </c>
      <c r="H2163" s="48">
        <f>[1]!BexGetData("DP_2","DL719O2RYNGN1RZRS91K7M4TV","17","M","15015032M101","2067248011")</f>
        <v>0</v>
      </c>
      <c r="I2163" s="48">
        <f>[1]!BexGetData("DP_2","DL719O2RYNIY3MZ1QVCEEWBN7","17","M","15015032M101","2067248011")</f>
        <v>0</v>
      </c>
    </row>
    <row r="2164" spans="1:9" x14ac:dyDescent="0.2">
      <c r="A2164" s="46" t="s">
        <v>32</v>
      </c>
      <c r="B2164" s="46" t="s">
        <v>32</v>
      </c>
      <c r="C2164" s="46" t="s">
        <v>32</v>
      </c>
      <c r="D2164" s="46" t="s">
        <v>32</v>
      </c>
      <c r="E2164" s="46" t="s">
        <v>32</v>
      </c>
      <c r="F2164" s="47">
        <f>[1]!BexGetData("DP_2","DL719O2RYNC0Y217V0FVT1R77","17","M","15015032M101","2067249011")</f>
        <v>190686.75</v>
      </c>
      <c r="G2164" s="48">
        <f>[1]!BexGetData("DP_2","DL719O2RYNEBZX0HTMQQ0BY0J","17","M","15015032M101","2067249011")</f>
        <v>190686.75</v>
      </c>
      <c r="H2164" s="48">
        <f>[1]!BexGetData("DP_2","DL719O2RYNGN1RZRS91K7M4TV","17","M","15015032M101","2067249011")</f>
        <v>190686.75</v>
      </c>
      <c r="I2164" s="48">
        <f>[1]!BexGetData("DP_2","DL719O2RYNIY3MZ1QVCEEWBN7","17","M","15015032M101","2067249011")</f>
        <v>0</v>
      </c>
    </row>
    <row r="2165" spans="1:9" x14ac:dyDescent="0.2">
      <c r="A2165" s="46" t="s">
        <v>32</v>
      </c>
      <c r="B2165" s="46" t="s">
        <v>32</v>
      </c>
      <c r="C2165" s="46" t="s">
        <v>32</v>
      </c>
      <c r="D2165" s="46" t="s">
        <v>32</v>
      </c>
      <c r="E2165" s="46" t="s">
        <v>32</v>
      </c>
      <c r="F2165" s="47">
        <f>[1]!BexGetData("DP_2","DL719O2RYNC0Y217V0FVT1R77","17","M","15015032M101","2067256011")</f>
        <v>2924.87</v>
      </c>
      <c r="G2165" s="48">
        <f>[1]!BexGetData("DP_2","DL719O2RYNEBZX0HTMQQ0BY0J","17","M","15015032M101","2067256011")</f>
        <v>2924.87</v>
      </c>
      <c r="H2165" s="48">
        <f>[1]!BexGetData("DP_2","DL719O2RYNGN1RZRS91K7M4TV","17","M","15015032M101","2067256011")</f>
        <v>2924.87</v>
      </c>
      <c r="I2165" s="48">
        <f>[1]!BexGetData("DP_2","DL719O2RYNIY3MZ1QVCEEWBN7","17","M","15015032M101","2067256011")</f>
        <v>0</v>
      </c>
    </row>
    <row r="2166" spans="1:9" x14ac:dyDescent="0.2">
      <c r="A2166" s="46" t="s">
        <v>32</v>
      </c>
      <c r="B2166" s="46" t="s">
        <v>32</v>
      </c>
      <c r="C2166" s="46" t="s">
        <v>32</v>
      </c>
      <c r="D2166" s="46" t="s">
        <v>32</v>
      </c>
      <c r="E2166" s="46" t="s">
        <v>32</v>
      </c>
      <c r="F2166" s="47">
        <f>[1]!BexGetData("DP_2","DL719O2RYNC0Y217V0FVT1R77","17","M","15015032M101","2067274011")</f>
        <v>139.97999999999999</v>
      </c>
      <c r="G2166" s="48">
        <f>[1]!BexGetData("DP_2","DL719O2RYNEBZX0HTMQQ0BY0J","17","M","15015032M101","2067274011")</f>
        <v>139.97999999999999</v>
      </c>
      <c r="H2166" s="48">
        <f>[1]!BexGetData("DP_2","DL719O2RYNGN1RZRS91K7M4TV","17","M","15015032M101","2067274011")</f>
        <v>139.97999999999999</v>
      </c>
      <c r="I2166" s="48">
        <f>[1]!BexGetData("DP_2","DL719O2RYNIY3MZ1QVCEEWBN7","17","M","15015032M101","2067274011")</f>
        <v>0</v>
      </c>
    </row>
    <row r="2167" spans="1:9" x14ac:dyDescent="0.2">
      <c r="A2167" s="46" t="s">
        <v>32</v>
      </c>
      <c r="B2167" s="46" t="s">
        <v>32</v>
      </c>
      <c r="C2167" s="46" t="s">
        <v>32</v>
      </c>
      <c r="D2167" s="46" t="s">
        <v>32</v>
      </c>
      <c r="E2167" s="46" t="s">
        <v>32</v>
      </c>
      <c r="F2167" s="47">
        <f>[1]!BexGetData("DP_2","DL719O2RYNC0Y217V0FVT1R77","17","M","15015032M101","2067291011")</f>
        <v>31508.720000000001</v>
      </c>
      <c r="G2167" s="48">
        <f>[1]!BexGetData("DP_2","DL719O2RYNEBZX0HTMQQ0BY0J","17","M","15015032M101","2067291011")</f>
        <v>31508.720000000001</v>
      </c>
      <c r="H2167" s="48">
        <f>[1]!BexGetData("DP_2","DL719O2RYNGN1RZRS91K7M4TV","17","M","15015032M101","2067291011")</f>
        <v>31508.720000000001</v>
      </c>
      <c r="I2167" s="48">
        <f>[1]!BexGetData("DP_2","DL719O2RYNIY3MZ1QVCEEWBN7","17","M","15015032M101","2067291011")</f>
        <v>0</v>
      </c>
    </row>
    <row r="2168" spans="1:9" x14ac:dyDescent="0.2">
      <c r="A2168" s="46" t="s">
        <v>32</v>
      </c>
      <c r="B2168" s="46" t="s">
        <v>32</v>
      </c>
      <c r="C2168" s="46" t="s">
        <v>32</v>
      </c>
      <c r="D2168" s="46" t="s">
        <v>32</v>
      </c>
      <c r="E2168" s="46" t="s">
        <v>32</v>
      </c>
      <c r="F2168" s="47">
        <f>[1]!BexGetData("DP_2","DL719O2RYNC0Y217V0FVT1R77","17","M","15015032M101","2067292011")</f>
        <v>25390.85</v>
      </c>
      <c r="G2168" s="48">
        <f>[1]!BexGetData("DP_2","DL719O2RYNEBZX0HTMQQ0BY0J","17","M","15015032M101","2067292011")</f>
        <v>25390.85</v>
      </c>
      <c r="H2168" s="48">
        <f>[1]!BexGetData("DP_2","DL719O2RYNGN1RZRS91K7M4TV","17","M","15015032M101","2067292011")</f>
        <v>25390.85</v>
      </c>
      <c r="I2168" s="48">
        <f>[1]!BexGetData("DP_2","DL719O2RYNIY3MZ1QVCEEWBN7","17","M","15015032M101","2067292011")</f>
        <v>0</v>
      </c>
    </row>
    <row r="2169" spans="1:9" x14ac:dyDescent="0.2">
      <c r="A2169" s="46" t="s">
        <v>32</v>
      </c>
      <c r="B2169" s="46" t="s">
        <v>32</v>
      </c>
      <c r="C2169" s="46" t="s">
        <v>32</v>
      </c>
      <c r="D2169" s="46" t="s">
        <v>32</v>
      </c>
      <c r="E2169" s="46" t="s">
        <v>32</v>
      </c>
      <c r="F2169" s="47">
        <f>[1]!BexGetData("DP_2","DL719O2RYNC0Y217V0FVT1R77","17","M","15015032M101","2067294011")</f>
        <v>0</v>
      </c>
      <c r="G2169" s="48">
        <f>[1]!BexGetData("DP_2","DL719O2RYNEBZX0HTMQQ0BY0J","17","M","15015032M101","2067294011")</f>
        <v>0</v>
      </c>
      <c r="H2169" s="48">
        <f>[1]!BexGetData("DP_2","DL719O2RYNGN1RZRS91K7M4TV","17","M","15015032M101","2067294011")</f>
        <v>0</v>
      </c>
      <c r="I2169" s="48">
        <f>[1]!BexGetData("DP_2","DL719O2RYNIY3MZ1QVCEEWBN7","17","M","15015032M101","2067294011")</f>
        <v>0</v>
      </c>
    </row>
    <row r="2170" spans="1:9" x14ac:dyDescent="0.2">
      <c r="A2170" s="46" t="s">
        <v>32</v>
      </c>
      <c r="B2170" s="46" t="s">
        <v>32</v>
      </c>
      <c r="C2170" s="46" t="s">
        <v>32</v>
      </c>
      <c r="D2170" s="46" t="s">
        <v>32</v>
      </c>
      <c r="E2170" s="46" t="s">
        <v>32</v>
      </c>
      <c r="F2170" s="47">
        <f>[1]!BexGetData("DP_2","DL719O2RYNC0Y217V0FVT1R77","17","M","15015032M101","2067299011")</f>
        <v>0</v>
      </c>
      <c r="G2170" s="48">
        <f>[1]!BexGetData("DP_2","DL719O2RYNEBZX0HTMQQ0BY0J","17","M","15015032M101","2067299011")</f>
        <v>0</v>
      </c>
      <c r="H2170" s="48">
        <f>[1]!BexGetData("DP_2","DL719O2RYNGN1RZRS91K7M4TV","17","M","15015032M101","2067299011")</f>
        <v>0</v>
      </c>
      <c r="I2170" s="48">
        <f>[1]!BexGetData("DP_2","DL719O2RYNIY3MZ1QVCEEWBN7","17","M","15015032M101","2067299011")</f>
        <v>0</v>
      </c>
    </row>
    <row r="2171" spans="1:9" x14ac:dyDescent="0.2">
      <c r="A2171" s="46" t="s">
        <v>32</v>
      </c>
      <c r="B2171" s="46" t="s">
        <v>32</v>
      </c>
      <c r="C2171" s="46" t="s">
        <v>32</v>
      </c>
      <c r="D2171" s="46" t="s">
        <v>32</v>
      </c>
      <c r="E2171" s="46" t="s">
        <v>32</v>
      </c>
      <c r="F2171" s="47">
        <f>[1]!BexGetData("DP_2","DL719O2RYNC0Y217V0FVT1R77","17","M","15015032M101","2067314011")</f>
        <v>47311.42</v>
      </c>
      <c r="G2171" s="48">
        <f>[1]!BexGetData("DP_2","DL719O2RYNEBZX0HTMQQ0BY0J","17","M","15015032M101","2067314011")</f>
        <v>47311.42</v>
      </c>
      <c r="H2171" s="48">
        <f>[1]!BexGetData("DP_2","DL719O2RYNGN1RZRS91K7M4TV","17","M","15015032M101","2067314011")</f>
        <v>47311.42</v>
      </c>
      <c r="I2171" s="48">
        <f>[1]!BexGetData("DP_2","DL719O2RYNIY3MZ1QVCEEWBN7","17","M","15015032M101","2067314011")</f>
        <v>0</v>
      </c>
    </row>
    <row r="2172" spans="1:9" x14ac:dyDescent="0.2">
      <c r="A2172" s="46" t="s">
        <v>32</v>
      </c>
      <c r="B2172" s="46" t="s">
        <v>32</v>
      </c>
      <c r="C2172" s="46" t="s">
        <v>32</v>
      </c>
      <c r="D2172" s="46" t="s">
        <v>32</v>
      </c>
      <c r="E2172" s="46" t="s">
        <v>32</v>
      </c>
      <c r="F2172" s="47">
        <f>[1]!BexGetData("DP_2","DL719O2RYNC0Y217V0FVT1R77","17","M","15015032M101","2067317011")</f>
        <v>1862.56</v>
      </c>
      <c r="G2172" s="48">
        <f>[1]!BexGetData("DP_2","DL719O2RYNEBZX0HTMQQ0BY0J","17","M","15015032M101","2067317011")</f>
        <v>1862.56</v>
      </c>
      <c r="H2172" s="48">
        <f>[1]!BexGetData("DP_2","DL719O2RYNGN1RZRS91K7M4TV","17","M","15015032M101","2067317011")</f>
        <v>1862.56</v>
      </c>
      <c r="I2172" s="48">
        <f>[1]!BexGetData("DP_2","DL719O2RYNIY3MZ1QVCEEWBN7","17","M","15015032M101","2067317011")</f>
        <v>0</v>
      </c>
    </row>
    <row r="2173" spans="1:9" x14ac:dyDescent="0.2">
      <c r="A2173" s="46" t="s">
        <v>32</v>
      </c>
      <c r="B2173" s="46" t="s">
        <v>32</v>
      </c>
      <c r="C2173" s="46" t="s">
        <v>32</v>
      </c>
      <c r="D2173" s="46" t="s">
        <v>32</v>
      </c>
      <c r="E2173" s="46" t="s">
        <v>32</v>
      </c>
      <c r="F2173" s="47">
        <f>[1]!BexGetData("DP_2","DL719O2RYNC0Y217V0FVT1R77","17","M","15015032M101","2067318011")</f>
        <v>506</v>
      </c>
      <c r="G2173" s="48">
        <f>[1]!BexGetData("DP_2","DL719O2RYNEBZX0HTMQQ0BY0J","17","M","15015032M101","2067318011")</f>
        <v>506</v>
      </c>
      <c r="H2173" s="48">
        <f>[1]!BexGetData("DP_2","DL719O2RYNGN1RZRS91K7M4TV","17","M","15015032M101","2067318011")</f>
        <v>506</v>
      </c>
      <c r="I2173" s="48">
        <f>[1]!BexGetData("DP_2","DL719O2RYNIY3MZ1QVCEEWBN7","17","M","15015032M101","2067318011")</f>
        <v>0</v>
      </c>
    </row>
    <row r="2174" spans="1:9" x14ac:dyDescent="0.2">
      <c r="A2174" s="46" t="s">
        <v>32</v>
      </c>
      <c r="B2174" s="46" t="s">
        <v>32</v>
      </c>
      <c r="C2174" s="46" t="s">
        <v>32</v>
      </c>
      <c r="D2174" s="46" t="s">
        <v>32</v>
      </c>
      <c r="E2174" s="46" t="s">
        <v>32</v>
      </c>
      <c r="F2174" s="47">
        <f>[1]!BexGetData("DP_2","DL719O2RYNC0Y217V0FVT1R77","17","M","15015032M101","2067319011")</f>
        <v>0</v>
      </c>
      <c r="G2174" s="48">
        <f>[1]!BexGetData("DP_2","DL719O2RYNEBZX0HTMQQ0BY0J","17","M","15015032M101","2067319011")</f>
        <v>0</v>
      </c>
      <c r="H2174" s="48">
        <f>[1]!BexGetData("DP_2","DL719O2RYNGN1RZRS91K7M4TV","17","M","15015032M101","2067319011")</f>
        <v>0</v>
      </c>
      <c r="I2174" s="48">
        <f>[1]!BexGetData("DP_2","DL719O2RYNIY3MZ1QVCEEWBN7","17","M","15015032M101","2067319011")</f>
        <v>0</v>
      </c>
    </row>
    <row r="2175" spans="1:9" x14ac:dyDescent="0.2">
      <c r="A2175" s="46" t="s">
        <v>32</v>
      </c>
      <c r="B2175" s="46" t="s">
        <v>32</v>
      </c>
      <c r="C2175" s="46" t="s">
        <v>32</v>
      </c>
      <c r="D2175" s="46" t="s">
        <v>32</v>
      </c>
      <c r="E2175" s="46" t="s">
        <v>32</v>
      </c>
      <c r="F2175" s="47">
        <f>[1]!BexGetData("DP_2","DL719O2RYNC0Y217V0FVT1R77","17","M","15015032M101","2067327011")</f>
        <v>0</v>
      </c>
      <c r="G2175" s="48">
        <f>[1]!BexGetData("DP_2","DL719O2RYNEBZX0HTMQQ0BY0J","17","M","15015032M101","2067327011")</f>
        <v>0</v>
      </c>
      <c r="H2175" s="48">
        <f>[1]!BexGetData("DP_2","DL719O2RYNGN1RZRS91K7M4TV","17","M","15015032M101","2067327011")</f>
        <v>0</v>
      </c>
      <c r="I2175" s="48">
        <f>[1]!BexGetData("DP_2","DL719O2RYNIY3MZ1QVCEEWBN7","17","M","15015032M101","2067327011")</f>
        <v>0</v>
      </c>
    </row>
    <row r="2176" spans="1:9" x14ac:dyDescent="0.2">
      <c r="A2176" s="46" t="s">
        <v>32</v>
      </c>
      <c r="B2176" s="46" t="s">
        <v>32</v>
      </c>
      <c r="C2176" s="46" t="s">
        <v>32</v>
      </c>
      <c r="D2176" s="46" t="s">
        <v>32</v>
      </c>
      <c r="E2176" s="46" t="s">
        <v>32</v>
      </c>
      <c r="F2176" s="47">
        <f>[1]!BexGetData("DP_2","DL719O2RYNC0Y217V0FVT1R77","17","M","15015032M101","2067331031")</f>
        <v>7033767.6500000004</v>
      </c>
      <c r="G2176" s="48">
        <f>[1]!BexGetData("DP_2","DL719O2RYNEBZX0HTMQQ0BY0J","17","M","15015032M101","2067331031")</f>
        <v>7033767.6500000004</v>
      </c>
      <c r="H2176" s="48">
        <f>[1]!BexGetData("DP_2","DL719O2RYNGN1RZRS91K7M4TV","17","M","15015032M101","2067331031")</f>
        <v>1888323.89</v>
      </c>
      <c r="I2176" s="48">
        <f>[1]!BexGetData("DP_2","DL719O2RYNIY3MZ1QVCEEWBN7","17","M","15015032M101","2067331031")</f>
        <v>0</v>
      </c>
    </row>
    <row r="2177" spans="1:9" x14ac:dyDescent="0.2">
      <c r="A2177" s="46" t="s">
        <v>32</v>
      </c>
      <c r="B2177" s="46" t="s">
        <v>32</v>
      </c>
      <c r="C2177" s="46" t="s">
        <v>32</v>
      </c>
      <c r="D2177" s="46" t="s">
        <v>32</v>
      </c>
      <c r="E2177" s="46" t="s">
        <v>32</v>
      </c>
      <c r="F2177" s="47">
        <f>[1]!BexGetData("DP_2","DL719O2RYNC0Y217V0FVT1R77","17","M","15015032M101","2067331041")</f>
        <v>0</v>
      </c>
      <c r="G2177" s="48">
        <f>[1]!BexGetData("DP_2","DL719O2RYNEBZX0HTMQQ0BY0J","17","M","15015032M101","2067331041")</f>
        <v>0</v>
      </c>
      <c r="H2177" s="48">
        <f>[1]!BexGetData("DP_2","DL719O2RYNGN1RZRS91K7M4TV","17","M","15015032M101","2067331041")</f>
        <v>0</v>
      </c>
      <c r="I2177" s="48">
        <f>[1]!BexGetData("DP_2","DL719O2RYNIY3MZ1QVCEEWBN7","17","M","15015032M101","2067331041")</f>
        <v>0</v>
      </c>
    </row>
    <row r="2178" spans="1:9" x14ac:dyDescent="0.2">
      <c r="A2178" s="46" t="s">
        <v>32</v>
      </c>
      <c r="B2178" s="46" t="s">
        <v>32</v>
      </c>
      <c r="C2178" s="46" t="s">
        <v>32</v>
      </c>
      <c r="D2178" s="46" t="s">
        <v>32</v>
      </c>
      <c r="E2178" s="46" t="s">
        <v>32</v>
      </c>
      <c r="F2178" s="47">
        <f>[1]!BexGetData("DP_2","DL719O2RYNC0Y217V0FVT1R77","17","M","15015032M101","2067334011")</f>
        <v>0</v>
      </c>
      <c r="G2178" s="48">
        <f>[1]!BexGetData("DP_2","DL719O2RYNEBZX0HTMQQ0BY0J","17","M","15015032M101","2067334011")</f>
        <v>0</v>
      </c>
      <c r="H2178" s="48">
        <f>[1]!BexGetData("DP_2","DL719O2RYNGN1RZRS91K7M4TV","17","M","15015032M101","2067334011")</f>
        <v>0</v>
      </c>
      <c r="I2178" s="48">
        <f>[1]!BexGetData("DP_2","DL719O2RYNIY3MZ1QVCEEWBN7","17","M","15015032M101","2067334011")</f>
        <v>0</v>
      </c>
    </row>
    <row r="2179" spans="1:9" x14ac:dyDescent="0.2">
      <c r="A2179" s="46" t="s">
        <v>32</v>
      </c>
      <c r="B2179" s="46" t="s">
        <v>32</v>
      </c>
      <c r="C2179" s="46" t="s">
        <v>32</v>
      </c>
      <c r="D2179" s="46" t="s">
        <v>32</v>
      </c>
      <c r="E2179" s="46" t="s">
        <v>32</v>
      </c>
      <c r="F2179" s="47">
        <f>[1]!BexGetData("DP_2","DL719O2RYNC0Y217V0FVT1R77","17","M","15015032M101","2067336011")</f>
        <v>240374.83</v>
      </c>
      <c r="G2179" s="48">
        <f>[1]!BexGetData("DP_2","DL719O2RYNEBZX0HTMQQ0BY0J","17","M","15015032M101","2067336011")</f>
        <v>240374.83</v>
      </c>
      <c r="H2179" s="48">
        <f>[1]!BexGetData("DP_2","DL719O2RYNGN1RZRS91K7M4TV","17","M","15015032M101","2067336011")</f>
        <v>217654.26</v>
      </c>
      <c r="I2179" s="48">
        <f>[1]!BexGetData("DP_2","DL719O2RYNIY3MZ1QVCEEWBN7","17","M","15015032M101","2067336011")</f>
        <v>0</v>
      </c>
    </row>
    <row r="2180" spans="1:9" x14ac:dyDescent="0.2">
      <c r="A2180" s="46" t="s">
        <v>32</v>
      </c>
      <c r="B2180" s="46" t="s">
        <v>32</v>
      </c>
      <c r="C2180" s="46" t="s">
        <v>32</v>
      </c>
      <c r="D2180" s="46" t="s">
        <v>32</v>
      </c>
      <c r="E2180" s="46" t="s">
        <v>32</v>
      </c>
      <c r="F2180" s="47">
        <f>[1]!BexGetData("DP_2","DL719O2RYNC0Y217V0FVT1R77","17","M","15015032M101","2067339011")</f>
        <v>0</v>
      </c>
      <c r="G2180" s="48">
        <f>[1]!BexGetData("DP_2","DL719O2RYNEBZX0HTMQQ0BY0J","17","M","15015032M101","2067339011")</f>
        <v>0</v>
      </c>
      <c r="H2180" s="48">
        <f>[1]!BexGetData("DP_2","DL719O2RYNGN1RZRS91K7M4TV","17","M","15015032M101","2067339011")</f>
        <v>0</v>
      </c>
      <c r="I2180" s="48">
        <f>[1]!BexGetData("DP_2","DL719O2RYNIY3MZ1QVCEEWBN7","17","M","15015032M101","2067339011")</f>
        <v>0</v>
      </c>
    </row>
    <row r="2181" spans="1:9" x14ac:dyDescent="0.2">
      <c r="A2181" s="46" t="s">
        <v>32</v>
      </c>
      <c r="B2181" s="46" t="s">
        <v>32</v>
      </c>
      <c r="C2181" s="46" t="s">
        <v>32</v>
      </c>
      <c r="D2181" s="46" t="s">
        <v>32</v>
      </c>
      <c r="E2181" s="46" t="s">
        <v>32</v>
      </c>
      <c r="F2181" s="47">
        <f>[1]!BexGetData("DP_2","DL719O2RYNC0Y217V0FVT1R77","17","M","15015032M101","2067341011")</f>
        <v>328187.40999999997</v>
      </c>
      <c r="G2181" s="48">
        <f>[1]!BexGetData("DP_2","DL719O2RYNEBZX0HTMQQ0BY0J","17","M","15015032M101","2067341011")</f>
        <v>328187.40999999997</v>
      </c>
      <c r="H2181" s="48">
        <f>[1]!BexGetData("DP_2","DL719O2RYNGN1RZRS91K7M4TV","17","M","15015032M101","2067341011")</f>
        <v>328187.40999999997</v>
      </c>
      <c r="I2181" s="48">
        <f>[1]!BexGetData("DP_2","DL719O2RYNIY3MZ1QVCEEWBN7","17","M","15015032M101","2067341011")</f>
        <v>0</v>
      </c>
    </row>
    <row r="2182" spans="1:9" x14ac:dyDescent="0.2">
      <c r="A2182" s="46" t="s">
        <v>32</v>
      </c>
      <c r="B2182" s="46" t="s">
        <v>32</v>
      </c>
      <c r="C2182" s="46" t="s">
        <v>32</v>
      </c>
      <c r="D2182" s="46" t="s">
        <v>32</v>
      </c>
      <c r="E2182" s="46" t="s">
        <v>32</v>
      </c>
      <c r="F2182" s="47">
        <f>[1]!BexGetData("DP_2","DL719O2RYNC0Y217V0FVT1R77","17","M","15015032M101","2067343011")</f>
        <v>3588496.99</v>
      </c>
      <c r="G2182" s="48">
        <f>[1]!BexGetData("DP_2","DL719O2RYNEBZX0HTMQQ0BY0J","17","M","15015032M101","2067343011")</f>
        <v>3588496.99</v>
      </c>
      <c r="H2182" s="48">
        <f>[1]!BexGetData("DP_2","DL719O2RYNGN1RZRS91K7M4TV","17","M","15015032M101","2067343011")</f>
        <v>3588496.99</v>
      </c>
      <c r="I2182" s="48">
        <f>[1]!BexGetData("DP_2","DL719O2RYNIY3MZ1QVCEEWBN7","17","M","15015032M101","2067343011")</f>
        <v>0</v>
      </c>
    </row>
    <row r="2183" spans="1:9" x14ac:dyDescent="0.2">
      <c r="A2183" s="46" t="s">
        <v>32</v>
      </c>
      <c r="B2183" s="46" t="s">
        <v>32</v>
      </c>
      <c r="C2183" s="46" t="s">
        <v>32</v>
      </c>
      <c r="D2183" s="46" t="s">
        <v>32</v>
      </c>
      <c r="E2183" s="46" t="s">
        <v>32</v>
      </c>
      <c r="F2183" s="47">
        <f>[1]!BexGetData("DP_2","DL719O2RYNC0Y217V0FVT1R77","17","M","15015032M101","2067351011")</f>
        <v>1350</v>
      </c>
      <c r="G2183" s="48">
        <f>[1]!BexGetData("DP_2","DL719O2RYNEBZX0HTMQQ0BY0J","17","M","15015032M101","2067351011")</f>
        <v>1350</v>
      </c>
      <c r="H2183" s="48">
        <f>[1]!BexGetData("DP_2","DL719O2RYNGN1RZRS91K7M4TV","17","M","15015032M101","2067351011")</f>
        <v>1350</v>
      </c>
      <c r="I2183" s="48">
        <f>[1]!BexGetData("DP_2","DL719O2RYNIY3MZ1QVCEEWBN7","17","M","15015032M101","2067351011")</f>
        <v>0</v>
      </c>
    </row>
    <row r="2184" spans="1:9" x14ac:dyDescent="0.2">
      <c r="A2184" s="46" t="s">
        <v>32</v>
      </c>
      <c r="B2184" s="46" t="s">
        <v>32</v>
      </c>
      <c r="C2184" s="46" t="s">
        <v>32</v>
      </c>
      <c r="D2184" s="46" t="s">
        <v>32</v>
      </c>
      <c r="E2184" s="46" t="s">
        <v>32</v>
      </c>
      <c r="F2184" s="47">
        <f>[1]!BexGetData("DP_2","DL719O2RYNC0Y217V0FVT1R77","17","M","15015032M101","2067352011")</f>
        <v>0</v>
      </c>
      <c r="G2184" s="48">
        <f>[1]!BexGetData("DP_2","DL719O2RYNEBZX0HTMQQ0BY0J","17","M","15015032M101","2067352011")</f>
        <v>0</v>
      </c>
      <c r="H2184" s="48">
        <f>[1]!BexGetData("DP_2","DL719O2RYNGN1RZRS91K7M4TV","17","M","15015032M101","2067352011")</f>
        <v>0</v>
      </c>
      <c r="I2184" s="48">
        <f>[1]!BexGetData("DP_2","DL719O2RYNIY3MZ1QVCEEWBN7","17","M","15015032M101","2067352011")</f>
        <v>0</v>
      </c>
    </row>
    <row r="2185" spans="1:9" x14ac:dyDescent="0.2">
      <c r="A2185" s="46" t="s">
        <v>32</v>
      </c>
      <c r="B2185" s="46" t="s">
        <v>32</v>
      </c>
      <c r="C2185" s="46" t="s">
        <v>32</v>
      </c>
      <c r="D2185" s="46" t="s">
        <v>32</v>
      </c>
      <c r="E2185" s="46" t="s">
        <v>32</v>
      </c>
      <c r="F2185" s="47">
        <f>[1]!BexGetData("DP_2","DL719O2RYNC0Y217V0FVT1R77","17","M","15015032M101","2067352091")</f>
        <v>0</v>
      </c>
      <c r="G2185" s="48">
        <f>[1]!BexGetData("DP_2","DL719O2RYNEBZX0HTMQQ0BY0J","17","M","15015032M101","2067352091")</f>
        <v>0</v>
      </c>
      <c r="H2185" s="48">
        <f>[1]!BexGetData("DP_2","DL719O2RYNGN1RZRS91K7M4TV","17","M","15015032M101","2067352091")</f>
        <v>0</v>
      </c>
      <c r="I2185" s="48">
        <f>[1]!BexGetData("DP_2","DL719O2RYNIY3MZ1QVCEEWBN7","17","M","15015032M101","2067352091")</f>
        <v>0</v>
      </c>
    </row>
    <row r="2186" spans="1:9" x14ac:dyDescent="0.2">
      <c r="A2186" s="46" t="s">
        <v>32</v>
      </c>
      <c r="B2186" s="46" t="s">
        <v>32</v>
      </c>
      <c r="C2186" s="46" t="s">
        <v>32</v>
      </c>
      <c r="D2186" s="46" t="s">
        <v>32</v>
      </c>
      <c r="E2186" s="46" t="s">
        <v>32</v>
      </c>
      <c r="F2186" s="47">
        <f>[1]!BexGetData("DP_2","DL719O2RYNC0Y217V0FVT1R77","17","M","15015032M101","2067355011")</f>
        <v>6414.8</v>
      </c>
      <c r="G2186" s="48">
        <f>[1]!BexGetData("DP_2","DL719O2RYNEBZX0HTMQQ0BY0J","17","M","15015032M101","2067355011")</f>
        <v>6414.8</v>
      </c>
      <c r="H2186" s="48">
        <f>[1]!BexGetData("DP_2","DL719O2RYNGN1RZRS91K7M4TV","17","M","15015032M101","2067355011")</f>
        <v>6414.8</v>
      </c>
      <c r="I2186" s="48">
        <f>[1]!BexGetData("DP_2","DL719O2RYNIY3MZ1QVCEEWBN7","17","M","15015032M101","2067355011")</f>
        <v>0</v>
      </c>
    </row>
    <row r="2187" spans="1:9" x14ac:dyDescent="0.2">
      <c r="A2187" s="46" t="s">
        <v>32</v>
      </c>
      <c r="B2187" s="46" t="s">
        <v>32</v>
      </c>
      <c r="C2187" s="46" t="s">
        <v>32</v>
      </c>
      <c r="D2187" s="46" t="s">
        <v>32</v>
      </c>
      <c r="E2187" s="46" t="s">
        <v>32</v>
      </c>
      <c r="F2187" s="47">
        <f>[1]!BexGetData("DP_2","DL719O2RYNC0Y217V0FVT1R77","17","M","15015032M101","2067369021")</f>
        <v>1890.01</v>
      </c>
      <c r="G2187" s="48">
        <f>[1]!BexGetData("DP_2","DL719O2RYNEBZX0HTMQQ0BY0J","17","M","15015032M101","2067369021")</f>
        <v>1890.01</v>
      </c>
      <c r="H2187" s="48">
        <f>[1]!BexGetData("DP_2","DL719O2RYNGN1RZRS91K7M4TV","17","M","15015032M101","2067369021")</f>
        <v>1890.01</v>
      </c>
      <c r="I2187" s="48">
        <f>[1]!BexGetData("DP_2","DL719O2RYNIY3MZ1QVCEEWBN7","17","M","15015032M101","2067369021")</f>
        <v>0</v>
      </c>
    </row>
    <row r="2188" spans="1:9" x14ac:dyDescent="0.2">
      <c r="A2188" s="46" t="s">
        <v>32</v>
      </c>
      <c r="B2188" s="46" t="s">
        <v>32</v>
      </c>
      <c r="C2188" s="46" t="s">
        <v>32</v>
      </c>
      <c r="D2188" s="46" t="s">
        <v>32</v>
      </c>
      <c r="E2188" s="46" t="s">
        <v>32</v>
      </c>
      <c r="F2188" s="47">
        <f>[1]!BexGetData("DP_2","DL719O2RYNC0Y217V0FVT1R77","17","M","15015032M101","2067371011")</f>
        <v>4805.88</v>
      </c>
      <c r="G2188" s="48">
        <f>[1]!BexGetData("DP_2","DL719O2RYNEBZX0HTMQQ0BY0J","17","M","15015032M101","2067371011")</f>
        <v>4805.88</v>
      </c>
      <c r="H2188" s="48">
        <f>[1]!BexGetData("DP_2","DL719O2RYNGN1RZRS91K7M4TV","17","M","15015032M101","2067371011")</f>
        <v>4805.88</v>
      </c>
      <c r="I2188" s="48">
        <f>[1]!BexGetData("DP_2","DL719O2RYNIY3MZ1QVCEEWBN7","17","M","15015032M101","2067371011")</f>
        <v>0</v>
      </c>
    </row>
    <row r="2189" spans="1:9" x14ac:dyDescent="0.2">
      <c r="A2189" s="46" t="s">
        <v>32</v>
      </c>
      <c r="B2189" s="46" t="s">
        <v>32</v>
      </c>
      <c r="C2189" s="46" t="s">
        <v>32</v>
      </c>
      <c r="D2189" s="46" t="s">
        <v>32</v>
      </c>
      <c r="E2189" s="46" t="s">
        <v>32</v>
      </c>
      <c r="F2189" s="47">
        <f>[1]!BexGetData("DP_2","DL719O2RYNC0Y217V0FVT1R77","17","M","15015032M101","2067372011")</f>
        <v>0</v>
      </c>
      <c r="G2189" s="48">
        <f>[1]!BexGetData("DP_2","DL719O2RYNEBZX0HTMQQ0BY0J","17","M","15015032M101","2067372011")</f>
        <v>0</v>
      </c>
      <c r="H2189" s="48">
        <f>[1]!BexGetData("DP_2","DL719O2RYNGN1RZRS91K7M4TV","17","M","15015032M101","2067372011")</f>
        <v>0</v>
      </c>
      <c r="I2189" s="48">
        <f>[1]!BexGetData("DP_2","DL719O2RYNIY3MZ1QVCEEWBN7","17","M","15015032M101","2067372011")</f>
        <v>0</v>
      </c>
    </row>
    <row r="2190" spans="1:9" x14ac:dyDescent="0.2">
      <c r="A2190" s="46" t="s">
        <v>32</v>
      </c>
      <c r="B2190" s="46" t="s">
        <v>32</v>
      </c>
      <c r="C2190" s="46" t="s">
        <v>32</v>
      </c>
      <c r="D2190" s="46" t="s">
        <v>32</v>
      </c>
      <c r="E2190" s="46" t="s">
        <v>32</v>
      </c>
      <c r="F2190" s="47">
        <f>[1]!BexGetData("DP_2","DL719O2RYNC0Y217V0FVT1R77","17","M","15015032M101","2067375011")</f>
        <v>1500</v>
      </c>
      <c r="G2190" s="48">
        <f>[1]!BexGetData("DP_2","DL719O2RYNEBZX0HTMQQ0BY0J","17","M","15015032M101","2067375011")</f>
        <v>1500</v>
      </c>
      <c r="H2190" s="48">
        <f>[1]!BexGetData("DP_2","DL719O2RYNGN1RZRS91K7M4TV","17","M","15015032M101","2067375011")</f>
        <v>1500</v>
      </c>
      <c r="I2190" s="48">
        <f>[1]!BexGetData("DP_2","DL719O2RYNIY3MZ1QVCEEWBN7","17","M","15015032M101","2067375011")</f>
        <v>0</v>
      </c>
    </row>
    <row r="2191" spans="1:9" x14ac:dyDescent="0.2">
      <c r="A2191" s="46" t="s">
        <v>32</v>
      </c>
      <c r="B2191" s="46" t="s">
        <v>32</v>
      </c>
      <c r="C2191" s="46" t="s">
        <v>32</v>
      </c>
      <c r="D2191" s="46" t="s">
        <v>32</v>
      </c>
      <c r="E2191" s="46" t="s">
        <v>32</v>
      </c>
      <c r="F2191" s="47">
        <f>[1]!BexGetData("DP_2","DL719O2RYNC0Y217V0FVT1R77","17","M","15015032M101","2067392011")</f>
        <v>90</v>
      </c>
      <c r="G2191" s="48">
        <f>[1]!BexGetData("DP_2","DL719O2RYNEBZX0HTMQQ0BY0J","17","M","15015032M101","2067392011")</f>
        <v>90</v>
      </c>
      <c r="H2191" s="48">
        <f>[1]!BexGetData("DP_2","DL719O2RYNGN1RZRS91K7M4TV","17","M","15015032M101","2067392011")</f>
        <v>90</v>
      </c>
      <c r="I2191" s="48">
        <f>[1]!BexGetData("DP_2","DL719O2RYNIY3MZ1QVCEEWBN7","17","M","15015032M101","2067392011")</f>
        <v>0</v>
      </c>
    </row>
    <row r="2192" spans="1:9" x14ac:dyDescent="0.2">
      <c r="A2192" s="46" t="s">
        <v>32</v>
      </c>
      <c r="B2192" s="46" t="s">
        <v>32</v>
      </c>
      <c r="C2192" s="46" t="s">
        <v>32</v>
      </c>
      <c r="D2192" s="46" t="s">
        <v>32</v>
      </c>
      <c r="E2192" s="46" t="s">
        <v>32</v>
      </c>
      <c r="F2192" s="47">
        <f>[1]!BexGetData("DP_2","DL719O2RYNC0Y217V0FVT1R77","17","M","15015032M101","2067399031")</f>
        <v>220.4</v>
      </c>
      <c r="G2192" s="48">
        <f>[1]!BexGetData("DP_2","DL719O2RYNEBZX0HTMQQ0BY0J","17","M","15015032M101","2067399031")</f>
        <v>220.4</v>
      </c>
      <c r="H2192" s="48">
        <f>[1]!BexGetData("DP_2","DL719O2RYNGN1RZRS91K7M4TV","17","M","15015032M101","2067399031")</f>
        <v>220.4</v>
      </c>
      <c r="I2192" s="48">
        <f>[1]!BexGetData("DP_2","DL719O2RYNIY3MZ1QVCEEWBN7","17","M","15015032M101","2067399031")</f>
        <v>0</v>
      </c>
    </row>
    <row r="2193" spans="1:9" x14ac:dyDescent="0.2">
      <c r="A2193" s="46" t="s">
        <v>32</v>
      </c>
      <c r="B2193" s="46" t="s">
        <v>32</v>
      </c>
      <c r="C2193" s="46" t="s">
        <v>32</v>
      </c>
      <c r="D2193" s="46" t="s">
        <v>32</v>
      </c>
      <c r="E2193" s="46" t="s">
        <v>32</v>
      </c>
      <c r="F2193" s="47">
        <f>[1]!BexGetData("DP_2","DL719O2RYNC0Y217V0FVT1R77","17","M","15015032M101","2067515012")</f>
        <v>11020</v>
      </c>
      <c r="G2193" s="48">
        <f>[1]!BexGetData("DP_2","DL719O2RYNEBZX0HTMQQ0BY0J","17","M","15015032M101","2067515012")</f>
        <v>11020</v>
      </c>
      <c r="H2193" s="48">
        <f>[1]!BexGetData("DP_2","DL719O2RYNGN1RZRS91K7M4TV","17","M","15015032M101","2067515012")</f>
        <v>11020</v>
      </c>
      <c r="I2193" s="48">
        <f>[1]!BexGetData("DP_2","DL719O2RYNIY3MZ1QVCEEWBN7","17","M","15015032M101","2067515012")</f>
        <v>0</v>
      </c>
    </row>
    <row r="2194" spans="1:9" x14ac:dyDescent="0.2">
      <c r="A2194" s="46" t="s">
        <v>32</v>
      </c>
      <c r="B2194" s="46" t="s">
        <v>32</v>
      </c>
      <c r="C2194" s="46" t="s">
        <v>81</v>
      </c>
      <c r="D2194" s="46" t="s">
        <v>81</v>
      </c>
      <c r="E2194" s="46" t="s">
        <v>32</v>
      </c>
      <c r="F2194" s="47">
        <f>[1]!BexGetData("DP_2","DL719O2RYNC0Y217V0FVT1R77","17","M","15015041M101","2067113011")</f>
        <v>3015322.23</v>
      </c>
      <c r="G2194" s="48">
        <f>[1]!BexGetData("DP_2","DL719O2RYNEBZX0HTMQQ0BY0J","17","M","15015041M101","2067113011")</f>
        <v>3015322.23</v>
      </c>
      <c r="H2194" s="48">
        <f>[1]!BexGetData("DP_2","DL719O2RYNGN1RZRS91K7M4TV","17","M","15015041M101","2067113011")</f>
        <v>3015322.23</v>
      </c>
      <c r="I2194" s="48">
        <f>[1]!BexGetData("DP_2","DL719O2RYNIY3MZ1QVCEEWBN7","17","M","15015041M101","2067113011")</f>
        <v>0</v>
      </c>
    </row>
    <row r="2195" spans="1:9" x14ac:dyDescent="0.2">
      <c r="A2195" s="46" t="s">
        <v>32</v>
      </c>
      <c r="B2195" s="46" t="s">
        <v>32</v>
      </c>
      <c r="C2195" s="46" t="s">
        <v>32</v>
      </c>
      <c r="D2195" s="46" t="s">
        <v>32</v>
      </c>
      <c r="E2195" s="46" t="s">
        <v>32</v>
      </c>
      <c r="F2195" s="47">
        <f>[1]!BexGetData("DP_2","DL719O2RYNC0Y217V0FVT1R77","17","M","15015041M101","2067113021")</f>
        <v>3093838.07</v>
      </c>
      <c r="G2195" s="48">
        <f>[1]!BexGetData("DP_2","DL719O2RYNEBZX0HTMQQ0BY0J","17","M","15015041M101","2067113021")</f>
        <v>3093838.07</v>
      </c>
      <c r="H2195" s="48">
        <f>[1]!BexGetData("DP_2","DL719O2RYNGN1RZRS91K7M4TV","17","M","15015041M101","2067113021")</f>
        <v>3093838.07</v>
      </c>
      <c r="I2195" s="48">
        <f>[1]!BexGetData("DP_2","DL719O2RYNIY3MZ1QVCEEWBN7","17","M","15015041M101","2067113021")</f>
        <v>0</v>
      </c>
    </row>
    <row r="2196" spans="1:9" x14ac:dyDescent="0.2">
      <c r="A2196" s="46" t="s">
        <v>32</v>
      </c>
      <c r="B2196" s="46" t="s">
        <v>32</v>
      </c>
      <c r="C2196" s="46" t="s">
        <v>32</v>
      </c>
      <c r="D2196" s="46" t="s">
        <v>32</v>
      </c>
      <c r="E2196" s="46" t="s">
        <v>32</v>
      </c>
      <c r="F2196" s="47">
        <f>[1]!BexGetData("DP_2","DL719O2RYNC0Y217V0FVT1R77","17","M","15015041M101","2067121011")</f>
        <v>4171094.4</v>
      </c>
      <c r="G2196" s="48">
        <f>[1]!BexGetData("DP_2","DL719O2RYNEBZX0HTMQQ0BY0J","17","M","15015041M101","2067121011")</f>
        <v>4171094.4</v>
      </c>
      <c r="H2196" s="48">
        <f>[1]!BexGetData("DP_2","DL719O2RYNGN1RZRS91K7M4TV","17","M","15015041M101","2067121011")</f>
        <v>3910502.3999999999</v>
      </c>
      <c r="I2196" s="48">
        <f>[1]!BexGetData("DP_2","DL719O2RYNIY3MZ1QVCEEWBN7","17","M","15015041M101","2067121011")</f>
        <v>0</v>
      </c>
    </row>
    <row r="2197" spans="1:9" x14ac:dyDescent="0.2">
      <c r="A2197" s="46" t="s">
        <v>32</v>
      </c>
      <c r="B2197" s="46" t="s">
        <v>32</v>
      </c>
      <c r="C2197" s="46" t="s">
        <v>32</v>
      </c>
      <c r="D2197" s="46" t="s">
        <v>32</v>
      </c>
      <c r="E2197" s="46" t="s">
        <v>32</v>
      </c>
      <c r="F2197" s="47">
        <f>[1]!BexGetData("DP_2","DL719O2RYNC0Y217V0FVT1R77","17","M","15015041M101","2067122011")</f>
        <v>6294716.9199999999</v>
      </c>
      <c r="G2197" s="48">
        <f>[1]!BexGetData("DP_2","DL719O2RYNEBZX0HTMQQ0BY0J","17","M","15015041M101","2067122011")</f>
        <v>6294716.9199999999</v>
      </c>
      <c r="H2197" s="48">
        <f>[1]!BexGetData("DP_2","DL719O2RYNGN1RZRS91K7M4TV","17","M","15015041M101","2067122011")</f>
        <v>6294716.9199999999</v>
      </c>
      <c r="I2197" s="48">
        <f>[1]!BexGetData("DP_2","DL719O2RYNIY3MZ1QVCEEWBN7","17","M","15015041M101","2067122011")</f>
        <v>0</v>
      </c>
    </row>
    <row r="2198" spans="1:9" x14ac:dyDescent="0.2">
      <c r="A2198" s="46" t="s">
        <v>32</v>
      </c>
      <c r="B2198" s="46" t="s">
        <v>32</v>
      </c>
      <c r="C2198" s="46" t="s">
        <v>32</v>
      </c>
      <c r="D2198" s="46" t="s">
        <v>32</v>
      </c>
      <c r="E2198" s="46" t="s">
        <v>32</v>
      </c>
      <c r="F2198" s="47">
        <f>[1]!BexGetData("DP_2","DL719O2RYNC0Y217V0FVT1R77","17","M","15015041M101","2067131011")</f>
        <v>430173.81</v>
      </c>
      <c r="G2198" s="48">
        <f>[1]!BexGetData("DP_2","DL719O2RYNEBZX0HTMQQ0BY0J","17","M","15015041M101","2067131011")</f>
        <v>430173.81</v>
      </c>
      <c r="H2198" s="48">
        <f>[1]!BexGetData("DP_2","DL719O2RYNGN1RZRS91K7M4TV","17","M","15015041M101","2067131011")</f>
        <v>430173.81</v>
      </c>
      <c r="I2198" s="48">
        <f>[1]!BexGetData("DP_2","DL719O2RYNIY3MZ1QVCEEWBN7","17","M","15015041M101","2067131011")</f>
        <v>0</v>
      </c>
    </row>
    <row r="2199" spans="1:9" x14ac:dyDescent="0.2">
      <c r="A2199" s="46" t="s">
        <v>32</v>
      </c>
      <c r="B2199" s="46" t="s">
        <v>32</v>
      </c>
      <c r="C2199" s="46" t="s">
        <v>32</v>
      </c>
      <c r="D2199" s="46" t="s">
        <v>32</v>
      </c>
      <c r="E2199" s="46" t="s">
        <v>32</v>
      </c>
      <c r="F2199" s="47">
        <f>[1]!BexGetData("DP_2","DL719O2RYNC0Y217V0FVT1R77","17","M","15015041M101","2067131021")</f>
        <v>139019.35999999999</v>
      </c>
      <c r="G2199" s="48">
        <f>[1]!BexGetData("DP_2","DL719O2RYNEBZX0HTMQQ0BY0J","17","M","15015041M101","2067131021")</f>
        <v>139019.35999999999</v>
      </c>
      <c r="H2199" s="48">
        <f>[1]!BexGetData("DP_2","DL719O2RYNGN1RZRS91K7M4TV","17","M","15015041M101","2067131021")</f>
        <v>139019.35999999999</v>
      </c>
      <c r="I2199" s="48">
        <f>[1]!BexGetData("DP_2","DL719O2RYNIY3MZ1QVCEEWBN7","17","M","15015041M101","2067131021")</f>
        <v>0</v>
      </c>
    </row>
    <row r="2200" spans="1:9" x14ac:dyDescent="0.2">
      <c r="A2200" s="46" t="s">
        <v>32</v>
      </c>
      <c r="B2200" s="46" t="s">
        <v>32</v>
      </c>
      <c r="C2200" s="46" t="s">
        <v>32</v>
      </c>
      <c r="D2200" s="46" t="s">
        <v>32</v>
      </c>
      <c r="E2200" s="46" t="s">
        <v>32</v>
      </c>
      <c r="F2200" s="47">
        <f>[1]!BexGetData("DP_2","DL719O2RYNC0Y217V0FVT1R77","17","M","15015041M101","2067132011")</f>
        <v>284826.01</v>
      </c>
      <c r="G2200" s="48">
        <f>[1]!BexGetData("DP_2","DL719O2RYNEBZX0HTMQQ0BY0J","17","M","15015041M101","2067132011")</f>
        <v>284826.01</v>
      </c>
      <c r="H2200" s="48">
        <f>[1]!BexGetData("DP_2","DL719O2RYNGN1RZRS91K7M4TV","17","M","15015041M101","2067132011")</f>
        <v>284826.01</v>
      </c>
      <c r="I2200" s="48">
        <f>[1]!BexGetData("DP_2","DL719O2RYNIY3MZ1QVCEEWBN7","17","M","15015041M101","2067132011")</f>
        <v>0</v>
      </c>
    </row>
    <row r="2201" spans="1:9" x14ac:dyDescent="0.2">
      <c r="A2201" s="46" t="s">
        <v>32</v>
      </c>
      <c r="B2201" s="46" t="s">
        <v>32</v>
      </c>
      <c r="C2201" s="46" t="s">
        <v>32</v>
      </c>
      <c r="D2201" s="46" t="s">
        <v>32</v>
      </c>
      <c r="E2201" s="46" t="s">
        <v>32</v>
      </c>
      <c r="F2201" s="47">
        <f>[1]!BexGetData("DP_2","DL719O2RYNC0Y217V0FVT1R77","17","M","15015041M101","2067132021")</f>
        <v>1616935.09</v>
      </c>
      <c r="G2201" s="48">
        <f>[1]!BexGetData("DP_2","DL719O2RYNEBZX0HTMQQ0BY0J","17","M","15015041M101","2067132021")</f>
        <v>1616935.09</v>
      </c>
      <c r="H2201" s="48">
        <f>[1]!BexGetData("DP_2","DL719O2RYNGN1RZRS91K7M4TV","17","M","15015041M101","2067132021")</f>
        <v>1616935.09</v>
      </c>
      <c r="I2201" s="48">
        <f>[1]!BexGetData("DP_2","DL719O2RYNIY3MZ1QVCEEWBN7","17","M","15015041M101","2067132021")</f>
        <v>0</v>
      </c>
    </row>
    <row r="2202" spans="1:9" x14ac:dyDescent="0.2">
      <c r="A2202" s="46" t="s">
        <v>32</v>
      </c>
      <c r="B2202" s="46" t="s">
        <v>32</v>
      </c>
      <c r="C2202" s="46" t="s">
        <v>32</v>
      </c>
      <c r="D2202" s="46" t="s">
        <v>32</v>
      </c>
      <c r="E2202" s="46" t="s">
        <v>32</v>
      </c>
      <c r="F2202" s="47">
        <f>[1]!BexGetData("DP_2","DL719O2RYNC0Y217V0FVT1R77","17","M","15015041M101","2067133011")</f>
        <v>55176.800000000003</v>
      </c>
      <c r="G2202" s="48">
        <f>[1]!BexGetData("DP_2","DL719O2RYNEBZX0HTMQQ0BY0J","17","M","15015041M101","2067133011")</f>
        <v>55176.800000000003</v>
      </c>
      <c r="H2202" s="48">
        <f>[1]!BexGetData("DP_2","DL719O2RYNGN1RZRS91K7M4TV","17","M","15015041M101","2067133011")</f>
        <v>55176.800000000003</v>
      </c>
      <c r="I2202" s="48">
        <f>[1]!BexGetData("DP_2","DL719O2RYNIY3MZ1QVCEEWBN7","17","M","15015041M101","2067133011")</f>
        <v>0</v>
      </c>
    </row>
    <row r="2203" spans="1:9" x14ac:dyDescent="0.2">
      <c r="A2203" s="46" t="s">
        <v>32</v>
      </c>
      <c r="B2203" s="46" t="s">
        <v>32</v>
      </c>
      <c r="C2203" s="46" t="s">
        <v>32</v>
      </c>
      <c r="D2203" s="46" t="s">
        <v>32</v>
      </c>
      <c r="E2203" s="46" t="s">
        <v>32</v>
      </c>
      <c r="F2203" s="47">
        <f>[1]!BexGetData("DP_2","DL719O2RYNC0Y217V0FVT1R77","17","M","15015041M101","2067134011")</f>
        <v>14899967.23</v>
      </c>
      <c r="G2203" s="48">
        <f>[1]!BexGetData("DP_2","DL719O2RYNEBZX0HTMQQ0BY0J","17","M","15015041M101","2067134011")</f>
        <v>14899967.23</v>
      </c>
      <c r="H2203" s="48">
        <f>[1]!BexGetData("DP_2","DL719O2RYNGN1RZRS91K7M4TV","17","M","15015041M101","2067134011")</f>
        <v>14819553.26</v>
      </c>
      <c r="I2203" s="48">
        <f>[1]!BexGetData("DP_2","DL719O2RYNIY3MZ1QVCEEWBN7","17","M","15015041M101","2067134011")</f>
        <v>-2.0000000000000001E-9</v>
      </c>
    </row>
    <row r="2204" spans="1:9" x14ac:dyDescent="0.2">
      <c r="A2204" s="46" t="s">
        <v>32</v>
      </c>
      <c r="B2204" s="46" t="s">
        <v>32</v>
      </c>
      <c r="C2204" s="46" t="s">
        <v>32</v>
      </c>
      <c r="D2204" s="46" t="s">
        <v>32</v>
      </c>
      <c r="E2204" s="46" t="s">
        <v>32</v>
      </c>
      <c r="F2204" s="47">
        <f>[1]!BexGetData("DP_2","DL719O2RYNC0Y217V0FVT1R77","17","M","15015041M101","2067134021")</f>
        <v>3380186.78</v>
      </c>
      <c r="G2204" s="48">
        <f>[1]!BexGetData("DP_2","DL719O2RYNEBZX0HTMQQ0BY0J","17","M","15015041M101","2067134021")</f>
        <v>3380186.78</v>
      </c>
      <c r="H2204" s="48">
        <f>[1]!BexGetData("DP_2","DL719O2RYNGN1RZRS91K7M4TV","17","M","15015041M101","2067134021")</f>
        <v>3380186.78</v>
      </c>
      <c r="I2204" s="48">
        <f>[1]!BexGetData("DP_2","DL719O2RYNIY3MZ1QVCEEWBN7","17","M","15015041M101","2067134021")</f>
        <v>0</v>
      </c>
    </row>
    <row r="2205" spans="1:9" x14ac:dyDescent="0.2">
      <c r="A2205" s="46" t="s">
        <v>32</v>
      </c>
      <c r="B2205" s="46" t="s">
        <v>32</v>
      </c>
      <c r="C2205" s="46" t="s">
        <v>32</v>
      </c>
      <c r="D2205" s="46" t="s">
        <v>32</v>
      </c>
      <c r="E2205" s="46" t="s">
        <v>32</v>
      </c>
      <c r="F2205" s="47">
        <f>[1]!BexGetData("DP_2","DL719O2RYNC0Y217V0FVT1R77","17","M","15015041M101","2067141011")</f>
        <v>3100903.35</v>
      </c>
      <c r="G2205" s="48">
        <f>[1]!BexGetData("DP_2","DL719O2RYNEBZX0HTMQQ0BY0J","17","M","15015041M101","2067141011")</f>
        <v>3100903.35</v>
      </c>
      <c r="H2205" s="48">
        <f>[1]!BexGetData("DP_2","DL719O2RYNGN1RZRS91K7M4TV","17","M","15015041M101","2067141011")</f>
        <v>3195903.35</v>
      </c>
      <c r="I2205" s="48">
        <f>[1]!BexGetData("DP_2","DL719O2RYNIY3MZ1QVCEEWBN7","17","M","15015041M101","2067141011")</f>
        <v>0</v>
      </c>
    </row>
    <row r="2206" spans="1:9" x14ac:dyDescent="0.2">
      <c r="A2206" s="46" t="s">
        <v>32</v>
      </c>
      <c r="B2206" s="46" t="s">
        <v>32</v>
      </c>
      <c r="C2206" s="46" t="s">
        <v>32</v>
      </c>
      <c r="D2206" s="46" t="s">
        <v>32</v>
      </c>
      <c r="E2206" s="46" t="s">
        <v>32</v>
      </c>
      <c r="F2206" s="47">
        <f>[1]!BexGetData("DP_2","DL719O2RYNC0Y217V0FVT1R77","17","M","15015041M101","2067141021")</f>
        <v>639394.55000000005</v>
      </c>
      <c r="G2206" s="48">
        <f>[1]!BexGetData("DP_2","DL719O2RYNEBZX0HTMQQ0BY0J","17","M","15015041M101","2067141021")</f>
        <v>639394.55000000005</v>
      </c>
      <c r="H2206" s="48">
        <f>[1]!BexGetData("DP_2","DL719O2RYNGN1RZRS91K7M4TV","17","M","15015041M101","2067141021")</f>
        <v>639394.55000000005</v>
      </c>
      <c r="I2206" s="48">
        <f>[1]!BexGetData("DP_2","DL719O2RYNIY3MZ1QVCEEWBN7","17","M","15015041M101","2067141021")</f>
        <v>0</v>
      </c>
    </row>
    <row r="2207" spans="1:9" x14ac:dyDescent="0.2">
      <c r="A2207" s="46" t="s">
        <v>32</v>
      </c>
      <c r="B2207" s="46" t="s">
        <v>32</v>
      </c>
      <c r="C2207" s="46" t="s">
        <v>32</v>
      </c>
      <c r="D2207" s="46" t="s">
        <v>32</v>
      </c>
      <c r="E2207" s="46" t="s">
        <v>32</v>
      </c>
      <c r="F2207" s="47">
        <f>[1]!BexGetData("DP_2","DL719O2RYNC0Y217V0FVT1R77","17","M","15015041M101","2067143011")</f>
        <v>300361.89</v>
      </c>
      <c r="G2207" s="48">
        <f>[1]!BexGetData("DP_2","DL719O2RYNEBZX0HTMQQ0BY0J","17","M","15015041M101","2067143011")</f>
        <v>300361.89</v>
      </c>
      <c r="H2207" s="48">
        <f>[1]!BexGetData("DP_2","DL719O2RYNGN1RZRS91K7M4TV","17","M","15015041M101","2067143011")</f>
        <v>300361.89</v>
      </c>
      <c r="I2207" s="48">
        <f>[1]!BexGetData("DP_2","DL719O2RYNIY3MZ1QVCEEWBN7","17","M","15015041M101","2067143011")</f>
        <v>0</v>
      </c>
    </row>
    <row r="2208" spans="1:9" x14ac:dyDescent="0.2">
      <c r="A2208" s="46" t="s">
        <v>32</v>
      </c>
      <c r="B2208" s="46" t="s">
        <v>32</v>
      </c>
      <c r="C2208" s="46" t="s">
        <v>32</v>
      </c>
      <c r="D2208" s="46" t="s">
        <v>32</v>
      </c>
      <c r="E2208" s="46" t="s">
        <v>32</v>
      </c>
      <c r="F2208" s="47">
        <f>[1]!BexGetData("DP_2","DL719O2RYNC0Y217V0FVT1R77","17","M","15015041M101","2067151011")</f>
        <v>733954.08</v>
      </c>
      <c r="G2208" s="48">
        <f>[1]!BexGetData("DP_2","DL719O2RYNEBZX0HTMQQ0BY0J","17","M","15015041M101","2067151011")</f>
        <v>733954.08</v>
      </c>
      <c r="H2208" s="48">
        <f>[1]!BexGetData("DP_2","DL719O2RYNGN1RZRS91K7M4TV","17","M","15015041M101","2067151011")</f>
        <v>733954.08</v>
      </c>
      <c r="I2208" s="48">
        <f>[1]!BexGetData("DP_2","DL719O2RYNIY3MZ1QVCEEWBN7","17","M","15015041M101","2067151011")</f>
        <v>0</v>
      </c>
    </row>
    <row r="2209" spans="1:9" x14ac:dyDescent="0.2">
      <c r="A2209" s="46" t="s">
        <v>32</v>
      </c>
      <c r="B2209" s="46" t="s">
        <v>32</v>
      </c>
      <c r="C2209" s="46" t="s">
        <v>32</v>
      </c>
      <c r="D2209" s="46" t="s">
        <v>32</v>
      </c>
      <c r="E2209" s="46" t="s">
        <v>32</v>
      </c>
      <c r="F2209" s="47">
        <f>[1]!BexGetData("DP_2","DL719O2RYNC0Y217V0FVT1R77","17","M","15015041M101","2067154011")</f>
        <v>2966826.62</v>
      </c>
      <c r="G2209" s="48">
        <f>[1]!BexGetData("DP_2","DL719O2RYNEBZX0HTMQQ0BY0J","17","M","15015041M101","2067154011")</f>
        <v>2966826.62</v>
      </c>
      <c r="H2209" s="48">
        <f>[1]!BexGetData("DP_2","DL719O2RYNGN1RZRS91K7M4TV","17","M","15015041M101","2067154011")</f>
        <v>2966826.62</v>
      </c>
      <c r="I2209" s="48">
        <f>[1]!BexGetData("DP_2","DL719O2RYNIY3MZ1QVCEEWBN7","17","M","15015041M101","2067154011")</f>
        <v>0</v>
      </c>
    </row>
    <row r="2210" spans="1:9" x14ac:dyDescent="0.2">
      <c r="A2210" s="46" t="s">
        <v>32</v>
      </c>
      <c r="B2210" s="46" t="s">
        <v>32</v>
      </c>
      <c r="C2210" s="46" t="s">
        <v>32</v>
      </c>
      <c r="D2210" s="46" t="s">
        <v>32</v>
      </c>
      <c r="E2210" s="46" t="s">
        <v>32</v>
      </c>
      <c r="F2210" s="47">
        <f>[1]!BexGetData("DP_2","DL719O2RYNC0Y217V0FVT1R77","17","M","15015041M101","2067159011")</f>
        <v>745833.28</v>
      </c>
      <c r="G2210" s="48">
        <f>[1]!BexGetData("DP_2","DL719O2RYNEBZX0HTMQQ0BY0J","17","M","15015041M101","2067159011")</f>
        <v>745833.28</v>
      </c>
      <c r="H2210" s="48">
        <f>[1]!BexGetData("DP_2","DL719O2RYNGN1RZRS91K7M4TV","17","M","15015041M101","2067159011")</f>
        <v>745833.28</v>
      </c>
      <c r="I2210" s="48">
        <f>[1]!BexGetData("DP_2","DL719O2RYNIY3MZ1QVCEEWBN7","17","M","15015041M101","2067159011")</f>
        <v>0</v>
      </c>
    </row>
    <row r="2211" spans="1:9" x14ac:dyDescent="0.2">
      <c r="A2211" s="46" t="s">
        <v>32</v>
      </c>
      <c r="B2211" s="46" t="s">
        <v>32</v>
      </c>
      <c r="C2211" s="46" t="s">
        <v>32</v>
      </c>
      <c r="D2211" s="46" t="s">
        <v>32</v>
      </c>
      <c r="E2211" s="46" t="s">
        <v>32</v>
      </c>
      <c r="F2211" s="47">
        <f>[1]!BexGetData("DP_2","DL719O2RYNC0Y217V0FVT1R77","17","M","15015041M101","2067211011")</f>
        <v>550099.67000000004</v>
      </c>
      <c r="G2211" s="48">
        <f>[1]!BexGetData("DP_2","DL719O2RYNEBZX0HTMQQ0BY0J","17","M","15015041M101","2067211011")</f>
        <v>550099.67000000004</v>
      </c>
      <c r="H2211" s="48">
        <f>[1]!BexGetData("DP_2","DL719O2RYNGN1RZRS91K7M4TV","17","M","15015041M101","2067211011")</f>
        <v>519297.49</v>
      </c>
      <c r="I2211" s="48">
        <f>[1]!BexGetData("DP_2","DL719O2RYNIY3MZ1QVCEEWBN7","17","M","15015041M101","2067211011")</f>
        <v>0</v>
      </c>
    </row>
    <row r="2212" spans="1:9" x14ac:dyDescent="0.2">
      <c r="A2212" s="46" t="s">
        <v>32</v>
      </c>
      <c r="B2212" s="46" t="s">
        <v>32</v>
      </c>
      <c r="C2212" s="46" t="s">
        <v>32</v>
      </c>
      <c r="D2212" s="46" t="s">
        <v>32</v>
      </c>
      <c r="E2212" s="46" t="s">
        <v>32</v>
      </c>
      <c r="F2212" s="47">
        <f>[1]!BexGetData("DP_2","DL719O2RYNC0Y217V0FVT1R77","17","M","15015041M101","2067211021")</f>
        <v>111750.61</v>
      </c>
      <c r="G2212" s="48">
        <f>[1]!BexGetData("DP_2","DL719O2RYNEBZX0HTMQQ0BY0J","17","M","15015041M101","2067211021")</f>
        <v>111750.61</v>
      </c>
      <c r="H2212" s="48">
        <f>[1]!BexGetData("DP_2","DL719O2RYNGN1RZRS91K7M4TV","17","M","15015041M101","2067211021")</f>
        <v>92576.61</v>
      </c>
      <c r="I2212" s="48">
        <f>[1]!BexGetData("DP_2","DL719O2RYNIY3MZ1QVCEEWBN7","17","M","15015041M101","2067211021")</f>
        <v>0</v>
      </c>
    </row>
    <row r="2213" spans="1:9" x14ac:dyDescent="0.2">
      <c r="A2213" s="46" t="s">
        <v>32</v>
      </c>
      <c r="B2213" s="46" t="s">
        <v>32</v>
      </c>
      <c r="C2213" s="46" t="s">
        <v>32</v>
      </c>
      <c r="D2213" s="46" t="s">
        <v>32</v>
      </c>
      <c r="E2213" s="46" t="s">
        <v>32</v>
      </c>
      <c r="F2213" s="47">
        <f>[1]!BexGetData("DP_2","DL719O2RYNC0Y217V0FVT1R77","17","M","15015041M101","2067211031")</f>
        <v>2945.27</v>
      </c>
      <c r="G2213" s="48">
        <f>[1]!BexGetData("DP_2","DL719O2RYNEBZX0HTMQQ0BY0J","17","M","15015041M101","2067211031")</f>
        <v>2945.27</v>
      </c>
      <c r="H2213" s="48">
        <f>[1]!BexGetData("DP_2","DL719O2RYNGN1RZRS91K7M4TV","17","M","15015041M101","2067211031")</f>
        <v>2945.27</v>
      </c>
      <c r="I2213" s="48">
        <f>[1]!BexGetData("DP_2","DL719O2RYNIY3MZ1QVCEEWBN7","17","M","15015041M101","2067211031")</f>
        <v>0</v>
      </c>
    </row>
    <row r="2214" spans="1:9" x14ac:dyDescent="0.2">
      <c r="A2214" s="46" t="s">
        <v>32</v>
      </c>
      <c r="B2214" s="46" t="s">
        <v>32</v>
      </c>
      <c r="C2214" s="46" t="s">
        <v>32</v>
      </c>
      <c r="D2214" s="46" t="s">
        <v>32</v>
      </c>
      <c r="E2214" s="46" t="s">
        <v>32</v>
      </c>
      <c r="F2214" s="47">
        <f>[1]!BexGetData("DP_2","DL719O2RYNC0Y217V0FVT1R77","17","M","15015041M101","2067212011")</f>
        <v>0</v>
      </c>
      <c r="G2214" s="48">
        <f>[1]!BexGetData("DP_2","DL719O2RYNEBZX0HTMQQ0BY0J","17","M","15015041M101","2067212011")</f>
        <v>0</v>
      </c>
      <c r="H2214" s="48">
        <f>[1]!BexGetData("DP_2","DL719O2RYNGN1RZRS91K7M4TV","17","M","15015041M101","2067212011")</f>
        <v>0</v>
      </c>
      <c r="I2214" s="48">
        <f>[1]!BexGetData("DP_2","DL719O2RYNIY3MZ1QVCEEWBN7","17","M","15015041M101","2067212011")</f>
        <v>0</v>
      </c>
    </row>
    <row r="2215" spans="1:9" x14ac:dyDescent="0.2">
      <c r="A2215" s="46" t="s">
        <v>32</v>
      </c>
      <c r="B2215" s="46" t="s">
        <v>32</v>
      </c>
      <c r="C2215" s="46" t="s">
        <v>32</v>
      </c>
      <c r="D2215" s="46" t="s">
        <v>32</v>
      </c>
      <c r="E2215" s="46" t="s">
        <v>32</v>
      </c>
      <c r="F2215" s="47">
        <f>[1]!BexGetData("DP_2","DL719O2RYNC0Y217V0FVT1R77","17","M","15015041M101","2067212021")</f>
        <v>252664.52</v>
      </c>
      <c r="G2215" s="48">
        <f>[1]!BexGetData("DP_2","DL719O2RYNEBZX0HTMQQ0BY0J","17","M","15015041M101","2067212021")</f>
        <v>252664.52</v>
      </c>
      <c r="H2215" s="48">
        <f>[1]!BexGetData("DP_2","DL719O2RYNGN1RZRS91K7M4TV","17","M","15015041M101","2067212021")</f>
        <v>202088.52</v>
      </c>
      <c r="I2215" s="48">
        <f>[1]!BexGetData("DP_2","DL719O2RYNIY3MZ1QVCEEWBN7","17","M","15015041M101","2067212021")</f>
        <v>0</v>
      </c>
    </row>
    <row r="2216" spans="1:9" x14ac:dyDescent="0.2">
      <c r="A2216" s="46" t="s">
        <v>32</v>
      </c>
      <c r="B2216" s="46" t="s">
        <v>32</v>
      </c>
      <c r="C2216" s="46" t="s">
        <v>32</v>
      </c>
      <c r="D2216" s="46" t="s">
        <v>32</v>
      </c>
      <c r="E2216" s="46" t="s">
        <v>32</v>
      </c>
      <c r="F2216" s="47">
        <f>[1]!BexGetData("DP_2","DL719O2RYNC0Y217V0FVT1R77","17","M","15015041M101","2067213011")</f>
        <v>0</v>
      </c>
      <c r="G2216" s="48">
        <f>[1]!BexGetData("DP_2","DL719O2RYNEBZX0HTMQQ0BY0J","17","M","15015041M101","2067213011")</f>
        <v>0</v>
      </c>
      <c r="H2216" s="48">
        <f>[1]!BexGetData("DP_2","DL719O2RYNGN1RZRS91K7M4TV","17","M","15015041M101","2067213011")</f>
        <v>0</v>
      </c>
      <c r="I2216" s="48">
        <f>[1]!BexGetData("DP_2","DL719O2RYNIY3MZ1QVCEEWBN7","17","M","15015041M101","2067213011")</f>
        <v>0</v>
      </c>
    </row>
    <row r="2217" spans="1:9" x14ac:dyDescent="0.2">
      <c r="A2217" s="46" t="s">
        <v>32</v>
      </c>
      <c r="B2217" s="46" t="s">
        <v>32</v>
      </c>
      <c r="C2217" s="46" t="s">
        <v>32</v>
      </c>
      <c r="D2217" s="46" t="s">
        <v>32</v>
      </c>
      <c r="E2217" s="46" t="s">
        <v>32</v>
      </c>
      <c r="F2217" s="47">
        <f>[1]!BexGetData("DP_2","DL719O2RYNC0Y217V0FVT1R77","17","M","15015041M101","2067214011")</f>
        <v>242837.26</v>
      </c>
      <c r="G2217" s="48">
        <f>[1]!BexGetData("DP_2","DL719O2RYNEBZX0HTMQQ0BY0J","17","M","15015041M101","2067214011")</f>
        <v>242837.26</v>
      </c>
      <c r="H2217" s="48">
        <f>[1]!BexGetData("DP_2","DL719O2RYNGN1RZRS91K7M4TV","17","M","15015041M101","2067214011")</f>
        <v>171839.46</v>
      </c>
      <c r="I2217" s="48">
        <f>[1]!BexGetData("DP_2","DL719O2RYNIY3MZ1QVCEEWBN7","17","M","15015041M101","2067214011")</f>
        <v>0</v>
      </c>
    </row>
    <row r="2218" spans="1:9" x14ac:dyDescent="0.2">
      <c r="A2218" s="46" t="s">
        <v>32</v>
      </c>
      <c r="B2218" s="46" t="s">
        <v>32</v>
      </c>
      <c r="C2218" s="46" t="s">
        <v>32</v>
      </c>
      <c r="D2218" s="46" t="s">
        <v>32</v>
      </c>
      <c r="E2218" s="46" t="s">
        <v>32</v>
      </c>
      <c r="F2218" s="47">
        <f>[1]!BexGetData("DP_2","DL719O2RYNC0Y217V0FVT1R77","17","M","15015041M101","2067214021")</f>
        <v>591.6</v>
      </c>
      <c r="G2218" s="48">
        <f>[1]!BexGetData("DP_2","DL719O2RYNEBZX0HTMQQ0BY0J","17","M","15015041M101","2067214021")</f>
        <v>591.6</v>
      </c>
      <c r="H2218" s="48">
        <f>[1]!BexGetData("DP_2","DL719O2RYNGN1RZRS91K7M4TV","17","M","15015041M101","2067214021")</f>
        <v>591.6</v>
      </c>
      <c r="I2218" s="48">
        <f>[1]!BexGetData("DP_2","DL719O2RYNIY3MZ1QVCEEWBN7","17","M","15015041M101","2067214021")</f>
        <v>0</v>
      </c>
    </row>
    <row r="2219" spans="1:9" x14ac:dyDescent="0.2">
      <c r="A2219" s="46" t="s">
        <v>32</v>
      </c>
      <c r="B2219" s="46" t="s">
        <v>32</v>
      </c>
      <c r="C2219" s="46" t="s">
        <v>32</v>
      </c>
      <c r="D2219" s="46" t="s">
        <v>32</v>
      </c>
      <c r="E2219" s="46" t="s">
        <v>32</v>
      </c>
      <c r="F2219" s="47">
        <f>[1]!BexGetData("DP_2","DL719O2RYNC0Y217V0FVT1R77","17","M","15015041M101","2067214031")</f>
        <v>5451.88</v>
      </c>
      <c r="G2219" s="48">
        <f>[1]!BexGetData("DP_2","DL719O2RYNEBZX0HTMQQ0BY0J","17","M","15015041M101","2067214031")</f>
        <v>5451.88</v>
      </c>
      <c r="H2219" s="48">
        <f>[1]!BexGetData("DP_2","DL719O2RYNGN1RZRS91K7M4TV","17","M","15015041M101","2067214031")</f>
        <v>5451.88</v>
      </c>
      <c r="I2219" s="48">
        <f>[1]!BexGetData("DP_2","DL719O2RYNIY3MZ1QVCEEWBN7","17","M","15015041M101","2067214031")</f>
        <v>0</v>
      </c>
    </row>
    <row r="2220" spans="1:9" x14ac:dyDescent="0.2">
      <c r="A2220" s="46" t="s">
        <v>32</v>
      </c>
      <c r="B2220" s="46" t="s">
        <v>32</v>
      </c>
      <c r="C2220" s="46" t="s">
        <v>32</v>
      </c>
      <c r="D2220" s="46" t="s">
        <v>32</v>
      </c>
      <c r="E2220" s="46" t="s">
        <v>32</v>
      </c>
      <c r="F2220" s="47">
        <f>[1]!BexGetData("DP_2","DL719O2RYNC0Y217V0FVT1R77","17","M","15015041M101","2067215011")</f>
        <v>2190</v>
      </c>
      <c r="G2220" s="48">
        <f>[1]!BexGetData("DP_2","DL719O2RYNEBZX0HTMQQ0BY0J","17","M","15015041M101","2067215011")</f>
        <v>2190</v>
      </c>
      <c r="H2220" s="48">
        <f>[1]!BexGetData("DP_2","DL719O2RYNGN1RZRS91K7M4TV","17","M","15015041M101","2067215011")</f>
        <v>2190</v>
      </c>
      <c r="I2220" s="48">
        <f>[1]!BexGetData("DP_2","DL719O2RYNIY3MZ1QVCEEWBN7","17","M","15015041M101","2067215011")</f>
        <v>0</v>
      </c>
    </row>
    <row r="2221" spans="1:9" x14ac:dyDescent="0.2">
      <c r="A2221" s="46" t="s">
        <v>32</v>
      </c>
      <c r="B2221" s="46" t="s">
        <v>32</v>
      </c>
      <c r="C2221" s="46" t="s">
        <v>32</v>
      </c>
      <c r="D2221" s="46" t="s">
        <v>32</v>
      </c>
      <c r="E2221" s="46" t="s">
        <v>32</v>
      </c>
      <c r="F2221" s="47">
        <f>[1]!BexGetData("DP_2","DL719O2RYNC0Y217V0FVT1R77","17","M","15015041M101","2067215021")</f>
        <v>0</v>
      </c>
      <c r="G2221" s="48">
        <f>[1]!BexGetData("DP_2","DL719O2RYNEBZX0HTMQQ0BY0J","17","M","15015041M101","2067215021")</f>
        <v>0</v>
      </c>
      <c r="H2221" s="48">
        <f>[1]!BexGetData("DP_2","DL719O2RYNGN1RZRS91K7M4TV","17","M","15015041M101","2067215021")</f>
        <v>0</v>
      </c>
      <c r="I2221" s="48">
        <f>[1]!BexGetData("DP_2","DL719O2RYNIY3MZ1QVCEEWBN7","17","M","15015041M101","2067215021")</f>
        <v>0</v>
      </c>
    </row>
    <row r="2222" spans="1:9" x14ac:dyDescent="0.2">
      <c r="A2222" s="46" t="s">
        <v>32</v>
      </c>
      <c r="B2222" s="46" t="s">
        <v>32</v>
      </c>
      <c r="C2222" s="46" t="s">
        <v>32</v>
      </c>
      <c r="D2222" s="46" t="s">
        <v>32</v>
      </c>
      <c r="E2222" s="46" t="s">
        <v>32</v>
      </c>
      <c r="F2222" s="47">
        <f>[1]!BexGetData("DP_2","DL719O2RYNC0Y217V0FVT1R77","17","M","15015041M101","2067216011")</f>
        <v>213168.56</v>
      </c>
      <c r="G2222" s="48">
        <f>[1]!BexGetData("DP_2","DL719O2RYNEBZX0HTMQQ0BY0J","17","M","15015041M101","2067216011")</f>
        <v>213168.56</v>
      </c>
      <c r="H2222" s="48">
        <f>[1]!BexGetData("DP_2","DL719O2RYNGN1RZRS91K7M4TV","17","M","15015041M101","2067216011")</f>
        <v>165934.88</v>
      </c>
      <c r="I2222" s="48">
        <f>[1]!BexGetData("DP_2","DL719O2RYNIY3MZ1QVCEEWBN7","17","M","15015041M101","2067216011")</f>
        <v>0</v>
      </c>
    </row>
    <row r="2223" spans="1:9" x14ac:dyDescent="0.2">
      <c r="A2223" s="46" t="s">
        <v>32</v>
      </c>
      <c r="B2223" s="46" t="s">
        <v>32</v>
      </c>
      <c r="C2223" s="46" t="s">
        <v>32</v>
      </c>
      <c r="D2223" s="46" t="s">
        <v>32</v>
      </c>
      <c r="E2223" s="46" t="s">
        <v>32</v>
      </c>
      <c r="F2223" s="47">
        <f>[1]!BexGetData("DP_2","DL719O2RYNC0Y217V0FVT1R77","17","M","15015041M101","2067217011")</f>
        <v>3181.51</v>
      </c>
      <c r="G2223" s="48">
        <f>[1]!BexGetData("DP_2","DL719O2RYNEBZX0HTMQQ0BY0J","17","M","15015041M101","2067217011")</f>
        <v>3181.51</v>
      </c>
      <c r="H2223" s="48">
        <f>[1]!BexGetData("DP_2","DL719O2RYNGN1RZRS91K7M4TV","17","M","15015041M101","2067217011")</f>
        <v>3181.51</v>
      </c>
      <c r="I2223" s="48">
        <f>[1]!BexGetData("DP_2","DL719O2RYNIY3MZ1QVCEEWBN7","17","M","15015041M101","2067217011")</f>
        <v>0</v>
      </c>
    </row>
    <row r="2224" spans="1:9" x14ac:dyDescent="0.2">
      <c r="A2224" s="46" t="s">
        <v>32</v>
      </c>
      <c r="B2224" s="46" t="s">
        <v>32</v>
      </c>
      <c r="C2224" s="46" t="s">
        <v>32</v>
      </c>
      <c r="D2224" s="46" t="s">
        <v>32</v>
      </c>
      <c r="E2224" s="46" t="s">
        <v>32</v>
      </c>
      <c r="F2224" s="47">
        <f>[1]!BexGetData("DP_2","DL719O2RYNC0Y217V0FVT1R77","17","M","15015041M101","2067221011")</f>
        <v>48207.48</v>
      </c>
      <c r="G2224" s="48">
        <f>[1]!BexGetData("DP_2","DL719O2RYNEBZX0HTMQQ0BY0J","17","M","15015041M101","2067221011")</f>
        <v>48207.48</v>
      </c>
      <c r="H2224" s="48">
        <f>[1]!BexGetData("DP_2","DL719O2RYNGN1RZRS91K7M4TV","17","M","15015041M101","2067221011")</f>
        <v>48207.48</v>
      </c>
      <c r="I2224" s="48">
        <f>[1]!BexGetData("DP_2","DL719O2RYNIY3MZ1QVCEEWBN7","17","M","15015041M101","2067221011")</f>
        <v>0</v>
      </c>
    </row>
    <row r="2225" spans="1:9" x14ac:dyDescent="0.2">
      <c r="A2225" s="46" t="s">
        <v>32</v>
      </c>
      <c r="B2225" s="46" t="s">
        <v>32</v>
      </c>
      <c r="C2225" s="46" t="s">
        <v>32</v>
      </c>
      <c r="D2225" s="46" t="s">
        <v>32</v>
      </c>
      <c r="E2225" s="46" t="s">
        <v>32</v>
      </c>
      <c r="F2225" s="47">
        <f>[1]!BexGetData("DP_2","DL719O2RYNC0Y217V0FVT1R77","17","M","15015041M101","2067221021")</f>
        <v>298479.40000000002</v>
      </c>
      <c r="G2225" s="48">
        <f>[1]!BexGetData("DP_2","DL719O2RYNEBZX0HTMQQ0BY0J","17","M","15015041M101","2067221021")</f>
        <v>298479.40000000002</v>
      </c>
      <c r="H2225" s="48">
        <f>[1]!BexGetData("DP_2","DL719O2RYNGN1RZRS91K7M4TV","17","M","15015041M101","2067221021")</f>
        <v>298479.40000000002</v>
      </c>
      <c r="I2225" s="48">
        <f>[1]!BexGetData("DP_2","DL719O2RYNIY3MZ1QVCEEWBN7","17","M","15015041M101","2067221021")</f>
        <v>0</v>
      </c>
    </row>
    <row r="2226" spans="1:9" x14ac:dyDescent="0.2">
      <c r="A2226" s="46" t="s">
        <v>32</v>
      </c>
      <c r="B2226" s="46" t="s">
        <v>32</v>
      </c>
      <c r="C2226" s="46" t="s">
        <v>32</v>
      </c>
      <c r="D2226" s="46" t="s">
        <v>32</v>
      </c>
      <c r="E2226" s="46" t="s">
        <v>32</v>
      </c>
      <c r="F2226" s="47">
        <f>[1]!BexGetData("DP_2","DL719O2RYNC0Y217V0FVT1R77","17","M","15015041M101","2067221031")</f>
        <v>70870.2</v>
      </c>
      <c r="G2226" s="48">
        <f>[1]!BexGetData("DP_2","DL719O2RYNEBZX0HTMQQ0BY0J","17","M","15015041M101","2067221031")</f>
        <v>70870.2</v>
      </c>
      <c r="H2226" s="48">
        <f>[1]!BexGetData("DP_2","DL719O2RYNGN1RZRS91K7M4TV","17","M","15015041M101","2067221031")</f>
        <v>70870.2</v>
      </c>
      <c r="I2226" s="48">
        <f>[1]!BexGetData("DP_2","DL719O2RYNIY3MZ1QVCEEWBN7","17","M","15015041M101","2067221031")</f>
        <v>0</v>
      </c>
    </row>
    <row r="2227" spans="1:9" x14ac:dyDescent="0.2">
      <c r="A2227" s="46" t="s">
        <v>32</v>
      </c>
      <c r="B2227" s="46" t="s">
        <v>32</v>
      </c>
      <c r="C2227" s="46" t="s">
        <v>32</v>
      </c>
      <c r="D2227" s="46" t="s">
        <v>32</v>
      </c>
      <c r="E2227" s="46" t="s">
        <v>32</v>
      </c>
      <c r="F2227" s="47">
        <f>[1]!BexGetData("DP_2","DL719O2RYNC0Y217V0FVT1R77","17","M","15015041M101","2067223011")</f>
        <v>1399.71</v>
      </c>
      <c r="G2227" s="48">
        <f>[1]!BexGetData("DP_2","DL719O2RYNEBZX0HTMQQ0BY0J","17","M","15015041M101","2067223011")</f>
        <v>1399.71</v>
      </c>
      <c r="H2227" s="48">
        <f>[1]!BexGetData("DP_2","DL719O2RYNGN1RZRS91K7M4TV","17","M","15015041M101","2067223011")</f>
        <v>1399.71</v>
      </c>
      <c r="I2227" s="48">
        <f>[1]!BexGetData("DP_2","DL719O2RYNIY3MZ1QVCEEWBN7","17","M","15015041M101","2067223011")</f>
        <v>0</v>
      </c>
    </row>
    <row r="2228" spans="1:9" x14ac:dyDescent="0.2">
      <c r="A2228" s="46" t="s">
        <v>32</v>
      </c>
      <c r="B2228" s="46" t="s">
        <v>32</v>
      </c>
      <c r="C2228" s="46" t="s">
        <v>32</v>
      </c>
      <c r="D2228" s="46" t="s">
        <v>32</v>
      </c>
      <c r="E2228" s="46" t="s">
        <v>32</v>
      </c>
      <c r="F2228" s="47">
        <f>[1]!BexGetData("DP_2","DL719O2RYNC0Y217V0FVT1R77","17","M","15015041M101","2067241011")</f>
        <v>399.01</v>
      </c>
      <c r="G2228" s="48">
        <f>[1]!BexGetData("DP_2","DL719O2RYNEBZX0HTMQQ0BY0J","17","M","15015041M101","2067241011")</f>
        <v>399.01</v>
      </c>
      <c r="H2228" s="48">
        <f>[1]!BexGetData("DP_2","DL719O2RYNGN1RZRS91K7M4TV","17","M","15015041M101","2067241011")</f>
        <v>399.01</v>
      </c>
      <c r="I2228" s="48">
        <f>[1]!BexGetData("DP_2","DL719O2RYNIY3MZ1QVCEEWBN7","17","M","15015041M101","2067241011")</f>
        <v>0</v>
      </c>
    </row>
    <row r="2229" spans="1:9" x14ac:dyDescent="0.2">
      <c r="A2229" s="46" t="s">
        <v>32</v>
      </c>
      <c r="B2229" s="46" t="s">
        <v>32</v>
      </c>
      <c r="C2229" s="46" t="s">
        <v>32</v>
      </c>
      <c r="D2229" s="46" t="s">
        <v>32</v>
      </c>
      <c r="E2229" s="46" t="s">
        <v>32</v>
      </c>
      <c r="F2229" s="47">
        <f>[1]!BexGetData("DP_2","DL719O2RYNC0Y217V0FVT1R77","17","M","15015041M101","2067242011")</f>
        <v>16.010000000000002</v>
      </c>
      <c r="G2229" s="48">
        <f>[1]!BexGetData("DP_2","DL719O2RYNEBZX0HTMQQ0BY0J","17","M","15015041M101","2067242011")</f>
        <v>16.010000000000002</v>
      </c>
      <c r="H2229" s="48">
        <f>[1]!BexGetData("DP_2","DL719O2RYNGN1RZRS91K7M4TV","17","M","15015041M101","2067242011")</f>
        <v>16.010000000000002</v>
      </c>
      <c r="I2229" s="48">
        <f>[1]!BexGetData("DP_2","DL719O2RYNIY3MZ1QVCEEWBN7","17","M","15015041M101","2067242011")</f>
        <v>0</v>
      </c>
    </row>
    <row r="2230" spans="1:9" x14ac:dyDescent="0.2">
      <c r="A2230" s="46" t="s">
        <v>32</v>
      </c>
      <c r="B2230" s="46" t="s">
        <v>32</v>
      </c>
      <c r="C2230" s="46" t="s">
        <v>32</v>
      </c>
      <c r="D2230" s="46" t="s">
        <v>32</v>
      </c>
      <c r="E2230" s="46" t="s">
        <v>32</v>
      </c>
      <c r="F2230" s="47">
        <f>[1]!BexGetData("DP_2","DL719O2RYNC0Y217V0FVT1R77","17","M","15015041M101","2067244011")</f>
        <v>4408</v>
      </c>
      <c r="G2230" s="48">
        <f>[1]!BexGetData("DP_2","DL719O2RYNEBZX0HTMQQ0BY0J","17","M","15015041M101","2067244011")</f>
        <v>4408</v>
      </c>
      <c r="H2230" s="48">
        <f>[1]!BexGetData("DP_2","DL719O2RYNGN1RZRS91K7M4TV","17","M","15015041M101","2067244011")</f>
        <v>4408</v>
      </c>
      <c r="I2230" s="48">
        <f>[1]!BexGetData("DP_2","DL719O2RYNIY3MZ1QVCEEWBN7","17","M","15015041M101","2067244011")</f>
        <v>0</v>
      </c>
    </row>
    <row r="2231" spans="1:9" x14ac:dyDescent="0.2">
      <c r="A2231" s="46" t="s">
        <v>32</v>
      </c>
      <c r="B2231" s="46" t="s">
        <v>32</v>
      </c>
      <c r="C2231" s="46" t="s">
        <v>32</v>
      </c>
      <c r="D2231" s="46" t="s">
        <v>32</v>
      </c>
      <c r="E2231" s="46" t="s">
        <v>32</v>
      </c>
      <c r="F2231" s="47">
        <f>[1]!BexGetData("DP_2","DL719O2RYNC0Y217V0FVT1R77","17","M","15015041M101","2067246011")</f>
        <v>9133.65</v>
      </c>
      <c r="G2231" s="48">
        <f>[1]!BexGetData("DP_2","DL719O2RYNEBZX0HTMQQ0BY0J","17","M","15015041M101","2067246011")</f>
        <v>9133.65</v>
      </c>
      <c r="H2231" s="48">
        <f>[1]!BexGetData("DP_2","DL719O2RYNGN1RZRS91K7M4TV","17","M","15015041M101","2067246011")</f>
        <v>9133.65</v>
      </c>
      <c r="I2231" s="48">
        <f>[1]!BexGetData("DP_2","DL719O2RYNIY3MZ1QVCEEWBN7","17","M","15015041M101","2067246011")</f>
        <v>0</v>
      </c>
    </row>
    <row r="2232" spans="1:9" x14ac:dyDescent="0.2">
      <c r="A2232" s="46" t="s">
        <v>32</v>
      </c>
      <c r="B2232" s="46" t="s">
        <v>32</v>
      </c>
      <c r="C2232" s="46" t="s">
        <v>32</v>
      </c>
      <c r="D2232" s="46" t="s">
        <v>32</v>
      </c>
      <c r="E2232" s="46" t="s">
        <v>32</v>
      </c>
      <c r="F2232" s="47">
        <f>[1]!BexGetData("DP_2","DL719O2RYNC0Y217V0FVT1R77","17","M","15015041M101","2067247011")</f>
        <v>905.04</v>
      </c>
      <c r="G2232" s="48">
        <f>[1]!BexGetData("DP_2","DL719O2RYNEBZX0HTMQQ0BY0J","17","M","15015041M101","2067247011")</f>
        <v>905.04</v>
      </c>
      <c r="H2232" s="48">
        <f>[1]!BexGetData("DP_2","DL719O2RYNGN1RZRS91K7M4TV","17","M","15015041M101","2067247011")</f>
        <v>905.04</v>
      </c>
      <c r="I2232" s="48">
        <f>[1]!BexGetData("DP_2","DL719O2RYNIY3MZ1QVCEEWBN7","17","M","15015041M101","2067247011")</f>
        <v>0</v>
      </c>
    </row>
    <row r="2233" spans="1:9" x14ac:dyDescent="0.2">
      <c r="A2233" s="46" t="s">
        <v>32</v>
      </c>
      <c r="B2233" s="46" t="s">
        <v>32</v>
      </c>
      <c r="C2233" s="46" t="s">
        <v>32</v>
      </c>
      <c r="D2233" s="46" t="s">
        <v>32</v>
      </c>
      <c r="E2233" s="46" t="s">
        <v>32</v>
      </c>
      <c r="F2233" s="47">
        <f>[1]!BexGetData("DP_2","DL719O2RYNC0Y217V0FVT1R77","17","M","15015041M101","2067248011")</f>
        <v>0</v>
      </c>
      <c r="G2233" s="48">
        <f>[1]!BexGetData("DP_2","DL719O2RYNEBZX0HTMQQ0BY0J","17","M","15015041M101","2067248011")</f>
        <v>0</v>
      </c>
      <c r="H2233" s="48">
        <f>[1]!BexGetData("DP_2","DL719O2RYNGN1RZRS91K7M4TV","17","M","15015041M101","2067248011")</f>
        <v>0</v>
      </c>
      <c r="I2233" s="48">
        <f>[1]!BexGetData("DP_2","DL719O2RYNIY3MZ1QVCEEWBN7","17","M","15015041M101","2067248011")</f>
        <v>0</v>
      </c>
    </row>
    <row r="2234" spans="1:9" x14ac:dyDescent="0.2">
      <c r="A2234" s="46" t="s">
        <v>32</v>
      </c>
      <c r="B2234" s="46" t="s">
        <v>32</v>
      </c>
      <c r="C2234" s="46" t="s">
        <v>32</v>
      </c>
      <c r="D2234" s="46" t="s">
        <v>32</v>
      </c>
      <c r="E2234" s="46" t="s">
        <v>32</v>
      </c>
      <c r="F2234" s="47">
        <f>[1]!BexGetData("DP_2","DL719O2RYNC0Y217V0FVT1R77","17","M","15015041M101","2067249011")</f>
        <v>63567.27</v>
      </c>
      <c r="G2234" s="48">
        <f>[1]!BexGetData("DP_2","DL719O2RYNEBZX0HTMQQ0BY0J","17","M","15015041M101","2067249011")</f>
        <v>63567.27</v>
      </c>
      <c r="H2234" s="48">
        <f>[1]!BexGetData("DP_2","DL719O2RYNGN1RZRS91K7M4TV","17","M","15015041M101","2067249011")</f>
        <v>35967.269999999997</v>
      </c>
      <c r="I2234" s="48">
        <f>[1]!BexGetData("DP_2","DL719O2RYNIY3MZ1QVCEEWBN7","17","M","15015041M101","2067249011")</f>
        <v>0</v>
      </c>
    </row>
    <row r="2235" spans="1:9" x14ac:dyDescent="0.2">
      <c r="A2235" s="46" t="s">
        <v>32</v>
      </c>
      <c r="B2235" s="46" t="s">
        <v>32</v>
      </c>
      <c r="C2235" s="46" t="s">
        <v>32</v>
      </c>
      <c r="D2235" s="46" t="s">
        <v>32</v>
      </c>
      <c r="E2235" s="46" t="s">
        <v>32</v>
      </c>
      <c r="F2235" s="47">
        <f>[1]!BexGetData("DP_2","DL719O2RYNC0Y217V0FVT1R77","17","M","15015041M101","2067253021")</f>
        <v>0</v>
      </c>
      <c r="G2235" s="48">
        <f>[1]!BexGetData("DP_2","DL719O2RYNEBZX0HTMQQ0BY0J","17","M","15015041M101","2067253021")</f>
        <v>0</v>
      </c>
      <c r="H2235" s="48">
        <f>[1]!BexGetData("DP_2","DL719O2RYNGN1RZRS91K7M4TV","17","M","15015041M101","2067253021")</f>
        <v>0</v>
      </c>
      <c r="I2235" s="48">
        <f>[1]!BexGetData("DP_2","DL719O2RYNIY3MZ1QVCEEWBN7","17","M","15015041M101","2067253021")</f>
        <v>0</v>
      </c>
    </row>
    <row r="2236" spans="1:9" x14ac:dyDescent="0.2">
      <c r="A2236" s="46" t="s">
        <v>32</v>
      </c>
      <c r="B2236" s="46" t="s">
        <v>32</v>
      </c>
      <c r="C2236" s="46" t="s">
        <v>32</v>
      </c>
      <c r="D2236" s="46" t="s">
        <v>32</v>
      </c>
      <c r="E2236" s="46" t="s">
        <v>32</v>
      </c>
      <c r="F2236" s="47">
        <f>[1]!BexGetData("DP_2","DL719O2RYNC0Y217V0FVT1R77","17","M","15015041M101","2067256011")</f>
        <v>1174.74</v>
      </c>
      <c r="G2236" s="48">
        <f>[1]!BexGetData("DP_2","DL719O2RYNEBZX0HTMQQ0BY0J","17","M","15015041M101","2067256011")</f>
        <v>1174.74</v>
      </c>
      <c r="H2236" s="48">
        <f>[1]!BexGetData("DP_2","DL719O2RYNGN1RZRS91K7M4TV","17","M","15015041M101","2067256011")</f>
        <v>1174.74</v>
      </c>
      <c r="I2236" s="48">
        <f>[1]!BexGetData("DP_2","DL719O2RYNIY3MZ1QVCEEWBN7","17","M","15015041M101","2067256011")</f>
        <v>0</v>
      </c>
    </row>
    <row r="2237" spans="1:9" x14ac:dyDescent="0.2">
      <c r="A2237" s="46" t="s">
        <v>32</v>
      </c>
      <c r="B2237" s="46" t="s">
        <v>32</v>
      </c>
      <c r="C2237" s="46" t="s">
        <v>32</v>
      </c>
      <c r="D2237" s="46" t="s">
        <v>32</v>
      </c>
      <c r="E2237" s="46" t="s">
        <v>32</v>
      </c>
      <c r="F2237" s="47">
        <f>[1]!BexGetData("DP_2","DL719O2RYNC0Y217V0FVT1R77","17","M","15015041M101","2067261011")</f>
        <v>3950.15</v>
      </c>
      <c r="G2237" s="48">
        <f>[1]!BexGetData("DP_2","DL719O2RYNEBZX0HTMQQ0BY0J","17","M","15015041M101","2067261011")</f>
        <v>3950.15</v>
      </c>
      <c r="H2237" s="48">
        <f>[1]!BexGetData("DP_2","DL719O2RYNGN1RZRS91K7M4TV","17","M","15015041M101","2067261011")</f>
        <v>3950.15</v>
      </c>
      <c r="I2237" s="48">
        <f>[1]!BexGetData("DP_2","DL719O2RYNIY3MZ1QVCEEWBN7","17","M","15015041M101","2067261011")</f>
        <v>0</v>
      </c>
    </row>
    <row r="2238" spans="1:9" x14ac:dyDescent="0.2">
      <c r="A2238" s="46" t="s">
        <v>32</v>
      </c>
      <c r="B2238" s="46" t="s">
        <v>32</v>
      </c>
      <c r="C2238" s="46" t="s">
        <v>32</v>
      </c>
      <c r="D2238" s="46" t="s">
        <v>32</v>
      </c>
      <c r="E2238" s="46" t="s">
        <v>32</v>
      </c>
      <c r="F2238" s="47">
        <f>[1]!BexGetData("DP_2","DL719O2RYNC0Y217V0FVT1R77","17","M","15015041M101","2067261021")</f>
        <v>0</v>
      </c>
      <c r="G2238" s="48">
        <f>[1]!BexGetData("DP_2","DL719O2RYNEBZX0HTMQQ0BY0J","17","M","15015041M101","2067261021")</f>
        <v>0</v>
      </c>
      <c r="H2238" s="48">
        <f>[1]!BexGetData("DP_2","DL719O2RYNGN1RZRS91K7M4TV","17","M","15015041M101","2067261021")</f>
        <v>0</v>
      </c>
      <c r="I2238" s="48">
        <f>[1]!BexGetData("DP_2","DL719O2RYNIY3MZ1QVCEEWBN7","17","M","15015041M101","2067261021")</f>
        <v>0</v>
      </c>
    </row>
    <row r="2239" spans="1:9" x14ac:dyDescent="0.2">
      <c r="A2239" s="46" t="s">
        <v>32</v>
      </c>
      <c r="B2239" s="46" t="s">
        <v>32</v>
      </c>
      <c r="C2239" s="46" t="s">
        <v>32</v>
      </c>
      <c r="D2239" s="46" t="s">
        <v>32</v>
      </c>
      <c r="E2239" s="46" t="s">
        <v>32</v>
      </c>
      <c r="F2239" s="47">
        <f>[1]!BexGetData("DP_2","DL719O2RYNC0Y217V0FVT1R77","17","M","15015041M101","2067271011")</f>
        <v>11855.2</v>
      </c>
      <c r="G2239" s="48">
        <f>[1]!BexGetData("DP_2","DL719O2RYNEBZX0HTMQQ0BY0J","17","M","15015041M101","2067271011")</f>
        <v>11855.2</v>
      </c>
      <c r="H2239" s="48">
        <f>[1]!BexGetData("DP_2","DL719O2RYNGN1RZRS91K7M4TV","17","M","15015041M101","2067271011")</f>
        <v>11855.2</v>
      </c>
      <c r="I2239" s="48">
        <f>[1]!BexGetData("DP_2","DL719O2RYNIY3MZ1QVCEEWBN7","17","M","15015041M101","2067271011")</f>
        <v>0</v>
      </c>
    </row>
    <row r="2240" spans="1:9" x14ac:dyDescent="0.2">
      <c r="A2240" s="46" t="s">
        <v>32</v>
      </c>
      <c r="B2240" s="46" t="s">
        <v>32</v>
      </c>
      <c r="C2240" s="46" t="s">
        <v>32</v>
      </c>
      <c r="D2240" s="46" t="s">
        <v>32</v>
      </c>
      <c r="E2240" s="46" t="s">
        <v>32</v>
      </c>
      <c r="F2240" s="47">
        <f>[1]!BexGetData("DP_2","DL719O2RYNC0Y217V0FVT1R77","17","M","15015041M101","2067272011")</f>
        <v>92762.880000000005</v>
      </c>
      <c r="G2240" s="48">
        <f>[1]!BexGetData("DP_2","DL719O2RYNEBZX0HTMQQ0BY0J","17","M","15015041M101","2067272011")</f>
        <v>92762.880000000005</v>
      </c>
      <c r="H2240" s="48">
        <f>[1]!BexGetData("DP_2","DL719O2RYNGN1RZRS91K7M4TV","17","M","15015041M101","2067272011")</f>
        <v>92762.880000000005</v>
      </c>
      <c r="I2240" s="48">
        <f>[1]!BexGetData("DP_2","DL719O2RYNIY3MZ1QVCEEWBN7","17","M","15015041M101","2067272011")</f>
        <v>0</v>
      </c>
    </row>
    <row r="2241" spans="1:9" x14ac:dyDescent="0.2">
      <c r="A2241" s="46" t="s">
        <v>32</v>
      </c>
      <c r="B2241" s="46" t="s">
        <v>32</v>
      </c>
      <c r="C2241" s="46" t="s">
        <v>32</v>
      </c>
      <c r="D2241" s="46" t="s">
        <v>32</v>
      </c>
      <c r="E2241" s="46" t="s">
        <v>32</v>
      </c>
      <c r="F2241" s="47">
        <f>[1]!BexGetData("DP_2","DL719O2RYNC0Y217V0FVT1R77","17","M","15015041M101","2067275011")</f>
        <v>0</v>
      </c>
      <c r="G2241" s="48">
        <f>[1]!BexGetData("DP_2","DL719O2RYNEBZX0HTMQQ0BY0J","17","M","15015041M101","2067275011")</f>
        <v>0</v>
      </c>
      <c r="H2241" s="48">
        <f>[1]!BexGetData("DP_2","DL719O2RYNGN1RZRS91K7M4TV","17","M","15015041M101","2067275011")</f>
        <v>0</v>
      </c>
      <c r="I2241" s="48">
        <f>[1]!BexGetData("DP_2","DL719O2RYNIY3MZ1QVCEEWBN7","17","M","15015041M101","2067275011")</f>
        <v>0</v>
      </c>
    </row>
    <row r="2242" spans="1:9" x14ac:dyDescent="0.2">
      <c r="A2242" s="46" t="s">
        <v>32</v>
      </c>
      <c r="B2242" s="46" t="s">
        <v>32</v>
      </c>
      <c r="C2242" s="46" t="s">
        <v>32</v>
      </c>
      <c r="D2242" s="46" t="s">
        <v>32</v>
      </c>
      <c r="E2242" s="46" t="s">
        <v>32</v>
      </c>
      <c r="F2242" s="47">
        <f>[1]!BexGetData("DP_2","DL719O2RYNC0Y217V0FVT1R77","17","M","15015041M101","2067291011")</f>
        <v>781.15</v>
      </c>
      <c r="G2242" s="48">
        <f>[1]!BexGetData("DP_2","DL719O2RYNEBZX0HTMQQ0BY0J","17","M","15015041M101","2067291011")</f>
        <v>781.15</v>
      </c>
      <c r="H2242" s="48">
        <f>[1]!BexGetData("DP_2","DL719O2RYNGN1RZRS91K7M4TV","17","M","15015041M101","2067291011")</f>
        <v>781.15</v>
      </c>
      <c r="I2242" s="48">
        <f>[1]!BexGetData("DP_2","DL719O2RYNIY3MZ1QVCEEWBN7","17","M","15015041M101","2067291011")</f>
        <v>0</v>
      </c>
    </row>
    <row r="2243" spans="1:9" x14ac:dyDescent="0.2">
      <c r="A2243" s="46" t="s">
        <v>32</v>
      </c>
      <c r="B2243" s="46" t="s">
        <v>32</v>
      </c>
      <c r="C2243" s="46" t="s">
        <v>32</v>
      </c>
      <c r="D2243" s="46" t="s">
        <v>32</v>
      </c>
      <c r="E2243" s="46" t="s">
        <v>32</v>
      </c>
      <c r="F2243" s="47">
        <f>[1]!BexGetData("DP_2","DL719O2RYNC0Y217V0FVT1R77","17","M","15015041M101","2067292011")</f>
        <v>1185.7</v>
      </c>
      <c r="G2243" s="48">
        <f>[1]!BexGetData("DP_2","DL719O2RYNEBZX0HTMQQ0BY0J","17","M","15015041M101","2067292011")</f>
        <v>1185.7</v>
      </c>
      <c r="H2243" s="48">
        <f>[1]!BexGetData("DP_2","DL719O2RYNGN1RZRS91K7M4TV","17","M","15015041M101","2067292011")</f>
        <v>1185.7</v>
      </c>
      <c r="I2243" s="48">
        <f>[1]!BexGetData("DP_2","DL719O2RYNIY3MZ1QVCEEWBN7","17","M","15015041M101","2067292011")</f>
        <v>0</v>
      </c>
    </row>
    <row r="2244" spans="1:9" x14ac:dyDescent="0.2">
      <c r="A2244" s="46" t="s">
        <v>32</v>
      </c>
      <c r="B2244" s="46" t="s">
        <v>32</v>
      </c>
      <c r="C2244" s="46" t="s">
        <v>32</v>
      </c>
      <c r="D2244" s="46" t="s">
        <v>32</v>
      </c>
      <c r="E2244" s="46" t="s">
        <v>32</v>
      </c>
      <c r="F2244" s="47">
        <f>[1]!BexGetData("DP_2","DL719O2RYNC0Y217V0FVT1R77","17","M","15015041M101","2067293011")</f>
        <v>0</v>
      </c>
      <c r="G2244" s="48">
        <f>[1]!BexGetData("DP_2","DL719O2RYNEBZX0HTMQQ0BY0J","17","M","15015041M101","2067293011")</f>
        <v>0</v>
      </c>
      <c r="H2244" s="48">
        <f>[1]!BexGetData("DP_2","DL719O2RYNGN1RZRS91K7M4TV","17","M","15015041M101","2067293011")</f>
        <v>0</v>
      </c>
      <c r="I2244" s="48">
        <f>[1]!BexGetData("DP_2","DL719O2RYNIY3MZ1QVCEEWBN7","17","M","15015041M101","2067293011")</f>
        <v>0</v>
      </c>
    </row>
    <row r="2245" spans="1:9" x14ac:dyDescent="0.2">
      <c r="A2245" s="46" t="s">
        <v>32</v>
      </c>
      <c r="B2245" s="46" t="s">
        <v>32</v>
      </c>
      <c r="C2245" s="46" t="s">
        <v>32</v>
      </c>
      <c r="D2245" s="46" t="s">
        <v>32</v>
      </c>
      <c r="E2245" s="46" t="s">
        <v>32</v>
      </c>
      <c r="F2245" s="47">
        <f>[1]!BexGetData("DP_2","DL719O2RYNC0Y217V0FVT1R77","17","M","15015041M101","2067293031")</f>
        <v>2527.2399999999998</v>
      </c>
      <c r="G2245" s="48">
        <f>[1]!BexGetData("DP_2","DL719O2RYNEBZX0HTMQQ0BY0J","17","M","15015041M101","2067293031")</f>
        <v>2527.2399999999998</v>
      </c>
      <c r="H2245" s="48">
        <f>[1]!BexGetData("DP_2","DL719O2RYNGN1RZRS91K7M4TV","17","M","15015041M101","2067293031")</f>
        <v>2527.2399999999998</v>
      </c>
      <c r="I2245" s="48">
        <f>[1]!BexGetData("DP_2","DL719O2RYNIY3MZ1QVCEEWBN7","17","M","15015041M101","2067293031")</f>
        <v>0</v>
      </c>
    </row>
    <row r="2246" spans="1:9" x14ac:dyDescent="0.2">
      <c r="A2246" s="46" t="s">
        <v>32</v>
      </c>
      <c r="B2246" s="46" t="s">
        <v>32</v>
      </c>
      <c r="C2246" s="46" t="s">
        <v>32</v>
      </c>
      <c r="D2246" s="46" t="s">
        <v>32</v>
      </c>
      <c r="E2246" s="46" t="s">
        <v>32</v>
      </c>
      <c r="F2246" s="47">
        <f>[1]!BexGetData("DP_2","DL719O2RYNC0Y217V0FVT1R77","17","M","15015041M101","2067294011")</f>
        <v>2359.6799999999998</v>
      </c>
      <c r="G2246" s="48">
        <f>[1]!BexGetData("DP_2","DL719O2RYNEBZX0HTMQQ0BY0J","17","M","15015041M101","2067294011")</f>
        <v>2359.6799999999998</v>
      </c>
      <c r="H2246" s="48">
        <f>[1]!BexGetData("DP_2","DL719O2RYNGN1RZRS91K7M4TV","17","M","15015041M101","2067294011")</f>
        <v>2359.6799999999998</v>
      </c>
      <c r="I2246" s="48">
        <f>[1]!BexGetData("DP_2","DL719O2RYNIY3MZ1QVCEEWBN7","17","M","15015041M101","2067294011")</f>
        <v>0</v>
      </c>
    </row>
    <row r="2247" spans="1:9" x14ac:dyDescent="0.2">
      <c r="A2247" s="46" t="s">
        <v>32</v>
      </c>
      <c r="B2247" s="46" t="s">
        <v>32</v>
      </c>
      <c r="C2247" s="46" t="s">
        <v>32</v>
      </c>
      <c r="D2247" s="46" t="s">
        <v>32</v>
      </c>
      <c r="E2247" s="46" t="s">
        <v>32</v>
      </c>
      <c r="F2247" s="47">
        <f>[1]!BexGetData("DP_2","DL719O2RYNC0Y217V0FVT1R77","17","M","15015041M101","2067296011")</f>
        <v>15829.14</v>
      </c>
      <c r="G2247" s="48">
        <f>[1]!BexGetData("DP_2","DL719O2RYNEBZX0HTMQQ0BY0J","17","M","15015041M101","2067296011")</f>
        <v>15829.14</v>
      </c>
      <c r="H2247" s="48">
        <f>[1]!BexGetData("DP_2","DL719O2RYNGN1RZRS91K7M4TV","17","M","15015041M101","2067296011")</f>
        <v>15829.14</v>
      </c>
      <c r="I2247" s="48">
        <f>[1]!BexGetData("DP_2","DL719O2RYNIY3MZ1QVCEEWBN7","17","M","15015041M101","2067296011")</f>
        <v>0</v>
      </c>
    </row>
    <row r="2248" spans="1:9" x14ac:dyDescent="0.2">
      <c r="A2248" s="46" t="s">
        <v>32</v>
      </c>
      <c r="B2248" s="46" t="s">
        <v>32</v>
      </c>
      <c r="C2248" s="46" t="s">
        <v>32</v>
      </c>
      <c r="D2248" s="46" t="s">
        <v>32</v>
      </c>
      <c r="E2248" s="46" t="s">
        <v>32</v>
      </c>
      <c r="F2248" s="47">
        <f>[1]!BexGetData("DP_2","DL719O2RYNC0Y217V0FVT1R77","17","M","15015041M101","2067298021")</f>
        <v>0</v>
      </c>
      <c r="G2248" s="48">
        <f>[1]!BexGetData("DP_2","DL719O2RYNEBZX0HTMQQ0BY0J","17","M","15015041M101","2067298021")</f>
        <v>0</v>
      </c>
      <c r="H2248" s="48">
        <f>[1]!BexGetData("DP_2","DL719O2RYNGN1RZRS91K7M4TV","17","M","15015041M101","2067298021")</f>
        <v>0</v>
      </c>
      <c r="I2248" s="48">
        <f>[1]!BexGetData("DP_2","DL719O2RYNIY3MZ1QVCEEWBN7","17","M","15015041M101","2067298021")</f>
        <v>0</v>
      </c>
    </row>
    <row r="2249" spans="1:9" x14ac:dyDescent="0.2">
      <c r="A2249" s="46" t="s">
        <v>32</v>
      </c>
      <c r="B2249" s="46" t="s">
        <v>32</v>
      </c>
      <c r="C2249" s="46" t="s">
        <v>32</v>
      </c>
      <c r="D2249" s="46" t="s">
        <v>32</v>
      </c>
      <c r="E2249" s="46" t="s">
        <v>32</v>
      </c>
      <c r="F2249" s="47">
        <f>[1]!BexGetData("DP_2","DL719O2RYNC0Y217V0FVT1R77","17","M","15015041M101","2067298071")</f>
        <v>37160.6</v>
      </c>
      <c r="G2249" s="48">
        <f>[1]!BexGetData("DP_2","DL719O2RYNEBZX0HTMQQ0BY0J","17","M","15015041M101","2067298071")</f>
        <v>37160.6</v>
      </c>
      <c r="H2249" s="48">
        <f>[1]!BexGetData("DP_2","DL719O2RYNGN1RZRS91K7M4TV","17","M","15015041M101","2067298071")</f>
        <v>37160.6</v>
      </c>
      <c r="I2249" s="48">
        <f>[1]!BexGetData("DP_2","DL719O2RYNIY3MZ1QVCEEWBN7","17","M","15015041M101","2067298071")</f>
        <v>0</v>
      </c>
    </row>
    <row r="2250" spans="1:9" x14ac:dyDescent="0.2">
      <c r="A2250" s="46" t="s">
        <v>32</v>
      </c>
      <c r="B2250" s="46" t="s">
        <v>32</v>
      </c>
      <c r="C2250" s="46" t="s">
        <v>32</v>
      </c>
      <c r="D2250" s="46" t="s">
        <v>32</v>
      </c>
      <c r="E2250" s="46" t="s">
        <v>32</v>
      </c>
      <c r="F2250" s="47">
        <f>[1]!BexGetData("DP_2","DL719O2RYNC0Y217V0FVT1R77","17","M","15015041M101","2067299011")</f>
        <v>0</v>
      </c>
      <c r="G2250" s="48">
        <f>[1]!BexGetData("DP_2","DL719O2RYNEBZX0HTMQQ0BY0J","17","M","15015041M101","2067299011")</f>
        <v>0</v>
      </c>
      <c r="H2250" s="48">
        <f>[1]!BexGetData("DP_2","DL719O2RYNGN1RZRS91K7M4TV","17","M","15015041M101","2067299011")</f>
        <v>0</v>
      </c>
      <c r="I2250" s="48">
        <f>[1]!BexGetData("DP_2","DL719O2RYNIY3MZ1QVCEEWBN7","17","M","15015041M101","2067299011")</f>
        <v>0</v>
      </c>
    </row>
    <row r="2251" spans="1:9" x14ac:dyDescent="0.2">
      <c r="A2251" s="46" t="s">
        <v>32</v>
      </c>
      <c r="B2251" s="46" t="s">
        <v>32</v>
      </c>
      <c r="C2251" s="46" t="s">
        <v>32</v>
      </c>
      <c r="D2251" s="46" t="s">
        <v>32</v>
      </c>
      <c r="E2251" s="46" t="s">
        <v>32</v>
      </c>
      <c r="F2251" s="47">
        <f>[1]!BexGetData("DP_2","DL719O2RYNC0Y217V0FVT1R77","17","M","15015041M101","2067311011")</f>
        <v>63851.37</v>
      </c>
      <c r="G2251" s="48">
        <f>[1]!BexGetData("DP_2","DL719O2RYNEBZX0HTMQQ0BY0J","17","M","15015041M101","2067311011")</f>
        <v>63851.37</v>
      </c>
      <c r="H2251" s="48">
        <f>[1]!BexGetData("DP_2","DL719O2RYNGN1RZRS91K7M4TV","17","M","15015041M101","2067311011")</f>
        <v>63851.37</v>
      </c>
      <c r="I2251" s="48">
        <f>[1]!BexGetData("DP_2","DL719O2RYNIY3MZ1QVCEEWBN7","17","M","15015041M101","2067311011")</f>
        <v>0</v>
      </c>
    </row>
    <row r="2252" spans="1:9" x14ac:dyDescent="0.2">
      <c r="A2252" s="46" t="s">
        <v>32</v>
      </c>
      <c r="B2252" s="46" t="s">
        <v>32</v>
      </c>
      <c r="C2252" s="46" t="s">
        <v>32</v>
      </c>
      <c r="D2252" s="46" t="s">
        <v>32</v>
      </c>
      <c r="E2252" s="46" t="s">
        <v>32</v>
      </c>
      <c r="F2252" s="47">
        <f>[1]!BexGetData("DP_2","DL719O2RYNC0Y217V0FVT1R77","17","M","15015041M101","2067313011")</f>
        <v>14975</v>
      </c>
      <c r="G2252" s="48">
        <f>[1]!BexGetData("DP_2","DL719O2RYNEBZX0HTMQQ0BY0J","17","M","15015041M101","2067313011")</f>
        <v>14975</v>
      </c>
      <c r="H2252" s="48">
        <f>[1]!BexGetData("DP_2","DL719O2RYNGN1RZRS91K7M4TV","17","M","15015041M101","2067313011")</f>
        <v>14975</v>
      </c>
      <c r="I2252" s="48">
        <f>[1]!BexGetData("DP_2","DL719O2RYNIY3MZ1QVCEEWBN7","17","M","15015041M101","2067313011")</f>
        <v>0</v>
      </c>
    </row>
    <row r="2253" spans="1:9" x14ac:dyDescent="0.2">
      <c r="A2253" s="46" t="s">
        <v>32</v>
      </c>
      <c r="B2253" s="46" t="s">
        <v>32</v>
      </c>
      <c r="C2253" s="46" t="s">
        <v>32</v>
      </c>
      <c r="D2253" s="46" t="s">
        <v>32</v>
      </c>
      <c r="E2253" s="46" t="s">
        <v>32</v>
      </c>
      <c r="F2253" s="47">
        <f>[1]!BexGetData("DP_2","DL719O2RYNC0Y217V0FVT1R77","17","M","15015041M101","2067314011")</f>
        <v>144761.92000000001</v>
      </c>
      <c r="G2253" s="48">
        <f>[1]!BexGetData("DP_2","DL719O2RYNEBZX0HTMQQ0BY0J","17","M","15015041M101","2067314011")</f>
        <v>144761.92000000001</v>
      </c>
      <c r="H2253" s="48">
        <f>[1]!BexGetData("DP_2","DL719O2RYNGN1RZRS91K7M4TV","17","M","15015041M101","2067314011")</f>
        <v>144761.94</v>
      </c>
      <c r="I2253" s="48">
        <f>[1]!BexGetData("DP_2","DL719O2RYNIY3MZ1QVCEEWBN7","17","M","15015041M101","2067314011")</f>
        <v>0</v>
      </c>
    </row>
    <row r="2254" spans="1:9" x14ac:dyDescent="0.2">
      <c r="A2254" s="46" t="s">
        <v>32</v>
      </c>
      <c r="B2254" s="46" t="s">
        <v>32</v>
      </c>
      <c r="C2254" s="46" t="s">
        <v>32</v>
      </c>
      <c r="D2254" s="46" t="s">
        <v>32</v>
      </c>
      <c r="E2254" s="46" t="s">
        <v>32</v>
      </c>
      <c r="F2254" s="47">
        <f>[1]!BexGetData("DP_2","DL719O2RYNC0Y217V0FVT1R77","17","M","15015041M101","2067315011")</f>
        <v>0</v>
      </c>
      <c r="G2254" s="48">
        <f>[1]!BexGetData("DP_2","DL719O2RYNEBZX0HTMQQ0BY0J","17","M","15015041M101","2067315011")</f>
        <v>0</v>
      </c>
      <c r="H2254" s="48">
        <f>[1]!BexGetData("DP_2","DL719O2RYNGN1RZRS91K7M4TV","17","M","15015041M101","2067315011")</f>
        <v>0</v>
      </c>
      <c r="I2254" s="48">
        <f>[1]!BexGetData("DP_2","DL719O2RYNIY3MZ1QVCEEWBN7","17","M","15015041M101","2067315011")</f>
        <v>0</v>
      </c>
    </row>
    <row r="2255" spans="1:9" x14ac:dyDescent="0.2">
      <c r="A2255" s="46" t="s">
        <v>32</v>
      </c>
      <c r="B2255" s="46" t="s">
        <v>32</v>
      </c>
      <c r="C2255" s="46" t="s">
        <v>32</v>
      </c>
      <c r="D2255" s="46" t="s">
        <v>32</v>
      </c>
      <c r="E2255" s="46" t="s">
        <v>32</v>
      </c>
      <c r="F2255" s="47">
        <f>[1]!BexGetData("DP_2","DL719O2RYNC0Y217V0FVT1R77","17","M","15015041M101","2067317011")</f>
        <v>576960.29</v>
      </c>
      <c r="G2255" s="48">
        <f>[1]!BexGetData("DP_2","DL719O2RYNEBZX0HTMQQ0BY0J","17","M","15015041M101","2067317011")</f>
        <v>576960.29</v>
      </c>
      <c r="H2255" s="48">
        <f>[1]!BexGetData("DP_2","DL719O2RYNGN1RZRS91K7M4TV","17","M","15015041M101","2067317011")</f>
        <v>576960.42000000004</v>
      </c>
      <c r="I2255" s="48">
        <f>[1]!BexGetData("DP_2","DL719O2RYNIY3MZ1QVCEEWBN7","17","M","15015041M101","2067317011")</f>
        <v>0</v>
      </c>
    </row>
    <row r="2256" spans="1:9" x14ac:dyDescent="0.2">
      <c r="A2256" s="46" t="s">
        <v>32</v>
      </c>
      <c r="B2256" s="46" t="s">
        <v>32</v>
      </c>
      <c r="C2256" s="46" t="s">
        <v>32</v>
      </c>
      <c r="D2256" s="46" t="s">
        <v>32</v>
      </c>
      <c r="E2256" s="46" t="s">
        <v>32</v>
      </c>
      <c r="F2256" s="47">
        <f>[1]!BexGetData("DP_2","DL719O2RYNC0Y217V0FVT1R77","17","M","15015041M101","2067318011")</f>
        <v>506</v>
      </c>
      <c r="G2256" s="48">
        <f>[1]!BexGetData("DP_2","DL719O2RYNEBZX0HTMQQ0BY0J","17","M","15015041M101","2067318011")</f>
        <v>506</v>
      </c>
      <c r="H2256" s="48">
        <f>[1]!BexGetData("DP_2","DL719O2RYNGN1RZRS91K7M4TV","17","M","15015041M101","2067318011")</f>
        <v>506</v>
      </c>
      <c r="I2256" s="48">
        <f>[1]!BexGetData("DP_2","DL719O2RYNIY3MZ1QVCEEWBN7","17","M","15015041M101","2067318011")</f>
        <v>0</v>
      </c>
    </row>
    <row r="2257" spans="1:9" x14ac:dyDescent="0.2">
      <c r="A2257" s="46" t="s">
        <v>32</v>
      </c>
      <c r="B2257" s="46" t="s">
        <v>32</v>
      </c>
      <c r="C2257" s="46" t="s">
        <v>32</v>
      </c>
      <c r="D2257" s="46" t="s">
        <v>32</v>
      </c>
      <c r="E2257" s="46" t="s">
        <v>32</v>
      </c>
      <c r="F2257" s="47">
        <f>[1]!BexGetData("DP_2","DL719O2RYNC0Y217V0FVT1R77","17","M","15015041M101","2067319011")</f>
        <v>0</v>
      </c>
      <c r="G2257" s="48">
        <f>[1]!BexGetData("DP_2","DL719O2RYNEBZX0HTMQQ0BY0J","17","M","15015041M101","2067319011")</f>
        <v>0</v>
      </c>
      <c r="H2257" s="48">
        <f>[1]!BexGetData("DP_2","DL719O2RYNGN1RZRS91K7M4TV","17","M","15015041M101","2067319011")</f>
        <v>0</v>
      </c>
      <c r="I2257" s="48">
        <f>[1]!BexGetData("DP_2","DL719O2RYNIY3MZ1QVCEEWBN7","17","M","15015041M101","2067319011")</f>
        <v>0</v>
      </c>
    </row>
    <row r="2258" spans="1:9" x14ac:dyDescent="0.2">
      <c r="A2258" s="46" t="s">
        <v>32</v>
      </c>
      <c r="B2258" s="46" t="s">
        <v>32</v>
      </c>
      <c r="C2258" s="46" t="s">
        <v>32</v>
      </c>
      <c r="D2258" s="46" t="s">
        <v>32</v>
      </c>
      <c r="E2258" s="46" t="s">
        <v>32</v>
      </c>
      <c r="F2258" s="47">
        <f>[1]!BexGetData("DP_2","DL719O2RYNC0Y217V0FVT1R77","17","M","15015041M101","2067322011")</f>
        <v>227647.68</v>
      </c>
      <c r="G2258" s="48">
        <f>[1]!BexGetData("DP_2","DL719O2RYNEBZX0HTMQQ0BY0J","17","M","15015041M101","2067322011")</f>
        <v>227647.68</v>
      </c>
      <c r="H2258" s="48">
        <f>[1]!BexGetData("DP_2","DL719O2RYNGN1RZRS91K7M4TV","17","M","15015041M101","2067322011")</f>
        <v>208677.04</v>
      </c>
      <c r="I2258" s="48">
        <f>[1]!BexGetData("DP_2","DL719O2RYNIY3MZ1QVCEEWBN7","17","M","15015041M101","2067322011")</f>
        <v>0</v>
      </c>
    </row>
    <row r="2259" spans="1:9" x14ac:dyDescent="0.2">
      <c r="A2259" s="46" t="s">
        <v>32</v>
      </c>
      <c r="B2259" s="46" t="s">
        <v>32</v>
      </c>
      <c r="C2259" s="46" t="s">
        <v>32</v>
      </c>
      <c r="D2259" s="46" t="s">
        <v>32</v>
      </c>
      <c r="E2259" s="46" t="s">
        <v>32</v>
      </c>
      <c r="F2259" s="47">
        <f>[1]!BexGetData("DP_2","DL719O2RYNC0Y217V0FVT1R77","17","M","15015041M101","2067322031")</f>
        <v>0</v>
      </c>
      <c r="G2259" s="48">
        <f>[1]!BexGetData("DP_2","DL719O2RYNEBZX0HTMQQ0BY0J","17","M","15015041M101","2067322031")</f>
        <v>0</v>
      </c>
      <c r="H2259" s="48">
        <f>[1]!BexGetData("DP_2","DL719O2RYNGN1RZRS91K7M4TV","17","M","15015041M101","2067322031")</f>
        <v>0</v>
      </c>
      <c r="I2259" s="48">
        <f>[1]!BexGetData("DP_2","DL719O2RYNIY3MZ1QVCEEWBN7","17","M","15015041M101","2067322031")</f>
        <v>0</v>
      </c>
    </row>
    <row r="2260" spans="1:9" x14ac:dyDescent="0.2">
      <c r="A2260" s="46" t="s">
        <v>32</v>
      </c>
      <c r="B2260" s="46" t="s">
        <v>32</v>
      </c>
      <c r="C2260" s="46" t="s">
        <v>32</v>
      </c>
      <c r="D2260" s="46" t="s">
        <v>32</v>
      </c>
      <c r="E2260" s="46" t="s">
        <v>32</v>
      </c>
      <c r="F2260" s="47">
        <f>[1]!BexGetData("DP_2","DL719O2RYNC0Y217V0FVT1R77","17","M","15015041M101","2067323011")</f>
        <v>750</v>
      </c>
      <c r="G2260" s="48">
        <f>[1]!BexGetData("DP_2","DL719O2RYNEBZX0HTMQQ0BY0J","17","M","15015041M101","2067323011")</f>
        <v>750</v>
      </c>
      <c r="H2260" s="48">
        <f>[1]!BexGetData("DP_2","DL719O2RYNGN1RZRS91K7M4TV","17","M","15015041M101","2067323011")</f>
        <v>750</v>
      </c>
      <c r="I2260" s="48">
        <f>[1]!BexGetData("DP_2","DL719O2RYNIY3MZ1QVCEEWBN7","17","M","15015041M101","2067323011")</f>
        <v>0</v>
      </c>
    </row>
    <row r="2261" spans="1:9" x14ac:dyDescent="0.2">
      <c r="A2261" s="46" t="s">
        <v>32</v>
      </c>
      <c r="B2261" s="46" t="s">
        <v>32</v>
      </c>
      <c r="C2261" s="46" t="s">
        <v>32</v>
      </c>
      <c r="D2261" s="46" t="s">
        <v>32</v>
      </c>
      <c r="E2261" s="46" t="s">
        <v>32</v>
      </c>
      <c r="F2261" s="47">
        <f>[1]!BexGetData("DP_2","DL719O2RYNC0Y217V0FVT1R77","17","M","15015041M101","2067329011")</f>
        <v>451430.43</v>
      </c>
      <c r="G2261" s="48">
        <f>[1]!BexGetData("DP_2","DL719O2RYNEBZX0HTMQQ0BY0J","17","M","15015041M101","2067329011")</f>
        <v>451430.43</v>
      </c>
      <c r="H2261" s="48">
        <f>[1]!BexGetData("DP_2","DL719O2RYNGN1RZRS91K7M4TV","17","M","15015041M101","2067329011")</f>
        <v>451430.43</v>
      </c>
      <c r="I2261" s="48">
        <f>[1]!BexGetData("DP_2","DL719O2RYNIY3MZ1QVCEEWBN7","17","M","15015041M101","2067329011")</f>
        <v>0</v>
      </c>
    </row>
    <row r="2262" spans="1:9" x14ac:dyDescent="0.2">
      <c r="A2262" s="46" t="s">
        <v>32</v>
      </c>
      <c r="B2262" s="46" t="s">
        <v>32</v>
      </c>
      <c r="C2262" s="46" t="s">
        <v>32</v>
      </c>
      <c r="D2262" s="46" t="s">
        <v>32</v>
      </c>
      <c r="E2262" s="46" t="s">
        <v>32</v>
      </c>
      <c r="F2262" s="47">
        <f>[1]!BexGetData("DP_2","DL719O2RYNC0Y217V0FVT1R77","17","M","15015041M101","2067331011")</f>
        <v>14964</v>
      </c>
      <c r="G2262" s="48">
        <f>[1]!BexGetData("DP_2","DL719O2RYNEBZX0HTMQQ0BY0J","17","M","15015041M101","2067331011")</f>
        <v>14964</v>
      </c>
      <c r="H2262" s="48">
        <f>[1]!BexGetData("DP_2","DL719O2RYNGN1RZRS91K7M4TV","17","M","15015041M101","2067331011")</f>
        <v>14964</v>
      </c>
      <c r="I2262" s="48">
        <f>[1]!BexGetData("DP_2","DL719O2RYNIY3MZ1QVCEEWBN7","17","M","15015041M101","2067331011")</f>
        <v>0</v>
      </c>
    </row>
    <row r="2263" spans="1:9" x14ac:dyDescent="0.2">
      <c r="A2263" s="46" t="s">
        <v>32</v>
      </c>
      <c r="B2263" s="46" t="s">
        <v>32</v>
      </c>
      <c r="C2263" s="46" t="s">
        <v>32</v>
      </c>
      <c r="D2263" s="46" t="s">
        <v>32</v>
      </c>
      <c r="E2263" s="46" t="s">
        <v>32</v>
      </c>
      <c r="F2263" s="47">
        <f>[1]!BexGetData("DP_2","DL719O2RYNC0Y217V0FVT1R77","17","M","15015041M101","2067331041")</f>
        <v>232000</v>
      </c>
      <c r="G2263" s="48">
        <f>[1]!BexGetData("DP_2","DL719O2RYNEBZX0HTMQQ0BY0J","17","M","15015041M101","2067331041")</f>
        <v>232000</v>
      </c>
      <c r="H2263" s="48">
        <f>[1]!BexGetData("DP_2","DL719O2RYNGN1RZRS91K7M4TV","17","M","15015041M101","2067331041")</f>
        <v>232000</v>
      </c>
      <c r="I2263" s="48">
        <f>[1]!BexGetData("DP_2","DL719O2RYNIY3MZ1QVCEEWBN7","17","M","15015041M101","2067331041")</f>
        <v>0</v>
      </c>
    </row>
    <row r="2264" spans="1:9" x14ac:dyDescent="0.2">
      <c r="A2264" s="46" t="s">
        <v>32</v>
      </c>
      <c r="B2264" s="46" t="s">
        <v>32</v>
      </c>
      <c r="C2264" s="46" t="s">
        <v>32</v>
      </c>
      <c r="D2264" s="46" t="s">
        <v>32</v>
      </c>
      <c r="E2264" s="46" t="s">
        <v>32</v>
      </c>
      <c r="F2264" s="47">
        <f>[1]!BexGetData("DP_2","DL719O2RYNC0Y217V0FVT1R77","17","M","15015041M101","2067332011")</f>
        <v>255200</v>
      </c>
      <c r="G2264" s="48">
        <f>[1]!BexGetData("DP_2","DL719O2RYNEBZX0HTMQQ0BY0J","17","M","15015041M101","2067332011")</f>
        <v>255200</v>
      </c>
      <c r="H2264" s="48">
        <f>[1]!BexGetData("DP_2","DL719O2RYNGN1RZRS91K7M4TV","17","M","15015041M101","2067332011")</f>
        <v>255200</v>
      </c>
      <c r="I2264" s="48">
        <f>[1]!BexGetData("DP_2","DL719O2RYNIY3MZ1QVCEEWBN7","17","M","15015041M101","2067332011")</f>
        <v>0</v>
      </c>
    </row>
    <row r="2265" spans="1:9" x14ac:dyDescent="0.2">
      <c r="A2265" s="46" t="s">
        <v>32</v>
      </c>
      <c r="B2265" s="46" t="s">
        <v>32</v>
      </c>
      <c r="C2265" s="46" t="s">
        <v>32</v>
      </c>
      <c r="D2265" s="46" t="s">
        <v>32</v>
      </c>
      <c r="E2265" s="46" t="s">
        <v>32</v>
      </c>
      <c r="F2265" s="47">
        <f>[1]!BexGetData("DP_2","DL719O2RYNC0Y217V0FVT1R77","17","M","15015041M101","2067333011")</f>
        <v>13990002.93</v>
      </c>
      <c r="G2265" s="48">
        <f>[1]!BexGetData("DP_2","DL719O2RYNEBZX0HTMQQ0BY0J","17","M","15015041M101","2067333011")</f>
        <v>13990002.93</v>
      </c>
      <c r="H2265" s="48">
        <f>[1]!BexGetData("DP_2","DL719O2RYNGN1RZRS91K7M4TV","17","M","15015041M101","2067333011")</f>
        <v>12550052.59</v>
      </c>
      <c r="I2265" s="48">
        <f>[1]!BexGetData("DP_2","DL719O2RYNIY3MZ1QVCEEWBN7","17","M","15015041M101","2067333011")</f>
        <v>2.0000000000000001E-9</v>
      </c>
    </row>
    <row r="2266" spans="1:9" x14ac:dyDescent="0.2">
      <c r="A2266" s="46" t="s">
        <v>32</v>
      </c>
      <c r="B2266" s="46" t="s">
        <v>32</v>
      </c>
      <c r="C2266" s="46" t="s">
        <v>32</v>
      </c>
      <c r="D2266" s="46" t="s">
        <v>32</v>
      </c>
      <c r="E2266" s="46" t="s">
        <v>32</v>
      </c>
      <c r="F2266" s="47">
        <f>[1]!BexGetData("DP_2","DL719O2RYNC0Y217V0FVT1R77","17","M","15015041M101","2067334011")</f>
        <v>0</v>
      </c>
      <c r="G2266" s="48">
        <f>[1]!BexGetData("DP_2","DL719O2RYNEBZX0HTMQQ0BY0J","17","M","15015041M101","2067334011")</f>
        <v>0</v>
      </c>
      <c r="H2266" s="48">
        <f>[1]!BexGetData("DP_2","DL719O2RYNGN1RZRS91K7M4TV","17","M","15015041M101","2067334011")</f>
        <v>0</v>
      </c>
      <c r="I2266" s="48">
        <f>[1]!BexGetData("DP_2","DL719O2RYNIY3MZ1QVCEEWBN7","17","M","15015041M101","2067334011")</f>
        <v>0</v>
      </c>
    </row>
    <row r="2267" spans="1:9" x14ac:dyDescent="0.2">
      <c r="A2267" s="46" t="s">
        <v>32</v>
      </c>
      <c r="B2267" s="46" t="s">
        <v>32</v>
      </c>
      <c r="C2267" s="46" t="s">
        <v>32</v>
      </c>
      <c r="D2267" s="46" t="s">
        <v>32</v>
      </c>
      <c r="E2267" s="46" t="s">
        <v>32</v>
      </c>
      <c r="F2267" s="47">
        <f>[1]!BexGetData("DP_2","DL719O2RYNC0Y217V0FVT1R77","17","M","15015041M101","2067335011")</f>
        <v>776759</v>
      </c>
      <c r="G2267" s="48">
        <f>[1]!BexGetData("DP_2","DL719O2RYNEBZX0HTMQQ0BY0J","17","M","15015041M101","2067335011")</f>
        <v>776759</v>
      </c>
      <c r="H2267" s="48">
        <f>[1]!BexGetData("DP_2","DL719O2RYNGN1RZRS91K7M4TV","17","M","15015041M101","2067335011")</f>
        <v>466639.96</v>
      </c>
      <c r="I2267" s="48">
        <f>[1]!BexGetData("DP_2","DL719O2RYNIY3MZ1QVCEEWBN7","17","M","15015041M101","2067335011")</f>
        <v>0</v>
      </c>
    </row>
    <row r="2268" spans="1:9" x14ac:dyDescent="0.2">
      <c r="A2268" s="46" t="s">
        <v>32</v>
      </c>
      <c r="B2268" s="46" t="s">
        <v>32</v>
      </c>
      <c r="C2268" s="46" t="s">
        <v>32</v>
      </c>
      <c r="D2268" s="46" t="s">
        <v>32</v>
      </c>
      <c r="E2268" s="46" t="s">
        <v>32</v>
      </c>
      <c r="F2268" s="47">
        <f>[1]!BexGetData("DP_2","DL719O2RYNC0Y217V0FVT1R77","17","M","15015041M101","2067336011")</f>
        <v>456185.24</v>
      </c>
      <c r="G2268" s="48">
        <f>[1]!BexGetData("DP_2","DL719O2RYNEBZX0HTMQQ0BY0J","17","M","15015041M101","2067336011")</f>
        <v>456185.24</v>
      </c>
      <c r="H2268" s="48">
        <f>[1]!BexGetData("DP_2","DL719O2RYNGN1RZRS91K7M4TV","17","M","15015041M101","2067336011")</f>
        <v>418764.31</v>
      </c>
      <c r="I2268" s="48">
        <f>[1]!BexGetData("DP_2","DL719O2RYNIY3MZ1QVCEEWBN7","17","M","15015041M101","2067336011")</f>
        <v>0</v>
      </c>
    </row>
    <row r="2269" spans="1:9" x14ac:dyDescent="0.2">
      <c r="A2269" s="46" t="s">
        <v>32</v>
      </c>
      <c r="B2269" s="46" t="s">
        <v>32</v>
      </c>
      <c r="C2269" s="46" t="s">
        <v>32</v>
      </c>
      <c r="D2269" s="46" t="s">
        <v>32</v>
      </c>
      <c r="E2269" s="46" t="s">
        <v>32</v>
      </c>
      <c r="F2269" s="47">
        <f>[1]!BexGetData("DP_2","DL719O2RYNC0Y217V0FVT1R77","17","M","15015041M101","2067339011")</f>
        <v>12000.47</v>
      </c>
      <c r="G2269" s="48">
        <f>[1]!BexGetData("DP_2","DL719O2RYNEBZX0HTMQQ0BY0J","17","M","15015041M101","2067339011")</f>
        <v>12000.47</v>
      </c>
      <c r="H2269" s="48">
        <f>[1]!BexGetData("DP_2","DL719O2RYNGN1RZRS91K7M4TV","17","M","15015041M101","2067339011")</f>
        <v>12000.47</v>
      </c>
      <c r="I2269" s="48">
        <f>[1]!BexGetData("DP_2","DL719O2RYNIY3MZ1QVCEEWBN7","17","M","15015041M101","2067339011")</f>
        <v>0</v>
      </c>
    </row>
    <row r="2270" spans="1:9" x14ac:dyDescent="0.2">
      <c r="A2270" s="46" t="s">
        <v>32</v>
      </c>
      <c r="B2270" s="46" t="s">
        <v>32</v>
      </c>
      <c r="C2270" s="46" t="s">
        <v>32</v>
      </c>
      <c r="D2270" s="46" t="s">
        <v>32</v>
      </c>
      <c r="E2270" s="46" t="s">
        <v>32</v>
      </c>
      <c r="F2270" s="47">
        <f>[1]!BexGetData("DP_2","DL719O2RYNC0Y217V0FVT1R77","17","M","15015041M101","2067341011")</f>
        <v>696</v>
      </c>
      <c r="G2270" s="48">
        <f>[1]!BexGetData("DP_2","DL719O2RYNEBZX0HTMQQ0BY0J","17","M","15015041M101","2067341011")</f>
        <v>696</v>
      </c>
      <c r="H2270" s="48">
        <f>[1]!BexGetData("DP_2","DL719O2RYNGN1RZRS91K7M4TV","17","M","15015041M101","2067341011")</f>
        <v>696</v>
      </c>
      <c r="I2270" s="48">
        <f>[1]!BexGetData("DP_2","DL719O2RYNIY3MZ1QVCEEWBN7","17","M","15015041M101","2067341011")</f>
        <v>0</v>
      </c>
    </row>
    <row r="2271" spans="1:9" x14ac:dyDescent="0.2">
      <c r="A2271" s="46" t="s">
        <v>32</v>
      </c>
      <c r="B2271" s="46" t="s">
        <v>32</v>
      </c>
      <c r="C2271" s="46" t="s">
        <v>32</v>
      </c>
      <c r="D2271" s="46" t="s">
        <v>32</v>
      </c>
      <c r="E2271" s="46" t="s">
        <v>32</v>
      </c>
      <c r="F2271" s="47">
        <f>[1]!BexGetData("DP_2","DL719O2RYNC0Y217V0FVT1R77","17","M","15015041M101","2067344011")</f>
        <v>50720.42</v>
      </c>
      <c r="G2271" s="48">
        <f>[1]!BexGetData("DP_2","DL719O2RYNEBZX0HTMQQ0BY0J","17","M","15015041M101","2067344011")</f>
        <v>50720.42</v>
      </c>
      <c r="H2271" s="48">
        <f>[1]!BexGetData("DP_2","DL719O2RYNGN1RZRS91K7M4TV","17","M","15015041M101","2067344011")</f>
        <v>50720.42</v>
      </c>
      <c r="I2271" s="48">
        <f>[1]!BexGetData("DP_2","DL719O2RYNIY3MZ1QVCEEWBN7","17","M","15015041M101","2067344011")</f>
        <v>0</v>
      </c>
    </row>
    <row r="2272" spans="1:9" x14ac:dyDescent="0.2">
      <c r="A2272" s="46" t="s">
        <v>32</v>
      </c>
      <c r="B2272" s="46" t="s">
        <v>32</v>
      </c>
      <c r="C2272" s="46" t="s">
        <v>32</v>
      </c>
      <c r="D2272" s="46" t="s">
        <v>32</v>
      </c>
      <c r="E2272" s="46" t="s">
        <v>32</v>
      </c>
      <c r="F2272" s="47">
        <f>[1]!BexGetData("DP_2","DL719O2RYNC0Y217V0FVT1R77","17","M","15015041M101","2067347011")</f>
        <v>1102</v>
      </c>
      <c r="G2272" s="48">
        <f>[1]!BexGetData("DP_2","DL719O2RYNEBZX0HTMQQ0BY0J","17","M","15015041M101","2067347011")</f>
        <v>1102</v>
      </c>
      <c r="H2272" s="48">
        <f>[1]!BexGetData("DP_2","DL719O2RYNGN1RZRS91K7M4TV","17","M","15015041M101","2067347011")</f>
        <v>1102</v>
      </c>
      <c r="I2272" s="48">
        <f>[1]!BexGetData("DP_2","DL719O2RYNIY3MZ1QVCEEWBN7","17","M","15015041M101","2067347011")</f>
        <v>0</v>
      </c>
    </row>
    <row r="2273" spans="1:9" x14ac:dyDescent="0.2">
      <c r="A2273" s="46" t="s">
        <v>32</v>
      </c>
      <c r="B2273" s="46" t="s">
        <v>32</v>
      </c>
      <c r="C2273" s="46" t="s">
        <v>32</v>
      </c>
      <c r="D2273" s="46" t="s">
        <v>32</v>
      </c>
      <c r="E2273" s="46" t="s">
        <v>32</v>
      </c>
      <c r="F2273" s="47">
        <f>[1]!BexGetData("DP_2","DL719O2RYNC0Y217V0FVT1R77","17","M","15015041M101","2067351011")</f>
        <v>10208</v>
      </c>
      <c r="G2273" s="48">
        <f>[1]!BexGetData("DP_2","DL719O2RYNEBZX0HTMQQ0BY0J","17","M","15015041M101","2067351011")</f>
        <v>10208</v>
      </c>
      <c r="H2273" s="48">
        <f>[1]!BexGetData("DP_2","DL719O2RYNGN1RZRS91K7M4TV","17","M","15015041M101","2067351011")</f>
        <v>10208</v>
      </c>
      <c r="I2273" s="48">
        <f>[1]!BexGetData("DP_2","DL719O2RYNIY3MZ1QVCEEWBN7","17","M","15015041M101","2067351011")</f>
        <v>0</v>
      </c>
    </row>
    <row r="2274" spans="1:9" x14ac:dyDescent="0.2">
      <c r="A2274" s="46" t="s">
        <v>32</v>
      </c>
      <c r="B2274" s="46" t="s">
        <v>32</v>
      </c>
      <c r="C2274" s="46" t="s">
        <v>32</v>
      </c>
      <c r="D2274" s="46" t="s">
        <v>32</v>
      </c>
      <c r="E2274" s="46" t="s">
        <v>32</v>
      </c>
      <c r="F2274" s="47">
        <f>[1]!BexGetData("DP_2","DL719O2RYNC0Y217V0FVT1R77","17","M","15015041M101","2067352011")</f>
        <v>0</v>
      </c>
      <c r="G2274" s="48">
        <f>[1]!BexGetData("DP_2","DL719O2RYNEBZX0HTMQQ0BY0J","17","M","15015041M101","2067352011")</f>
        <v>0</v>
      </c>
      <c r="H2274" s="48">
        <f>[1]!BexGetData("DP_2","DL719O2RYNGN1RZRS91K7M4TV","17","M","15015041M101","2067352011")</f>
        <v>0</v>
      </c>
      <c r="I2274" s="48">
        <f>[1]!BexGetData("DP_2","DL719O2RYNIY3MZ1QVCEEWBN7","17","M","15015041M101","2067352011")</f>
        <v>0</v>
      </c>
    </row>
    <row r="2275" spans="1:9" x14ac:dyDescent="0.2">
      <c r="A2275" s="46" t="s">
        <v>32</v>
      </c>
      <c r="B2275" s="46" t="s">
        <v>32</v>
      </c>
      <c r="C2275" s="46" t="s">
        <v>32</v>
      </c>
      <c r="D2275" s="46" t="s">
        <v>32</v>
      </c>
      <c r="E2275" s="46" t="s">
        <v>32</v>
      </c>
      <c r="F2275" s="47">
        <f>[1]!BexGetData("DP_2","DL719O2RYNC0Y217V0FVT1R77","17","M","15015041M101","2067352091")</f>
        <v>0</v>
      </c>
      <c r="G2275" s="48">
        <f>[1]!BexGetData("DP_2","DL719O2RYNEBZX0HTMQQ0BY0J","17","M","15015041M101","2067352091")</f>
        <v>0</v>
      </c>
      <c r="H2275" s="48">
        <f>[1]!BexGetData("DP_2","DL719O2RYNGN1RZRS91K7M4TV","17","M","15015041M101","2067352091")</f>
        <v>0</v>
      </c>
      <c r="I2275" s="48">
        <f>[1]!BexGetData("DP_2","DL719O2RYNIY3MZ1QVCEEWBN7","17","M","15015041M101","2067352091")</f>
        <v>0</v>
      </c>
    </row>
    <row r="2276" spans="1:9" x14ac:dyDescent="0.2">
      <c r="A2276" s="46" t="s">
        <v>32</v>
      </c>
      <c r="B2276" s="46" t="s">
        <v>32</v>
      </c>
      <c r="C2276" s="46" t="s">
        <v>32</v>
      </c>
      <c r="D2276" s="46" t="s">
        <v>32</v>
      </c>
      <c r="E2276" s="46" t="s">
        <v>32</v>
      </c>
      <c r="F2276" s="47">
        <f>[1]!BexGetData("DP_2","DL719O2RYNC0Y217V0FVT1R77","17","M","15015041M101","2067353011")</f>
        <v>0</v>
      </c>
      <c r="G2276" s="48">
        <f>[1]!BexGetData("DP_2","DL719O2RYNEBZX0HTMQQ0BY0J","17","M","15015041M101","2067353011")</f>
        <v>0</v>
      </c>
      <c r="H2276" s="48">
        <f>[1]!BexGetData("DP_2","DL719O2RYNGN1RZRS91K7M4TV","17","M","15015041M101","2067353011")</f>
        <v>0</v>
      </c>
      <c r="I2276" s="48">
        <f>[1]!BexGetData("DP_2","DL719O2RYNIY3MZ1QVCEEWBN7","17","M","15015041M101","2067353011")</f>
        <v>0</v>
      </c>
    </row>
    <row r="2277" spans="1:9" x14ac:dyDescent="0.2">
      <c r="A2277" s="46" t="s">
        <v>32</v>
      </c>
      <c r="B2277" s="46" t="s">
        <v>32</v>
      </c>
      <c r="C2277" s="46" t="s">
        <v>32</v>
      </c>
      <c r="D2277" s="46" t="s">
        <v>32</v>
      </c>
      <c r="E2277" s="46" t="s">
        <v>32</v>
      </c>
      <c r="F2277" s="47">
        <f>[1]!BexGetData("DP_2","DL719O2RYNC0Y217V0FVT1R77","17","M","15015041M101","2067355011")</f>
        <v>34471.35</v>
      </c>
      <c r="G2277" s="48">
        <f>[1]!BexGetData("DP_2","DL719O2RYNEBZX0HTMQQ0BY0J","17","M","15015041M101","2067355011")</f>
        <v>34471.35</v>
      </c>
      <c r="H2277" s="48">
        <f>[1]!BexGetData("DP_2","DL719O2RYNGN1RZRS91K7M4TV","17","M","15015041M101","2067355011")</f>
        <v>34471.35</v>
      </c>
      <c r="I2277" s="48">
        <f>[1]!BexGetData("DP_2","DL719O2RYNIY3MZ1QVCEEWBN7","17","M","15015041M101","2067355011")</f>
        <v>0</v>
      </c>
    </row>
    <row r="2278" spans="1:9" x14ac:dyDescent="0.2">
      <c r="A2278" s="46" t="s">
        <v>32</v>
      </c>
      <c r="B2278" s="46" t="s">
        <v>32</v>
      </c>
      <c r="C2278" s="46" t="s">
        <v>32</v>
      </c>
      <c r="D2278" s="46" t="s">
        <v>32</v>
      </c>
      <c r="E2278" s="46" t="s">
        <v>32</v>
      </c>
      <c r="F2278" s="47">
        <f>[1]!BexGetData("DP_2","DL719O2RYNC0Y217V0FVT1R77","17","M","15015041M101","2067357011")</f>
        <v>0</v>
      </c>
      <c r="G2278" s="48">
        <f>[1]!BexGetData("DP_2","DL719O2RYNEBZX0HTMQQ0BY0J","17","M","15015041M101","2067357011")</f>
        <v>0</v>
      </c>
      <c r="H2278" s="48">
        <f>[1]!BexGetData("DP_2","DL719O2RYNGN1RZRS91K7M4TV","17","M","15015041M101","2067357011")</f>
        <v>0</v>
      </c>
      <c r="I2278" s="48">
        <f>[1]!BexGetData("DP_2","DL719O2RYNIY3MZ1QVCEEWBN7","17","M","15015041M101","2067357011")</f>
        <v>0</v>
      </c>
    </row>
    <row r="2279" spans="1:9" x14ac:dyDescent="0.2">
      <c r="A2279" s="46" t="s">
        <v>32</v>
      </c>
      <c r="B2279" s="46" t="s">
        <v>32</v>
      </c>
      <c r="C2279" s="46" t="s">
        <v>32</v>
      </c>
      <c r="D2279" s="46" t="s">
        <v>32</v>
      </c>
      <c r="E2279" s="46" t="s">
        <v>32</v>
      </c>
      <c r="F2279" s="47">
        <f>[1]!BexGetData("DP_2","DL719O2RYNC0Y217V0FVT1R77","17","M","15015041M101","2067357021")</f>
        <v>74166.48</v>
      </c>
      <c r="G2279" s="48">
        <f>[1]!BexGetData("DP_2","DL719O2RYNEBZX0HTMQQ0BY0J","17","M","15015041M101","2067357021")</f>
        <v>74166.48</v>
      </c>
      <c r="H2279" s="48">
        <f>[1]!BexGetData("DP_2","DL719O2RYNGN1RZRS91K7M4TV","17","M","15015041M101","2067357021")</f>
        <v>74166.48</v>
      </c>
      <c r="I2279" s="48">
        <f>[1]!BexGetData("DP_2","DL719O2RYNIY3MZ1QVCEEWBN7","17","M","15015041M101","2067357021")</f>
        <v>0</v>
      </c>
    </row>
    <row r="2280" spans="1:9" x14ac:dyDescent="0.2">
      <c r="A2280" s="46" t="s">
        <v>32</v>
      </c>
      <c r="B2280" s="46" t="s">
        <v>32</v>
      </c>
      <c r="C2280" s="46" t="s">
        <v>32</v>
      </c>
      <c r="D2280" s="46" t="s">
        <v>32</v>
      </c>
      <c r="E2280" s="46" t="s">
        <v>32</v>
      </c>
      <c r="F2280" s="47">
        <f>[1]!BexGetData("DP_2","DL719O2RYNC0Y217V0FVT1R77","17","M","15015041M101","2067357041")</f>
        <v>0</v>
      </c>
      <c r="G2280" s="48">
        <f>[1]!BexGetData("DP_2","DL719O2RYNEBZX0HTMQQ0BY0J","17","M","15015041M101","2067357041")</f>
        <v>0</v>
      </c>
      <c r="H2280" s="48">
        <f>[1]!BexGetData("DP_2","DL719O2RYNGN1RZRS91K7M4TV","17","M","15015041M101","2067357041")</f>
        <v>0</v>
      </c>
      <c r="I2280" s="48">
        <f>[1]!BexGetData("DP_2","DL719O2RYNIY3MZ1QVCEEWBN7","17","M","15015041M101","2067357041")</f>
        <v>0</v>
      </c>
    </row>
    <row r="2281" spans="1:9" x14ac:dyDescent="0.2">
      <c r="A2281" s="46" t="s">
        <v>32</v>
      </c>
      <c r="B2281" s="46" t="s">
        <v>32</v>
      </c>
      <c r="C2281" s="46" t="s">
        <v>32</v>
      </c>
      <c r="D2281" s="46" t="s">
        <v>32</v>
      </c>
      <c r="E2281" s="46" t="s">
        <v>32</v>
      </c>
      <c r="F2281" s="47">
        <f>[1]!BexGetData("DP_2","DL719O2RYNC0Y217V0FVT1R77","17","M","15015041M101","2067357071")</f>
        <v>23200</v>
      </c>
      <c r="G2281" s="48">
        <f>[1]!BexGetData("DP_2","DL719O2RYNEBZX0HTMQQ0BY0J","17","M","15015041M101","2067357071")</f>
        <v>23200</v>
      </c>
      <c r="H2281" s="48">
        <f>[1]!BexGetData("DP_2","DL719O2RYNGN1RZRS91K7M4TV","17","M","15015041M101","2067357071")</f>
        <v>0</v>
      </c>
      <c r="I2281" s="48">
        <f>[1]!BexGetData("DP_2","DL719O2RYNIY3MZ1QVCEEWBN7","17","M","15015041M101","2067357071")</f>
        <v>0</v>
      </c>
    </row>
    <row r="2282" spans="1:9" x14ac:dyDescent="0.2">
      <c r="A2282" s="46" t="s">
        <v>32</v>
      </c>
      <c r="B2282" s="46" t="s">
        <v>32</v>
      </c>
      <c r="C2282" s="46" t="s">
        <v>32</v>
      </c>
      <c r="D2282" s="46" t="s">
        <v>32</v>
      </c>
      <c r="E2282" s="46" t="s">
        <v>32</v>
      </c>
      <c r="F2282" s="47">
        <f>[1]!BexGetData("DP_2","DL719O2RYNC0Y217V0FVT1R77","17","M","15015041M101","2067358011")</f>
        <v>0</v>
      </c>
      <c r="G2282" s="48">
        <f>[1]!BexGetData("DP_2","DL719O2RYNEBZX0HTMQQ0BY0J","17","M","15015041M101","2067358011")</f>
        <v>0</v>
      </c>
      <c r="H2282" s="48">
        <f>[1]!BexGetData("DP_2","DL719O2RYNGN1RZRS91K7M4TV","17","M","15015041M101","2067358011")</f>
        <v>0</v>
      </c>
      <c r="I2282" s="48">
        <f>[1]!BexGetData("DP_2","DL719O2RYNIY3MZ1QVCEEWBN7","17","M","15015041M101","2067358011")</f>
        <v>0</v>
      </c>
    </row>
    <row r="2283" spans="1:9" x14ac:dyDescent="0.2">
      <c r="A2283" s="46" t="s">
        <v>32</v>
      </c>
      <c r="B2283" s="46" t="s">
        <v>32</v>
      </c>
      <c r="C2283" s="46" t="s">
        <v>32</v>
      </c>
      <c r="D2283" s="46" t="s">
        <v>32</v>
      </c>
      <c r="E2283" s="46" t="s">
        <v>32</v>
      </c>
      <c r="F2283" s="47">
        <f>[1]!BexGetData("DP_2","DL719O2RYNC0Y217V0FVT1R77","17","M","15015041M101","2067359011")</f>
        <v>5500</v>
      </c>
      <c r="G2283" s="48">
        <f>[1]!BexGetData("DP_2","DL719O2RYNEBZX0HTMQQ0BY0J","17","M","15015041M101","2067359011")</f>
        <v>5500</v>
      </c>
      <c r="H2283" s="48">
        <f>[1]!BexGetData("DP_2","DL719O2RYNGN1RZRS91K7M4TV","17","M","15015041M101","2067359011")</f>
        <v>0</v>
      </c>
      <c r="I2283" s="48">
        <f>[1]!BexGetData("DP_2","DL719O2RYNIY3MZ1QVCEEWBN7","17","M","15015041M101","2067359011")</f>
        <v>0</v>
      </c>
    </row>
    <row r="2284" spans="1:9" x14ac:dyDescent="0.2">
      <c r="A2284" s="46" t="s">
        <v>32</v>
      </c>
      <c r="B2284" s="46" t="s">
        <v>32</v>
      </c>
      <c r="C2284" s="46" t="s">
        <v>32</v>
      </c>
      <c r="D2284" s="46" t="s">
        <v>32</v>
      </c>
      <c r="E2284" s="46" t="s">
        <v>32</v>
      </c>
      <c r="F2284" s="47">
        <f>[1]!BexGetData("DP_2","DL719O2RYNC0Y217V0FVT1R77","17","M","15015041M101","2067369011")</f>
        <v>37305.599999999999</v>
      </c>
      <c r="G2284" s="48">
        <f>[1]!BexGetData("DP_2","DL719O2RYNEBZX0HTMQQ0BY0J","17","M","15015041M101","2067369011")</f>
        <v>37305.599999999999</v>
      </c>
      <c r="H2284" s="48">
        <f>[1]!BexGetData("DP_2","DL719O2RYNGN1RZRS91K7M4TV","17","M","15015041M101","2067369011")</f>
        <v>37305.599999999999</v>
      </c>
      <c r="I2284" s="48">
        <f>[1]!BexGetData("DP_2","DL719O2RYNIY3MZ1QVCEEWBN7","17","M","15015041M101","2067369011")</f>
        <v>0</v>
      </c>
    </row>
    <row r="2285" spans="1:9" x14ac:dyDescent="0.2">
      <c r="A2285" s="46" t="s">
        <v>32</v>
      </c>
      <c r="B2285" s="46" t="s">
        <v>32</v>
      </c>
      <c r="C2285" s="46" t="s">
        <v>32</v>
      </c>
      <c r="D2285" s="46" t="s">
        <v>32</v>
      </c>
      <c r="E2285" s="46" t="s">
        <v>32</v>
      </c>
      <c r="F2285" s="47">
        <f>[1]!BexGetData("DP_2","DL719O2RYNC0Y217V0FVT1R77","17","M","15015041M101","2067371011")</f>
        <v>187011.36</v>
      </c>
      <c r="G2285" s="48">
        <f>[1]!BexGetData("DP_2","DL719O2RYNEBZX0HTMQQ0BY0J","17","M","15015041M101","2067371011")</f>
        <v>187011.36</v>
      </c>
      <c r="H2285" s="48">
        <f>[1]!BexGetData("DP_2","DL719O2RYNGN1RZRS91K7M4TV","17","M","15015041M101","2067371011")</f>
        <v>180747.36</v>
      </c>
      <c r="I2285" s="48">
        <f>[1]!BexGetData("DP_2","DL719O2RYNIY3MZ1QVCEEWBN7","17","M","15015041M101","2067371011")</f>
        <v>0</v>
      </c>
    </row>
    <row r="2286" spans="1:9" x14ac:dyDescent="0.2">
      <c r="A2286" s="46" t="s">
        <v>32</v>
      </c>
      <c r="B2286" s="46" t="s">
        <v>32</v>
      </c>
      <c r="C2286" s="46" t="s">
        <v>32</v>
      </c>
      <c r="D2286" s="46" t="s">
        <v>32</v>
      </c>
      <c r="E2286" s="46" t="s">
        <v>32</v>
      </c>
      <c r="F2286" s="47">
        <f>[1]!BexGetData("DP_2","DL719O2RYNC0Y217V0FVT1R77","17","M","15015041M101","2067371021")</f>
        <v>0</v>
      </c>
      <c r="G2286" s="48">
        <f>[1]!BexGetData("DP_2","DL719O2RYNEBZX0HTMQQ0BY0J","17","M","15015041M101","2067371021")</f>
        <v>0</v>
      </c>
      <c r="H2286" s="48">
        <f>[1]!BexGetData("DP_2","DL719O2RYNGN1RZRS91K7M4TV","17","M","15015041M101","2067371021")</f>
        <v>0</v>
      </c>
      <c r="I2286" s="48">
        <f>[1]!BexGetData("DP_2","DL719O2RYNIY3MZ1QVCEEWBN7","17","M","15015041M101","2067371021")</f>
        <v>0</v>
      </c>
    </row>
    <row r="2287" spans="1:9" x14ac:dyDescent="0.2">
      <c r="A2287" s="46" t="s">
        <v>32</v>
      </c>
      <c r="B2287" s="46" t="s">
        <v>32</v>
      </c>
      <c r="C2287" s="46" t="s">
        <v>32</v>
      </c>
      <c r="D2287" s="46" t="s">
        <v>32</v>
      </c>
      <c r="E2287" s="46" t="s">
        <v>32</v>
      </c>
      <c r="F2287" s="47">
        <f>[1]!BexGetData("DP_2","DL719O2RYNC0Y217V0FVT1R77","17","M","15015041M101","2067372011")</f>
        <v>47285</v>
      </c>
      <c r="G2287" s="48">
        <f>[1]!BexGetData("DP_2","DL719O2RYNEBZX0HTMQQ0BY0J","17","M","15015041M101","2067372011")</f>
        <v>47285</v>
      </c>
      <c r="H2287" s="48">
        <f>[1]!BexGetData("DP_2","DL719O2RYNGN1RZRS91K7M4TV","17","M","15015041M101","2067372011")</f>
        <v>47285</v>
      </c>
      <c r="I2287" s="48">
        <f>[1]!BexGetData("DP_2","DL719O2RYNIY3MZ1QVCEEWBN7","17","M","15015041M101","2067372011")</f>
        <v>0</v>
      </c>
    </row>
    <row r="2288" spans="1:9" x14ac:dyDescent="0.2">
      <c r="A2288" s="46" t="s">
        <v>32</v>
      </c>
      <c r="B2288" s="46" t="s">
        <v>32</v>
      </c>
      <c r="C2288" s="46" t="s">
        <v>32</v>
      </c>
      <c r="D2288" s="46" t="s">
        <v>32</v>
      </c>
      <c r="E2288" s="46" t="s">
        <v>32</v>
      </c>
      <c r="F2288" s="47">
        <f>[1]!BexGetData("DP_2","DL719O2RYNC0Y217V0FVT1R77","17","M","15015041M101","2067372021")</f>
        <v>0</v>
      </c>
      <c r="G2288" s="48">
        <f>[1]!BexGetData("DP_2","DL719O2RYNEBZX0HTMQQ0BY0J","17","M","15015041M101","2067372021")</f>
        <v>0</v>
      </c>
      <c r="H2288" s="48">
        <f>[1]!BexGetData("DP_2","DL719O2RYNGN1RZRS91K7M4TV","17","M","15015041M101","2067372021")</f>
        <v>0</v>
      </c>
      <c r="I2288" s="48">
        <f>[1]!BexGetData("DP_2","DL719O2RYNIY3MZ1QVCEEWBN7","17","M","15015041M101","2067372021")</f>
        <v>0</v>
      </c>
    </row>
    <row r="2289" spans="1:9" x14ac:dyDescent="0.2">
      <c r="A2289" s="46" t="s">
        <v>32</v>
      </c>
      <c r="B2289" s="46" t="s">
        <v>32</v>
      </c>
      <c r="C2289" s="46" t="s">
        <v>32</v>
      </c>
      <c r="D2289" s="46" t="s">
        <v>32</v>
      </c>
      <c r="E2289" s="46" t="s">
        <v>32</v>
      </c>
      <c r="F2289" s="47">
        <f>[1]!BexGetData("DP_2","DL719O2RYNC0Y217V0FVT1R77","17","M","15015041M101","2067375011")</f>
        <v>121800</v>
      </c>
      <c r="G2289" s="48">
        <f>[1]!BexGetData("DP_2","DL719O2RYNEBZX0HTMQQ0BY0J","17","M","15015041M101","2067375011")</f>
        <v>121800</v>
      </c>
      <c r="H2289" s="48">
        <f>[1]!BexGetData("DP_2","DL719O2RYNGN1RZRS91K7M4TV","17","M","15015041M101","2067375011")</f>
        <v>102600</v>
      </c>
      <c r="I2289" s="48">
        <f>[1]!BexGetData("DP_2","DL719O2RYNIY3MZ1QVCEEWBN7","17","M","15015041M101","2067375011")</f>
        <v>0</v>
      </c>
    </row>
    <row r="2290" spans="1:9" x14ac:dyDescent="0.2">
      <c r="A2290" s="46" t="s">
        <v>32</v>
      </c>
      <c r="B2290" s="46" t="s">
        <v>32</v>
      </c>
      <c r="C2290" s="46" t="s">
        <v>32</v>
      </c>
      <c r="D2290" s="46" t="s">
        <v>32</v>
      </c>
      <c r="E2290" s="46" t="s">
        <v>32</v>
      </c>
      <c r="F2290" s="47">
        <f>[1]!BexGetData("DP_2","DL719O2RYNC0Y217V0FVT1R77","17","M","15015041M101","2067375021")</f>
        <v>0</v>
      </c>
      <c r="G2290" s="48">
        <f>[1]!BexGetData("DP_2","DL719O2RYNEBZX0HTMQQ0BY0J","17","M","15015041M101","2067375021")</f>
        <v>0</v>
      </c>
      <c r="H2290" s="48">
        <f>[1]!BexGetData("DP_2","DL719O2RYNGN1RZRS91K7M4TV","17","M","15015041M101","2067375021")</f>
        <v>0</v>
      </c>
      <c r="I2290" s="48">
        <f>[1]!BexGetData("DP_2","DL719O2RYNIY3MZ1QVCEEWBN7","17","M","15015041M101","2067375021")</f>
        <v>0</v>
      </c>
    </row>
    <row r="2291" spans="1:9" x14ac:dyDescent="0.2">
      <c r="A2291" s="46" t="s">
        <v>32</v>
      </c>
      <c r="B2291" s="46" t="s">
        <v>32</v>
      </c>
      <c r="C2291" s="46" t="s">
        <v>32</v>
      </c>
      <c r="D2291" s="46" t="s">
        <v>32</v>
      </c>
      <c r="E2291" s="46" t="s">
        <v>32</v>
      </c>
      <c r="F2291" s="47">
        <f>[1]!BexGetData("DP_2","DL719O2RYNC0Y217V0FVT1R77","17","M","15015041M101","2067376011")</f>
        <v>0</v>
      </c>
      <c r="G2291" s="48">
        <f>[1]!BexGetData("DP_2","DL719O2RYNEBZX0HTMQQ0BY0J","17","M","15015041M101","2067376011")</f>
        <v>0</v>
      </c>
      <c r="H2291" s="48">
        <f>[1]!BexGetData("DP_2","DL719O2RYNGN1RZRS91K7M4TV","17","M","15015041M101","2067376011")</f>
        <v>0</v>
      </c>
      <c r="I2291" s="48">
        <f>[1]!BexGetData("DP_2","DL719O2RYNIY3MZ1QVCEEWBN7","17","M","15015041M101","2067376011")</f>
        <v>0</v>
      </c>
    </row>
    <row r="2292" spans="1:9" x14ac:dyDescent="0.2">
      <c r="A2292" s="46" t="s">
        <v>32</v>
      </c>
      <c r="B2292" s="46" t="s">
        <v>32</v>
      </c>
      <c r="C2292" s="46" t="s">
        <v>32</v>
      </c>
      <c r="D2292" s="46" t="s">
        <v>32</v>
      </c>
      <c r="E2292" s="46" t="s">
        <v>32</v>
      </c>
      <c r="F2292" s="47">
        <f>[1]!BexGetData("DP_2","DL719O2RYNC0Y217V0FVT1R77","17","M","15015041M101","2067382021")</f>
        <v>799787.4</v>
      </c>
      <c r="G2292" s="48">
        <f>[1]!BexGetData("DP_2","DL719O2RYNEBZX0HTMQQ0BY0J","17","M","15015041M101","2067382021")</f>
        <v>799787.4</v>
      </c>
      <c r="H2292" s="48">
        <f>[1]!BexGetData("DP_2","DL719O2RYNGN1RZRS91K7M4TV","17","M","15015041M101","2067382021")</f>
        <v>799787.4</v>
      </c>
      <c r="I2292" s="48">
        <f>[1]!BexGetData("DP_2","DL719O2RYNIY3MZ1QVCEEWBN7","17","M","15015041M101","2067382021")</f>
        <v>0</v>
      </c>
    </row>
    <row r="2293" spans="1:9" x14ac:dyDescent="0.2">
      <c r="A2293" s="46" t="s">
        <v>32</v>
      </c>
      <c r="B2293" s="46" t="s">
        <v>32</v>
      </c>
      <c r="C2293" s="46" t="s">
        <v>32</v>
      </c>
      <c r="D2293" s="46" t="s">
        <v>32</v>
      </c>
      <c r="E2293" s="46" t="s">
        <v>32</v>
      </c>
      <c r="F2293" s="47">
        <f>[1]!BexGetData("DP_2","DL719O2RYNC0Y217V0FVT1R77","17","M","15015041M101","2067385011")</f>
        <v>0</v>
      </c>
      <c r="G2293" s="48">
        <f>[1]!BexGetData("DP_2","DL719O2RYNEBZX0HTMQQ0BY0J","17","M","15015041M101","2067385011")</f>
        <v>0</v>
      </c>
      <c r="H2293" s="48">
        <f>[1]!BexGetData("DP_2","DL719O2RYNGN1RZRS91K7M4TV","17","M","15015041M101","2067385011")</f>
        <v>0</v>
      </c>
      <c r="I2293" s="48">
        <f>[1]!BexGetData("DP_2","DL719O2RYNIY3MZ1QVCEEWBN7","17","M","15015041M101","2067385011")</f>
        <v>0</v>
      </c>
    </row>
    <row r="2294" spans="1:9" x14ac:dyDescent="0.2">
      <c r="A2294" s="46" t="s">
        <v>32</v>
      </c>
      <c r="B2294" s="46" t="s">
        <v>32</v>
      </c>
      <c r="C2294" s="46" t="s">
        <v>32</v>
      </c>
      <c r="D2294" s="46" t="s">
        <v>32</v>
      </c>
      <c r="E2294" s="46" t="s">
        <v>32</v>
      </c>
      <c r="F2294" s="47">
        <f>[1]!BexGetData("DP_2","DL719O2RYNC0Y217V0FVT1R77","17","M","15015041M101","2067392011")</f>
        <v>5779</v>
      </c>
      <c r="G2294" s="48">
        <f>[1]!BexGetData("DP_2","DL719O2RYNEBZX0HTMQQ0BY0J","17","M","15015041M101","2067392011")</f>
        <v>5779</v>
      </c>
      <c r="H2294" s="48">
        <f>[1]!BexGetData("DP_2","DL719O2RYNGN1RZRS91K7M4TV","17","M","15015041M101","2067392011")</f>
        <v>4835</v>
      </c>
      <c r="I2294" s="48">
        <f>[1]!BexGetData("DP_2","DL719O2RYNIY3MZ1QVCEEWBN7","17","M","15015041M101","2067392011")</f>
        <v>0</v>
      </c>
    </row>
    <row r="2295" spans="1:9" x14ac:dyDescent="0.2">
      <c r="A2295" s="46" t="s">
        <v>32</v>
      </c>
      <c r="B2295" s="46" t="s">
        <v>32</v>
      </c>
      <c r="C2295" s="46" t="s">
        <v>32</v>
      </c>
      <c r="D2295" s="46" t="s">
        <v>32</v>
      </c>
      <c r="E2295" s="46" t="s">
        <v>32</v>
      </c>
      <c r="F2295" s="47">
        <f>[1]!BexGetData("DP_2","DL719O2RYNC0Y217V0FVT1R77","17","M","15015041M101","2067395011")</f>
        <v>13</v>
      </c>
      <c r="G2295" s="48">
        <f>[1]!BexGetData("DP_2","DL719O2RYNEBZX0HTMQQ0BY0J","17","M","15015041M101","2067395011")</f>
        <v>13</v>
      </c>
      <c r="H2295" s="48">
        <f>[1]!BexGetData("DP_2","DL719O2RYNGN1RZRS91K7M4TV","17","M","15015041M101","2067395011")</f>
        <v>13</v>
      </c>
      <c r="I2295" s="48">
        <f>[1]!BexGetData("DP_2","DL719O2RYNIY3MZ1QVCEEWBN7","17","M","15015041M101","2067395011")</f>
        <v>0</v>
      </c>
    </row>
    <row r="2296" spans="1:9" x14ac:dyDescent="0.2">
      <c r="A2296" s="46" t="s">
        <v>32</v>
      </c>
      <c r="B2296" s="46" t="s">
        <v>32</v>
      </c>
      <c r="C2296" s="46" t="s">
        <v>32</v>
      </c>
      <c r="D2296" s="46" t="s">
        <v>32</v>
      </c>
      <c r="E2296" s="46" t="s">
        <v>32</v>
      </c>
      <c r="F2296" s="47">
        <f>[1]!BexGetData("DP_2","DL719O2RYNC0Y217V0FVT1R77","17","M","15015041M101","2067399031")</f>
        <v>290</v>
      </c>
      <c r="G2296" s="48">
        <f>[1]!BexGetData("DP_2","DL719O2RYNEBZX0HTMQQ0BY0J","17","M","15015041M101","2067399031")</f>
        <v>290</v>
      </c>
      <c r="H2296" s="48">
        <f>[1]!BexGetData("DP_2","DL719O2RYNGN1RZRS91K7M4TV","17","M","15015041M101","2067399031")</f>
        <v>290</v>
      </c>
      <c r="I2296" s="48">
        <f>[1]!BexGetData("DP_2","DL719O2RYNIY3MZ1QVCEEWBN7","17","M","15015041M101","2067399031")</f>
        <v>0</v>
      </c>
    </row>
    <row r="2297" spans="1:9" x14ac:dyDescent="0.2">
      <c r="A2297" s="46" t="s">
        <v>32</v>
      </c>
      <c r="B2297" s="46" t="s">
        <v>32</v>
      </c>
      <c r="C2297" s="46" t="s">
        <v>32</v>
      </c>
      <c r="D2297" s="46" t="s">
        <v>32</v>
      </c>
      <c r="E2297" s="46" t="s">
        <v>32</v>
      </c>
      <c r="F2297" s="47">
        <f>[1]!BexGetData("DP_2","DL719O2RYNC0Y217V0FVT1R77","17","M","15015041M101","2067441011")</f>
        <v>459780.4</v>
      </c>
      <c r="G2297" s="48">
        <f>[1]!BexGetData("DP_2","DL719O2RYNEBZX0HTMQQ0BY0J","17","M","15015041M101","2067441011")</f>
        <v>459780.4</v>
      </c>
      <c r="H2297" s="48">
        <f>[1]!BexGetData("DP_2","DL719O2RYNGN1RZRS91K7M4TV","17","M","15015041M101","2067441011")</f>
        <v>459780.4</v>
      </c>
      <c r="I2297" s="48">
        <f>[1]!BexGetData("DP_2","DL719O2RYNIY3MZ1QVCEEWBN7","17","M","15015041M101","2067441011")</f>
        <v>0</v>
      </c>
    </row>
    <row r="2298" spans="1:9" x14ac:dyDescent="0.2">
      <c r="A2298" s="46" t="s">
        <v>32</v>
      </c>
      <c r="B2298" s="46" t="s">
        <v>32</v>
      </c>
      <c r="C2298" s="46" t="s">
        <v>32</v>
      </c>
      <c r="D2298" s="46" t="s">
        <v>32</v>
      </c>
      <c r="E2298" s="46" t="s">
        <v>32</v>
      </c>
      <c r="F2298" s="47">
        <f>[1]!BexGetData("DP_2","DL719O2RYNC0Y217V0FVT1R77","17","M","15015041M101","2067445011")</f>
        <v>64700.160000000003</v>
      </c>
      <c r="G2298" s="48">
        <f>[1]!BexGetData("DP_2","DL719O2RYNEBZX0HTMQQ0BY0J","17","M","15015041M101","2067445011")</f>
        <v>64700.160000000003</v>
      </c>
      <c r="H2298" s="48">
        <f>[1]!BexGetData("DP_2","DL719O2RYNGN1RZRS91K7M4TV","17","M","15015041M101","2067445011")</f>
        <v>64700.160000000003</v>
      </c>
      <c r="I2298" s="48">
        <f>[1]!BexGetData("DP_2","DL719O2RYNIY3MZ1QVCEEWBN7","17","M","15015041M101","2067445011")</f>
        <v>0</v>
      </c>
    </row>
    <row r="2299" spans="1:9" x14ac:dyDescent="0.2">
      <c r="A2299" s="46" t="s">
        <v>32</v>
      </c>
      <c r="B2299" s="46" t="s">
        <v>32</v>
      </c>
      <c r="C2299" s="46" t="s">
        <v>32</v>
      </c>
      <c r="D2299" s="46" t="s">
        <v>32</v>
      </c>
      <c r="E2299" s="46" t="s">
        <v>32</v>
      </c>
      <c r="F2299" s="47">
        <f>[1]!BexGetData("DP_2","DL719O2RYNC0Y217V0FVT1R77","17","M","15015041M101","2067445021")</f>
        <v>127805.6</v>
      </c>
      <c r="G2299" s="48">
        <f>[1]!BexGetData("DP_2","DL719O2RYNEBZX0HTMQQ0BY0J","17","M","15015041M101","2067445021")</f>
        <v>127805.6</v>
      </c>
      <c r="H2299" s="48">
        <f>[1]!BexGetData("DP_2","DL719O2RYNGN1RZRS91K7M4TV","17","M","15015041M101","2067445021")</f>
        <v>127805.6</v>
      </c>
      <c r="I2299" s="48">
        <f>[1]!BexGetData("DP_2","DL719O2RYNIY3MZ1QVCEEWBN7","17","M","15015041M101","2067445021")</f>
        <v>0</v>
      </c>
    </row>
    <row r="2300" spans="1:9" x14ac:dyDescent="0.2">
      <c r="A2300" s="46" t="s">
        <v>32</v>
      </c>
      <c r="B2300" s="46" t="s">
        <v>32</v>
      </c>
      <c r="C2300" s="46" t="s">
        <v>32</v>
      </c>
      <c r="D2300" s="46" t="s">
        <v>32</v>
      </c>
      <c r="E2300" s="46" t="s">
        <v>32</v>
      </c>
      <c r="F2300" s="47">
        <f>[1]!BexGetData("DP_2","DL719O2RYNC0Y217V0FVT1R77","17","M","15015041M101","2067445051")</f>
        <v>151676.91</v>
      </c>
      <c r="G2300" s="48">
        <f>[1]!BexGetData("DP_2","DL719O2RYNEBZX0HTMQQ0BY0J","17","M","15015041M101","2067445051")</f>
        <v>151676.91</v>
      </c>
      <c r="H2300" s="48">
        <f>[1]!BexGetData("DP_2","DL719O2RYNGN1RZRS91K7M4TV","17","M","15015041M101","2067445051")</f>
        <v>151676.91</v>
      </c>
      <c r="I2300" s="48">
        <f>[1]!BexGetData("DP_2","DL719O2RYNIY3MZ1QVCEEWBN7","17","M","15015041M101","2067445051")</f>
        <v>0</v>
      </c>
    </row>
    <row r="2301" spans="1:9" x14ac:dyDescent="0.2">
      <c r="A2301" s="46" t="s">
        <v>32</v>
      </c>
      <c r="B2301" s="46" t="s">
        <v>32</v>
      </c>
      <c r="C2301" s="46" t="s">
        <v>32</v>
      </c>
      <c r="D2301" s="46" t="s">
        <v>32</v>
      </c>
      <c r="E2301" s="46" t="s">
        <v>32</v>
      </c>
      <c r="F2301" s="47">
        <f>[1]!BexGetData("DP_2","DL719O2RYNC0Y217V0FVT1R77","17","M","15015041M101","2067492011")</f>
        <v>462702.85</v>
      </c>
      <c r="G2301" s="48">
        <f>[1]!BexGetData("DP_2","DL719O2RYNEBZX0HTMQQ0BY0J","17","M","15015041M101","2067492011")</f>
        <v>462702.85</v>
      </c>
      <c r="H2301" s="48">
        <f>[1]!BexGetData("DP_2","DL719O2RYNGN1RZRS91K7M4TV","17","M","15015041M101","2067492011")</f>
        <v>462702.85</v>
      </c>
      <c r="I2301" s="48">
        <f>[1]!BexGetData("DP_2","DL719O2RYNIY3MZ1QVCEEWBN7","17","M","15015041M101","2067492011")</f>
        <v>0</v>
      </c>
    </row>
    <row r="2302" spans="1:9" x14ac:dyDescent="0.2">
      <c r="A2302" s="46" t="s">
        <v>32</v>
      </c>
      <c r="B2302" s="46" t="s">
        <v>32</v>
      </c>
      <c r="C2302" s="46" t="s">
        <v>32</v>
      </c>
      <c r="D2302" s="46" t="s">
        <v>32</v>
      </c>
      <c r="E2302" s="46" t="s">
        <v>32</v>
      </c>
      <c r="F2302" s="47">
        <f>[1]!BexGetData("DP_2","DL719O2RYNC0Y217V0FVT1R77","17","M","15015041M101","2067511012")</f>
        <v>5831.99</v>
      </c>
      <c r="G2302" s="48">
        <f>[1]!BexGetData("DP_2","DL719O2RYNEBZX0HTMQQ0BY0J","17","M","15015041M101","2067511012")</f>
        <v>5831.99</v>
      </c>
      <c r="H2302" s="48">
        <f>[1]!BexGetData("DP_2","DL719O2RYNGN1RZRS91K7M4TV","17","M","15015041M101","2067511012")</f>
        <v>0</v>
      </c>
      <c r="I2302" s="48">
        <f>[1]!BexGetData("DP_2","DL719O2RYNIY3MZ1QVCEEWBN7","17","M","15015041M101","2067511012")</f>
        <v>0</v>
      </c>
    </row>
    <row r="2303" spans="1:9" x14ac:dyDescent="0.2">
      <c r="A2303" s="46" t="s">
        <v>32</v>
      </c>
      <c r="B2303" s="46" t="s">
        <v>32</v>
      </c>
      <c r="C2303" s="46" t="s">
        <v>32</v>
      </c>
      <c r="D2303" s="46" t="s">
        <v>32</v>
      </c>
      <c r="E2303" s="46" t="s">
        <v>32</v>
      </c>
      <c r="F2303" s="47">
        <f>[1]!BexGetData("DP_2","DL719O2RYNC0Y217V0FVT1R77","17","M","15015041M101","2067515012")</f>
        <v>43395.12</v>
      </c>
      <c r="G2303" s="48">
        <f>[1]!BexGetData("DP_2","DL719O2RYNEBZX0HTMQQ0BY0J","17","M","15015041M101","2067515012")</f>
        <v>43395.12</v>
      </c>
      <c r="H2303" s="48">
        <f>[1]!BexGetData("DP_2","DL719O2RYNGN1RZRS91K7M4TV","17","M","15015041M101","2067515012")</f>
        <v>43395.12</v>
      </c>
      <c r="I2303" s="48">
        <f>[1]!BexGetData("DP_2","DL719O2RYNIY3MZ1QVCEEWBN7","17","M","15015041M101","2067515012")</f>
        <v>0</v>
      </c>
    </row>
    <row r="2304" spans="1:9" x14ac:dyDescent="0.2">
      <c r="A2304" s="46" t="s">
        <v>32</v>
      </c>
      <c r="B2304" s="46" t="s">
        <v>32</v>
      </c>
      <c r="C2304" s="46" t="s">
        <v>32</v>
      </c>
      <c r="D2304" s="46" t="s">
        <v>32</v>
      </c>
      <c r="E2304" s="46" t="s">
        <v>32</v>
      </c>
      <c r="F2304" s="47">
        <f>[1]!BexGetData("DP_2","DL719O2RYNC0Y217V0FVT1R77","17","M","15015041M101","2067519012")</f>
        <v>8700</v>
      </c>
      <c r="G2304" s="48">
        <f>[1]!BexGetData("DP_2","DL719O2RYNEBZX0HTMQQ0BY0J","17","M","15015041M101","2067519012")</f>
        <v>8700</v>
      </c>
      <c r="H2304" s="48">
        <f>[1]!BexGetData("DP_2","DL719O2RYNGN1RZRS91K7M4TV","17","M","15015041M101","2067519012")</f>
        <v>8700</v>
      </c>
      <c r="I2304" s="48">
        <f>[1]!BexGetData("DP_2","DL719O2RYNIY3MZ1QVCEEWBN7","17","M","15015041M101","2067519012")</f>
        <v>0</v>
      </c>
    </row>
    <row r="2305" spans="1:9" x14ac:dyDescent="0.2">
      <c r="A2305" s="46" t="s">
        <v>32</v>
      </c>
      <c r="B2305" s="46" t="s">
        <v>32</v>
      </c>
      <c r="C2305" s="46" t="s">
        <v>32</v>
      </c>
      <c r="D2305" s="46" t="s">
        <v>32</v>
      </c>
      <c r="E2305" s="46" t="s">
        <v>32</v>
      </c>
      <c r="F2305" s="47">
        <f>[1]!BexGetData("DP_2","DL719O2RYNC0Y217V0FVT1R77","17","M","15015041M101","2067564012")</f>
        <v>24400</v>
      </c>
      <c r="G2305" s="48">
        <f>[1]!BexGetData("DP_2","DL719O2RYNEBZX0HTMQQ0BY0J","17","M","15015041M101","2067564012")</f>
        <v>24400</v>
      </c>
      <c r="H2305" s="48">
        <f>[1]!BexGetData("DP_2","DL719O2RYNGN1RZRS91K7M4TV","17","M","15015041M101","2067564012")</f>
        <v>24400</v>
      </c>
      <c r="I2305" s="48">
        <f>[1]!BexGetData("DP_2","DL719O2RYNIY3MZ1QVCEEWBN7","17","M","15015041M101","2067564012")</f>
        <v>0</v>
      </c>
    </row>
    <row r="2306" spans="1:9" x14ac:dyDescent="0.2">
      <c r="A2306" s="46" t="s">
        <v>32</v>
      </c>
      <c r="B2306" s="46" t="s">
        <v>32</v>
      </c>
      <c r="C2306" s="46" t="s">
        <v>32</v>
      </c>
      <c r="D2306" s="46" t="s">
        <v>32</v>
      </c>
      <c r="E2306" s="46" t="s">
        <v>32</v>
      </c>
      <c r="F2306" s="47">
        <f>[1]!BexGetData("DP_2","DL719O2RYNC0Y217V0FVT1R77","17","M","15015041M101","2067911013")</f>
        <v>26252183</v>
      </c>
      <c r="G2306" s="48">
        <f>[1]!BexGetData("DP_2","DL719O2RYNEBZX0HTMQQ0BY0J","17","M","15015041M101","2067911013")</f>
        <v>26252183</v>
      </c>
      <c r="H2306" s="48">
        <f>[1]!BexGetData("DP_2","DL719O2RYNGN1RZRS91K7M4TV","17","M","15015041M101","2067911013")</f>
        <v>26252183</v>
      </c>
      <c r="I2306" s="48">
        <f>[1]!BexGetData("DP_2","DL719O2RYNIY3MZ1QVCEEWBN7","17","M","15015041M101","2067911013")</f>
        <v>0</v>
      </c>
    </row>
    <row r="2307" spans="1:9" x14ac:dyDescent="0.2">
      <c r="A2307" s="46" t="s">
        <v>32</v>
      </c>
      <c r="B2307" s="46" t="s">
        <v>32</v>
      </c>
      <c r="C2307" s="46" t="s">
        <v>137</v>
      </c>
      <c r="D2307" s="46" t="s">
        <v>137</v>
      </c>
      <c r="E2307" s="46" t="s">
        <v>32</v>
      </c>
      <c r="F2307" s="47">
        <f>[1]!BexGetData("DP_2","DL719O2RYNC0Y217V0FVT1R77","17","M","15025022M101","2067113011")</f>
        <v>104269.61</v>
      </c>
      <c r="G2307" s="48">
        <f>[1]!BexGetData("DP_2","DL719O2RYNEBZX0HTMQQ0BY0J","17","M","15025022M101","2067113011")</f>
        <v>104269.61</v>
      </c>
      <c r="H2307" s="48">
        <f>[1]!BexGetData("DP_2","DL719O2RYNGN1RZRS91K7M4TV","17","M","15025022M101","2067113011")</f>
        <v>104269.61</v>
      </c>
      <c r="I2307" s="48">
        <f>[1]!BexGetData("DP_2","DL719O2RYNIY3MZ1QVCEEWBN7","17","M","15025022M101","2067113011")</f>
        <v>1.3300000000000001E-7</v>
      </c>
    </row>
    <row r="2308" spans="1:9" x14ac:dyDescent="0.2">
      <c r="A2308" s="46" t="s">
        <v>32</v>
      </c>
      <c r="B2308" s="46" t="s">
        <v>32</v>
      </c>
      <c r="C2308" s="46" t="s">
        <v>32</v>
      </c>
      <c r="D2308" s="46" t="s">
        <v>32</v>
      </c>
      <c r="E2308" s="46" t="s">
        <v>32</v>
      </c>
      <c r="F2308" s="47">
        <f>[1]!BexGetData("DP_2","DL719O2RYNC0Y217V0FVT1R77","17","M","15025022M101","2067113021")</f>
        <v>1145486.5900000001</v>
      </c>
      <c r="G2308" s="48">
        <f>[1]!BexGetData("DP_2","DL719O2RYNEBZX0HTMQQ0BY0J","17","M","15025022M101","2067113021")</f>
        <v>1145486.5900000001</v>
      </c>
      <c r="H2308" s="48">
        <f>[1]!BexGetData("DP_2","DL719O2RYNGN1RZRS91K7M4TV","17","M","15025022M101","2067113021")</f>
        <v>1145486.5900000001</v>
      </c>
      <c r="I2308" s="48">
        <f>[1]!BexGetData("DP_2","DL719O2RYNIY3MZ1QVCEEWBN7","17","M","15025022M101","2067113021")</f>
        <v>-4.0000000000000002E-9</v>
      </c>
    </row>
    <row r="2309" spans="1:9" x14ac:dyDescent="0.2">
      <c r="A2309" s="46" t="s">
        <v>32</v>
      </c>
      <c r="B2309" s="46" t="s">
        <v>32</v>
      </c>
      <c r="C2309" s="46" t="s">
        <v>32</v>
      </c>
      <c r="D2309" s="46" t="s">
        <v>32</v>
      </c>
      <c r="E2309" s="46" t="s">
        <v>32</v>
      </c>
      <c r="F2309" s="47">
        <f>[1]!BexGetData("DP_2","DL719O2RYNC0Y217V0FVT1R77","17","M","15025022M101","2067121011")</f>
        <v>494642.24</v>
      </c>
      <c r="G2309" s="48">
        <f>[1]!BexGetData("DP_2","DL719O2RYNEBZX0HTMQQ0BY0J","17","M","15025022M101","2067121011")</f>
        <v>494642.24</v>
      </c>
      <c r="H2309" s="48">
        <f>[1]!BexGetData("DP_2","DL719O2RYNGN1RZRS91K7M4TV","17","M","15025022M101","2067121011")</f>
        <v>451210.26</v>
      </c>
      <c r="I2309" s="48">
        <f>[1]!BexGetData("DP_2","DL719O2RYNIY3MZ1QVCEEWBN7","17","M","15025022M101","2067121011")</f>
        <v>0</v>
      </c>
    </row>
    <row r="2310" spans="1:9" x14ac:dyDescent="0.2">
      <c r="A2310" s="46" t="s">
        <v>32</v>
      </c>
      <c r="B2310" s="46" t="s">
        <v>32</v>
      </c>
      <c r="C2310" s="46" t="s">
        <v>32</v>
      </c>
      <c r="D2310" s="46" t="s">
        <v>32</v>
      </c>
      <c r="E2310" s="46" t="s">
        <v>32</v>
      </c>
      <c r="F2310" s="47">
        <f>[1]!BexGetData("DP_2","DL719O2RYNC0Y217V0FVT1R77","17","M","15025022M101","2067122011")</f>
        <v>711099.32</v>
      </c>
      <c r="G2310" s="48">
        <f>[1]!BexGetData("DP_2","DL719O2RYNEBZX0HTMQQ0BY0J","17","M","15025022M101","2067122011")</f>
        <v>711099.32</v>
      </c>
      <c r="H2310" s="48">
        <f>[1]!BexGetData("DP_2","DL719O2RYNGN1RZRS91K7M4TV","17","M","15025022M101","2067122011")</f>
        <v>711099.32</v>
      </c>
      <c r="I2310" s="48">
        <f>[1]!BexGetData("DP_2","DL719O2RYNIY3MZ1QVCEEWBN7","17","M","15025022M101","2067122011")</f>
        <v>0</v>
      </c>
    </row>
    <row r="2311" spans="1:9" x14ac:dyDescent="0.2">
      <c r="A2311" s="46" t="s">
        <v>32</v>
      </c>
      <c r="B2311" s="46" t="s">
        <v>32</v>
      </c>
      <c r="C2311" s="46" t="s">
        <v>32</v>
      </c>
      <c r="D2311" s="46" t="s">
        <v>32</v>
      </c>
      <c r="E2311" s="46" t="s">
        <v>32</v>
      </c>
      <c r="F2311" s="47">
        <f>[1]!BexGetData("DP_2","DL719O2RYNC0Y217V0FVT1R77","17","M","15025022M101","2067131011")</f>
        <v>3174.2</v>
      </c>
      <c r="G2311" s="48">
        <f>[1]!BexGetData("DP_2","DL719O2RYNEBZX0HTMQQ0BY0J","17","M","15025022M101","2067131011")</f>
        <v>3174.2</v>
      </c>
      <c r="H2311" s="48">
        <f>[1]!BexGetData("DP_2","DL719O2RYNGN1RZRS91K7M4TV","17","M","15025022M101","2067131011")</f>
        <v>3174.2</v>
      </c>
      <c r="I2311" s="48">
        <f>[1]!BexGetData("DP_2","DL719O2RYNIY3MZ1QVCEEWBN7","17","M","15025022M101","2067131011")</f>
        <v>0</v>
      </c>
    </row>
    <row r="2312" spans="1:9" x14ac:dyDescent="0.2">
      <c r="A2312" s="46" t="s">
        <v>32</v>
      </c>
      <c r="B2312" s="46" t="s">
        <v>32</v>
      </c>
      <c r="C2312" s="46" t="s">
        <v>32</v>
      </c>
      <c r="D2312" s="46" t="s">
        <v>32</v>
      </c>
      <c r="E2312" s="46" t="s">
        <v>32</v>
      </c>
      <c r="F2312" s="47">
        <f>[1]!BexGetData("DP_2","DL719O2RYNC0Y217V0FVT1R77","17","M","15025022M101","2067131021")</f>
        <v>62644.74</v>
      </c>
      <c r="G2312" s="48">
        <f>[1]!BexGetData("DP_2","DL719O2RYNEBZX0HTMQQ0BY0J","17","M","15025022M101","2067131021")</f>
        <v>62644.74</v>
      </c>
      <c r="H2312" s="48">
        <f>[1]!BexGetData("DP_2","DL719O2RYNGN1RZRS91K7M4TV","17","M","15025022M101","2067131021")</f>
        <v>62644.74</v>
      </c>
      <c r="I2312" s="48">
        <f>[1]!BexGetData("DP_2","DL719O2RYNIY3MZ1QVCEEWBN7","17","M","15025022M101","2067131021")</f>
        <v>0</v>
      </c>
    </row>
    <row r="2313" spans="1:9" x14ac:dyDescent="0.2">
      <c r="A2313" s="46" t="s">
        <v>32</v>
      </c>
      <c r="B2313" s="46" t="s">
        <v>32</v>
      </c>
      <c r="C2313" s="46" t="s">
        <v>32</v>
      </c>
      <c r="D2313" s="46" t="s">
        <v>32</v>
      </c>
      <c r="E2313" s="46" t="s">
        <v>32</v>
      </c>
      <c r="F2313" s="47">
        <f>[1]!BexGetData("DP_2","DL719O2RYNC0Y217V0FVT1R77","17","M","15025022M101","2067132011")</f>
        <v>48746.37</v>
      </c>
      <c r="G2313" s="48">
        <f>[1]!BexGetData("DP_2","DL719O2RYNEBZX0HTMQQ0BY0J","17","M","15025022M101","2067132011")</f>
        <v>48746.37</v>
      </c>
      <c r="H2313" s="48">
        <f>[1]!BexGetData("DP_2","DL719O2RYNGN1RZRS91K7M4TV","17","M","15025022M101","2067132011")</f>
        <v>48746.37</v>
      </c>
      <c r="I2313" s="48">
        <f>[1]!BexGetData("DP_2","DL719O2RYNIY3MZ1QVCEEWBN7","17","M","15025022M101","2067132011")</f>
        <v>0</v>
      </c>
    </row>
    <row r="2314" spans="1:9" x14ac:dyDescent="0.2">
      <c r="A2314" s="46" t="s">
        <v>32</v>
      </c>
      <c r="B2314" s="46" t="s">
        <v>32</v>
      </c>
      <c r="C2314" s="46" t="s">
        <v>32</v>
      </c>
      <c r="D2314" s="46" t="s">
        <v>32</v>
      </c>
      <c r="E2314" s="46" t="s">
        <v>32</v>
      </c>
      <c r="F2314" s="47">
        <f>[1]!BexGetData("DP_2","DL719O2RYNC0Y217V0FVT1R77","17","M","15025022M101","2067132021")</f>
        <v>275401.28999999998</v>
      </c>
      <c r="G2314" s="48">
        <f>[1]!BexGetData("DP_2","DL719O2RYNEBZX0HTMQQ0BY0J","17","M","15025022M101","2067132021")</f>
        <v>275401.28999999998</v>
      </c>
      <c r="H2314" s="48">
        <f>[1]!BexGetData("DP_2","DL719O2RYNGN1RZRS91K7M4TV","17","M","15025022M101","2067132021")</f>
        <v>275401.28999999998</v>
      </c>
      <c r="I2314" s="48">
        <f>[1]!BexGetData("DP_2","DL719O2RYNIY3MZ1QVCEEWBN7","17","M","15025022M101","2067132021")</f>
        <v>0</v>
      </c>
    </row>
    <row r="2315" spans="1:9" x14ac:dyDescent="0.2">
      <c r="A2315" s="46" t="s">
        <v>32</v>
      </c>
      <c r="B2315" s="46" t="s">
        <v>32</v>
      </c>
      <c r="C2315" s="46" t="s">
        <v>32</v>
      </c>
      <c r="D2315" s="46" t="s">
        <v>32</v>
      </c>
      <c r="E2315" s="46" t="s">
        <v>32</v>
      </c>
      <c r="F2315" s="47">
        <f>[1]!BexGetData("DP_2","DL719O2RYNC0Y217V0FVT1R77","17","M","15025022M101","2067134011")</f>
        <v>1022917</v>
      </c>
      <c r="G2315" s="48">
        <f>[1]!BexGetData("DP_2","DL719O2RYNEBZX0HTMQQ0BY0J","17","M","15025022M101","2067134011")</f>
        <v>1022917</v>
      </c>
      <c r="H2315" s="48">
        <f>[1]!BexGetData("DP_2","DL719O2RYNGN1RZRS91K7M4TV","17","M","15025022M101","2067134011")</f>
        <v>998647.8</v>
      </c>
      <c r="I2315" s="48">
        <f>[1]!BexGetData("DP_2","DL719O2RYNIY3MZ1QVCEEWBN7","17","M","15025022M101","2067134011")</f>
        <v>0</v>
      </c>
    </row>
    <row r="2316" spans="1:9" x14ac:dyDescent="0.2">
      <c r="A2316" s="46" t="s">
        <v>32</v>
      </c>
      <c r="B2316" s="46" t="s">
        <v>32</v>
      </c>
      <c r="C2316" s="46" t="s">
        <v>32</v>
      </c>
      <c r="D2316" s="46" t="s">
        <v>32</v>
      </c>
      <c r="E2316" s="46" t="s">
        <v>32</v>
      </c>
      <c r="F2316" s="47">
        <f>[1]!BexGetData("DP_2","DL719O2RYNC0Y217V0FVT1R77","17","M","15025022M101","2067134021")</f>
        <v>1024149.34</v>
      </c>
      <c r="G2316" s="48">
        <f>[1]!BexGetData("DP_2","DL719O2RYNEBZX0HTMQQ0BY0J","17","M","15025022M101","2067134021")</f>
        <v>1024149.34</v>
      </c>
      <c r="H2316" s="48">
        <f>[1]!BexGetData("DP_2","DL719O2RYNGN1RZRS91K7M4TV","17","M","15025022M101","2067134021")</f>
        <v>1024149.34</v>
      </c>
      <c r="I2316" s="48">
        <f>[1]!BexGetData("DP_2","DL719O2RYNIY3MZ1QVCEEWBN7","17","M","15025022M101","2067134021")</f>
        <v>0</v>
      </c>
    </row>
    <row r="2317" spans="1:9" x14ac:dyDescent="0.2">
      <c r="A2317" s="46" t="s">
        <v>32</v>
      </c>
      <c r="B2317" s="46" t="s">
        <v>32</v>
      </c>
      <c r="C2317" s="46" t="s">
        <v>32</v>
      </c>
      <c r="D2317" s="46" t="s">
        <v>32</v>
      </c>
      <c r="E2317" s="46" t="s">
        <v>32</v>
      </c>
      <c r="F2317" s="47">
        <f>[1]!BexGetData("DP_2","DL719O2RYNC0Y217V0FVT1R77","17","M","15025022M101","2067141011")</f>
        <v>327577.53999999998</v>
      </c>
      <c r="G2317" s="48">
        <f>[1]!BexGetData("DP_2","DL719O2RYNEBZX0HTMQQ0BY0J","17","M","15025022M101","2067141011")</f>
        <v>327577.53999999998</v>
      </c>
      <c r="H2317" s="48">
        <f>[1]!BexGetData("DP_2","DL719O2RYNGN1RZRS91K7M4TV","17","M","15025022M101","2067141011")</f>
        <v>327577.53999999998</v>
      </c>
      <c r="I2317" s="48">
        <f>[1]!BexGetData("DP_2","DL719O2RYNIY3MZ1QVCEEWBN7","17","M","15025022M101","2067141011")</f>
        <v>0</v>
      </c>
    </row>
    <row r="2318" spans="1:9" x14ac:dyDescent="0.2">
      <c r="A2318" s="46" t="s">
        <v>32</v>
      </c>
      <c r="B2318" s="46" t="s">
        <v>32</v>
      </c>
      <c r="C2318" s="46" t="s">
        <v>32</v>
      </c>
      <c r="D2318" s="46" t="s">
        <v>32</v>
      </c>
      <c r="E2318" s="46" t="s">
        <v>32</v>
      </c>
      <c r="F2318" s="47">
        <f>[1]!BexGetData("DP_2","DL719O2RYNC0Y217V0FVT1R77","17","M","15025022M101","2067141021")</f>
        <v>104157.35</v>
      </c>
      <c r="G2318" s="48">
        <f>[1]!BexGetData("DP_2","DL719O2RYNEBZX0HTMQQ0BY0J","17","M","15025022M101","2067141021")</f>
        <v>104157.35</v>
      </c>
      <c r="H2318" s="48">
        <f>[1]!BexGetData("DP_2","DL719O2RYNGN1RZRS91K7M4TV","17","M","15025022M101","2067141021")</f>
        <v>104157.35</v>
      </c>
      <c r="I2318" s="48">
        <f>[1]!BexGetData("DP_2","DL719O2RYNIY3MZ1QVCEEWBN7","17","M","15025022M101","2067141021")</f>
        <v>0</v>
      </c>
    </row>
    <row r="2319" spans="1:9" x14ac:dyDescent="0.2">
      <c r="A2319" s="46" t="s">
        <v>32</v>
      </c>
      <c r="B2319" s="46" t="s">
        <v>32</v>
      </c>
      <c r="C2319" s="46" t="s">
        <v>32</v>
      </c>
      <c r="D2319" s="46" t="s">
        <v>32</v>
      </c>
      <c r="E2319" s="46" t="s">
        <v>32</v>
      </c>
      <c r="F2319" s="47">
        <f>[1]!BexGetData("DP_2","DL719O2RYNC0Y217V0FVT1R77","17","M","15025022M101","2067143011")</f>
        <v>49250.97</v>
      </c>
      <c r="G2319" s="48">
        <f>[1]!BexGetData("DP_2","DL719O2RYNEBZX0HTMQQ0BY0J","17","M","15025022M101","2067143011")</f>
        <v>49250.97</v>
      </c>
      <c r="H2319" s="48">
        <f>[1]!BexGetData("DP_2","DL719O2RYNGN1RZRS91K7M4TV","17","M","15025022M101","2067143011")</f>
        <v>49250.97</v>
      </c>
      <c r="I2319" s="48">
        <f>[1]!BexGetData("DP_2","DL719O2RYNIY3MZ1QVCEEWBN7","17","M","15025022M101","2067143011")</f>
        <v>0</v>
      </c>
    </row>
    <row r="2320" spans="1:9" x14ac:dyDescent="0.2">
      <c r="A2320" s="46" t="s">
        <v>32</v>
      </c>
      <c r="B2320" s="46" t="s">
        <v>32</v>
      </c>
      <c r="C2320" s="46" t="s">
        <v>32</v>
      </c>
      <c r="D2320" s="46" t="s">
        <v>32</v>
      </c>
      <c r="E2320" s="46" t="s">
        <v>32</v>
      </c>
      <c r="F2320" s="47">
        <f>[1]!BexGetData("DP_2","DL719O2RYNC0Y217V0FVT1R77","17","M","15025022M101","2067151011")</f>
        <v>150193.20000000001</v>
      </c>
      <c r="G2320" s="48">
        <f>[1]!BexGetData("DP_2","DL719O2RYNEBZX0HTMQQ0BY0J","17","M","15025022M101","2067151011")</f>
        <v>150193.20000000001</v>
      </c>
      <c r="H2320" s="48">
        <f>[1]!BexGetData("DP_2","DL719O2RYNGN1RZRS91K7M4TV","17","M","15025022M101","2067151011")</f>
        <v>150193.20000000001</v>
      </c>
      <c r="I2320" s="48">
        <f>[1]!BexGetData("DP_2","DL719O2RYNIY3MZ1QVCEEWBN7","17","M","15025022M101","2067151011")</f>
        <v>0</v>
      </c>
    </row>
    <row r="2321" spans="1:9" x14ac:dyDescent="0.2">
      <c r="A2321" s="46" t="s">
        <v>32</v>
      </c>
      <c r="B2321" s="46" t="s">
        <v>32</v>
      </c>
      <c r="C2321" s="46" t="s">
        <v>32</v>
      </c>
      <c r="D2321" s="46" t="s">
        <v>32</v>
      </c>
      <c r="E2321" s="46" t="s">
        <v>32</v>
      </c>
      <c r="F2321" s="47">
        <f>[1]!BexGetData("DP_2","DL719O2RYNC0Y217V0FVT1R77","17","M","15025022M101","2067154011")</f>
        <v>394455.86</v>
      </c>
      <c r="G2321" s="48">
        <f>[1]!BexGetData("DP_2","DL719O2RYNEBZX0HTMQQ0BY0J","17","M","15025022M101","2067154011")</f>
        <v>394455.86</v>
      </c>
      <c r="H2321" s="48">
        <f>[1]!BexGetData("DP_2","DL719O2RYNGN1RZRS91K7M4TV","17","M","15025022M101","2067154011")</f>
        <v>394455.86</v>
      </c>
      <c r="I2321" s="48">
        <f>[1]!BexGetData("DP_2","DL719O2RYNIY3MZ1QVCEEWBN7","17","M","15025022M101","2067154011")</f>
        <v>0</v>
      </c>
    </row>
    <row r="2322" spans="1:9" x14ac:dyDescent="0.2">
      <c r="A2322" s="46" t="s">
        <v>32</v>
      </c>
      <c r="B2322" s="46" t="s">
        <v>32</v>
      </c>
      <c r="C2322" s="46" t="s">
        <v>32</v>
      </c>
      <c r="D2322" s="46" t="s">
        <v>32</v>
      </c>
      <c r="E2322" s="46" t="s">
        <v>32</v>
      </c>
      <c r="F2322" s="47">
        <f>[1]!BexGetData("DP_2","DL719O2RYNC0Y217V0FVT1R77","17","M","15025022M101","2067211011")</f>
        <v>44606.080000000002</v>
      </c>
      <c r="G2322" s="48">
        <f>[1]!BexGetData("DP_2","DL719O2RYNEBZX0HTMQQ0BY0J","17","M","15025022M101","2067211011")</f>
        <v>44606.080000000002</v>
      </c>
      <c r="H2322" s="48">
        <f>[1]!BexGetData("DP_2","DL719O2RYNGN1RZRS91K7M4TV","17","M","15025022M101","2067211011")</f>
        <v>44606.080000000002</v>
      </c>
      <c r="I2322" s="48">
        <f>[1]!BexGetData("DP_2","DL719O2RYNIY3MZ1QVCEEWBN7","17","M","15025022M101","2067211011")</f>
        <v>0</v>
      </c>
    </row>
    <row r="2323" spans="1:9" x14ac:dyDescent="0.2">
      <c r="A2323" s="46" t="s">
        <v>32</v>
      </c>
      <c r="B2323" s="46" t="s">
        <v>32</v>
      </c>
      <c r="C2323" s="46" t="s">
        <v>32</v>
      </c>
      <c r="D2323" s="46" t="s">
        <v>32</v>
      </c>
      <c r="E2323" s="46" t="s">
        <v>32</v>
      </c>
      <c r="F2323" s="47">
        <f>[1]!BexGetData("DP_2","DL719O2RYNC0Y217V0FVT1R77","17","M","15025022M101","2067211021")</f>
        <v>25368.85</v>
      </c>
      <c r="G2323" s="48">
        <f>[1]!BexGetData("DP_2","DL719O2RYNEBZX0HTMQQ0BY0J","17","M","15025022M101","2067211021")</f>
        <v>25368.85</v>
      </c>
      <c r="H2323" s="48">
        <f>[1]!BexGetData("DP_2","DL719O2RYNGN1RZRS91K7M4TV","17","M","15025022M101","2067211021")</f>
        <v>25368.85</v>
      </c>
      <c r="I2323" s="48">
        <f>[1]!BexGetData("DP_2","DL719O2RYNIY3MZ1QVCEEWBN7","17","M","15025022M101","2067211021")</f>
        <v>0</v>
      </c>
    </row>
    <row r="2324" spans="1:9" x14ac:dyDescent="0.2">
      <c r="A2324" s="46" t="s">
        <v>32</v>
      </c>
      <c r="B2324" s="46" t="s">
        <v>32</v>
      </c>
      <c r="C2324" s="46" t="s">
        <v>32</v>
      </c>
      <c r="D2324" s="46" t="s">
        <v>32</v>
      </c>
      <c r="E2324" s="46" t="s">
        <v>32</v>
      </c>
      <c r="F2324" s="47">
        <f>[1]!BexGetData("DP_2","DL719O2RYNC0Y217V0FVT1R77","17","M","15025022M101","2067212021")</f>
        <v>0</v>
      </c>
      <c r="G2324" s="48">
        <f>[1]!BexGetData("DP_2","DL719O2RYNEBZX0HTMQQ0BY0J","17","M","15025022M101","2067212021")</f>
        <v>0</v>
      </c>
      <c r="H2324" s="48">
        <f>[1]!BexGetData("DP_2","DL719O2RYNGN1RZRS91K7M4TV","17","M","15025022M101","2067212021")</f>
        <v>0</v>
      </c>
      <c r="I2324" s="48">
        <f>[1]!BexGetData("DP_2","DL719O2RYNIY3MZ1QVCEEWBN7","17","M","15025022M101","2067212021")</f>
        <v>0</v>
      </c>
    </row>
    <row r="2325" spans="1:9" x14ac:dyDescent="0.2">
      <c r="A2325" s="46" t="s">
        <v>32</v>
      </c>
      <c r="B2325" s="46" t="s">
        <v>32</v>
      </c>
      <c r="C2325" s="46" t="s">
        <v>32</v>
      </c>
      <c r="D2325" s="46" t="s">
        <v>32</v>
      </c>
      <c r="E2325" s="46" t="s">
        <v>32</v>
      </c>
      <c r="F2325" s="47">
        <f>[1]!BexGetData("DP_2","DL719O2RYNC0Y217V0FVT1R77","17","M","15025022M101","2067214011")</f>
        <v>80663.850000000006</v>
      </c>
      <c r="G2325" s="48">
        <f>[1]!BexGetData("DP_2","DL719O2RYNEBZX0HTMQQ0BY0J","17","M","15025022M101","2067214011")</f>
        <v>80663.850000000006</v>
      </c>
      <c r="H2325" s="48">
        <f>[1]!BexGetData("DP_2","DL719O2RYNGN1RZRS91K7M4TV","17","M","15025022M101","2067214011")</f>
        <v>80663.850000000006</v>
      </c>
      <c r="I2325" s="48">
        <f>[1]!BexGetData("DP_2","DL719O2RYNIY3MZ1QVCEEWBN7","17","M","15025022M101","2067214011")</f>
        <v>0</v>
      </c>
    </row>
    <row r="2326" spans="1:9" x14ac:dyDescent="0.2">
      <c r="A2326" s="46" t="s">
        <v>32</v>
      </c>
      <c r="B2326" s="46" t="s">
        <v>32</v>
      </c>
      <c r="C2326" s="46" t="s">
        <v>32</v>
      </c>
      <c r="D2326" s="46" t="s">
        <v>32</v>
      </c>
      <c r="E2326" s="46" t="s">
        <v>32</v>
      </c>
      <c r="F2326" s="47">
        <f>[1]!BexGetData("DP_2","DL719O2RYNC0Y217V0FVT1R77","17","M","15025022M101","2067214031")</f>
        <v>2298</v>
      </c>
      <c r="G2326" s="48">
        <f>[1]!BexGetData("DP_2","DL719O2RYNEBZX0HTMQQ0BY0J","17","M","15025022M101","2067214031")</f>
        <v>2298</v>
      </c>
      <c r="H2326" s="48">
        <f>[1]!BexGetData("DP_2","DL719O2RYNGN1RZRS91K7M4TV","17","M","15025022M101","2067214031")</f>
        <v>2298</v>
      </c>
      <c r="I2326" s="48">
        <f>[1]!BexGetData("DP_2","DL719O2RYNIY3MZ1QVCEEWBN7","17","M","15025022M101","2067214031")</f>
        <v>0</v>
      </c>
    </row>
    <row r="2327" spans="1:9" x14ac:dyDescent="0.2">
      <c r="A2327" s="46" t="s">
        <v>32</v>
      </c>
      <c r="B2327" s="46" t="s">
        <v>32</v>
      </c>
      <c r="C2327" s="46" t="s">
        <v>32</v>
      </c>
      <c r="D2327" s="46" t="s">
        <v>32</v>
      </c>
      <c r="E2327" s="46" t="s">
        <v>32</v>
      </c>
      <c r="F2327" s="47">
        <f>[1]!BexGetData("DP_2","DL719O2RYNC0Y217V0FVT1R77","17","M","15025022M101","2067216011")</f>
        <v>63018.98</v>
      </c>
      <c r="G2327" s="48">
        <f>[1]!BexGetData("DP_2","DL719O2RYNEBZX0HTMQQ0BY0J","17","M","15025022M101","2067216011")</f>
        <v>63018.98</v>
      </c>
      <c r="H2327" s="48">
        <f>[1]!BexGetData("DP_2","DL719O2RYNGN1RZRS91K7M4TV","17","M","15025022M101","2067216011")</f>
        <v>59181.55</v>
      </c>
      <c r="I2327" s="48">
        <f>[1]!BexGetData("DP_2","DL719O2RYNIY3MZ1QVCEEWBN7","17","M","15025022M101","2067216011")</f>
        <v>0</v>
      </c>
    </row>
    <row r="2328" spans="1:9" x14ac:dyDescent="0.2">
      <c r="A2328" s="46" t="s">
        <v>32</v>
      </c>
      <c r="B2328" s="46" t="s">
        <v>32</v>
      </c>
      <c r="C2328" s="46" t="s">
        <v>32</v>
      </c>
      <c r="D2328" s="46" t="s">
        <v>32</v>
      </c>
      <c r="E2328" s="46" t="s">
        <v>32</v>
      </c>
      <c r="F2328" s="47">
        <f>[1]!BexGetData("DP_2","DL719O2RYNC0Y217V0FVT1R77","17","M","15025022M101","2067221021")</f>
        <v>4360</v>
      </c>
      <c r="G2328" s="48">
        <f>[1]!BexGetData("DP_2","DL719O2RYNEBZX0HTMQQ0BY0J","17","M","15025022M101","2067221021")</f>
        <v>4360</v>
      </c>
      <c r="H2328" s="48">
        <f>[1]!BexGetData("DP_2","DL719O2RYNGN1RZRS91K7M4TV","17","M","15025022M101","2067221021")</f>
        <v>4360</v>
      </c>
      <c r="I2328" s="48">
        <f>[1]!BexGetData("DP_2","DL719O2RYNIY3MZ1QVCEEWBN7","17","M","15025022M101","2067221021")</f>
        <v>0</v>
      </c>
    </row>
    <row r="2329" spans="1:9" x14ac:dyDescent="0.2">
      <c r="A2329" s="46" t="s">
        <v>32</v>
      </c>
      <c r="B2329" s="46" t="s">
        <v>32</v>
      </c>
      <c r="C2329" s="46" t="s">
        <v>32</v>
      </c>
      <c r="D2329" s="46" t="s">
        <v>32</v>
      </c>
      <c r="E2329" s="46" t="s">
        <v>32</v>
      </c>
      <c r="F2329" s="47">
        <f>[1]!BexGetData("DP_2","DL719O2RYNC0Y217V0FVT1R77","17","M","15025022M101","2067246011")</f>
        <v>1532.59</v>
      </c>
      <c r="G2329" s="48">
        <f>[1]!BexGetData("DP_2","DL719O2RYNEBZX0HTMQQ0BY0J","17","M","15025022M101","2067246011")</f>
        <v>1532.59</v>
      </c>
      <c r="H2329" s="48">
        <f>[1]!BexGetData("DP_2","DL719O2RYNGN1RZRS91K7M4TV","17","M","15025022M101","2067246011")</f>
        <v>679.99</v>
      </c>
      <c r="I2329" s="48">
        <f>[1]!BexGetData("DP_2","DL719O2RYNIY3MZ1QVCEEWBN7","17","M","15025022M101","2067246011")</f>
        <v>0</v>
      </c>
    </row>
    <row r="2330" spans="1:9" x14ac:dyDescent="0.2">
      <c r="A2330" s="46" t="s">
        <v>32</v>
      </c>
      <c r="B2330" s="46" t="s">
        <v>32</v>
      </c>
      <c r="C2330" s="46" t="s">
        <v>32</v>
      </c>
      <c r="D2330" s="46" t="s">
        <v>32</v>
      </c>
      <c r="E2330" s="46" t="s">
        <v>32</v>
      </c>
      <c r="F2330" s="47">
        <f>[1]!BexGetData("DP_2","DL719O2RYNC0Y217V0FVT1R77","17","M","15025022M101","2067247011")</f>
        <v>17.399999999999999</v>
      </c>
      <c r="G2330" s="48">
        <f>[1]!BexGetData("DP_2","DL719O2RYNEBZX0HTMQQ0BY0J","17","M","15025022M101","2067247011")</f>
        <v>17.399999999999999</v>
      </c>
      <c r="H2330" s="48">
        <f>[1]!BexGetData("DP_2","DL719O2RYNGN1RZRS91K7M4TV","17","M","15025022M101","2067247011")</f>
        <v>0</v>
      </c>
      <c r="I2330" s="48">
        <f>[1]!BexGetData("DP_2","DL719O2RYNIY3MZ1QVCEEWBN7","17","M","15025022M101","2067247011")</f>
        <v>0</v>
      </c>
    </row>
    <row r="2331" spans="1:9" x14ac:dyDescent="0.2">
      <c r="A2331" s="46" t="s">
        <v>32</v>
      </c>
      <c r="B2331" s="46" t="s">
        <v>32</v>
      </c>
      <c r="C2331" s="46" t="s">
        <v>32</v>
      </c>
      <c r="D2331" s="46" t="s">
        <v>32</v>
      </c>
      <c r="E2331" s="46" t="s">
        <v>32</v>
      </c>
      <c r="F2331" s="47">
        <f>[1]!BexGetData("DP_2","DL719O2RYNC0Y217V0FVT1R77","17","M","15025022M101","2067248011")</f>
        <v>0</v>
      </c>
      <c r="G2331" s="48">
        <f>[1]!BexGetData("DP_2","DL719O2RYNEBZX0HTMQQ0BY0J","17","M","15025022M101","2067248011")</f>
        <v>0</v>
      </c>
      <c r="H2331" s="48">
        <f>[1]!BexGetData("DP_2","DL719O2RYNGN1RZRS91K7M4TV","17","M","15025022M101","2067248011")</f>
        <v>0</v>
      </c>
      <c r="I2331" s="48">
        <f>[1]!BexGetData("DP_2","DL719O2RYNIY3MZ1QVCEEWBN7","17","M","15025022M101","2067248011")</f>
        <v>0</v>
      </c>
    </row>
    <row r="2332" spans="1:9" x14ac:dyDescent="0.2">
      <c r="A2332" s="46" t="s">
        <v>32</v>
      </c>
      <c r="B2332" s="46" t="s">
        <v>32</v>
      </c>
      <c r="C2332" s="46" t="s">
        <v>32</v>
      </c>
      <c r="D2332" s="46" t="s">
        <v>32</v>
      </c>
      <c r="E2332" s="46" t="s">
        <v>32</v>
      </c>
      <c r="F2332" s="47">
        <f>[1]!BexGetData("DP_2","DL719O2RYNC0Y217V0FVT1R77","17","M","15025022M101","2067249011")</f>
        <v>65675.14</v>
      </c>
      <c r="G2332" s="48">
        <f>[1]!BexGetData("DP_2","DL719O2RYNEBZX0HTMQQ0BY0J","17","M","15025022M101","2067249011")</f>
        <v>65675.14</v>
      </c>
      <c r="H2332" s="48">
        <f>[1]!BexGetData("DP_2","DL719O2RYNGN1RZRS91K7M4TV","17","M","15025022M101","2067249011")</f>
        <v>65675.14</v>
      </c>
      <c r="I2332" s="48">
        <f>[1]!BexGetData("DP_2","DL719O2RYNIY3MZ1QVCEEWBN7","17","M","15025022M101","2067249011")</f>
        <v>0</v>
      </c>
    </row>
    <row r="2333" spans="1:9" x14ac:dyDescent="0.2">
      <c r="A2333" s="46" t="s">
        <v>32</v>
      </c>
      <c r="B2333" s="46" t="s">
        <v>32</v>
      </c>
      <c r="C2333" s="46" t="s">
        <v>32</v>
      </c>
      <c r="D2333" s="46" t="s">
        <v>32</v>
      </c>
      <c r="E2333" s="46" t="s">
        <v>32</v>
      </c>
      <c r="F2333" s="47">
        <f>[1]!BexGetData("DP_2","DL719O2RYNC0Y217V0FVT1R77","17","M","15025022M101","2067261011")</f>
        <v>0</v>
      </c>
      <c r="G2333" s="48">
        <f>[1]!BexGetData("DP_2","DL719O2RYNEBZX0HTMQQ0BY0J","17","M","15025022M101","2067261011")</f>
        <v>0</v>
      </c>
      <c r="H2333" s="48">
        <f>[1]!BexGetData("DP_2","DL719O2RYNGN1RZRS91K7M4TV","17","M","15025022M101","2067261011")</f>
        <v>0</v>
      </c>
      <c r="I2333" s="48">
        <f>[1]!BexGetData("DP_2","DL719O2RYNIY3MZ1QVCEEWBN7","17","M","15025022M101","2067261011")</f>
        <v>0</v>
      </c>
    </row>
    <row r="2334" spans="1:9" x14ac:dyDescent="0.2">
      <c r="A2334" s="46" t="s">
        <v>32</v>
      </c>
      <c r="B2334" s="46" t="s">
        <v>32</v>
      </c>
      <c r="C2334" s="46" t="s">
        <v>32</v>
      </c>
      <c r="D2334" s="46" t="s">
        <v>32</v>
      </c>
      <c r="E2334" s="46" t="s">
        <v>32</v>
      </c>
      <c r="F2334" s="47">
        <f>[1]!BexGetData("DP_2","DL719O2RYNC0Y217V0FVT1R77","17","M","15025022M101","2067261021")</f>
        <v>222.72</v>
      </c>
      <c r="G2334" s="48">
        <f>[1]!BexGetData("DP_2","DL719O2RYNEBZX0HTMQQ0BY0J","17","M","15025022M101","2067261021")</f>
        <v>222.72</v>
      </c>
      <c r="H2334" s="48">
        <f>[1]!BexGetData("DP_2","DL719O2RYNGN1RZRS91K7M4TV","17","M","15025022M101","2067261021")</f>
        <v>222.72</v>
      </c>
      <c r="I2334" s="48">
        <f>[1]!BexGetData("DP_2","DL719O2RYNIY3MZ1QVCEEWBN7","17","M","15025022M101","2067261021")</f>
        <v>0</v>
      </c>
    </row>
    <row r="2335" spans="1:9" x14ac:dyDescent="0.2">
      <c r="A2335" s="46" t="s">
        <v>32</v>
      </c>
      <c r="B2335" s="46" t="s">
        <v>32</v>
      </c>
      <c r="C2335" s="46" t="s">
        <v>32</v>
      </c>
      <c r="D2335" s="46" t="s">
        <v>32</v>
      </c>
      <c r="E2335" s="46" t="s">
        <v>32</v>
      </c>
      <c r="F2335" s="47">
        <f>[1]!BexGetData("DP_2","DL719O2RYNC0Y217V0FVT1R77","17","M","15025022M101","2067291011")</f>
        <v>3709.84</v>
      </c>
      <c r="G2335" s="48">
        <f>[1]!BexGetData("DP_2","DL719O2RYNEBZX0HTMQQ0BY0J","17","M","15025022M101","2067291011")</f>
        <v>3709.84</v>
      </c>
      <c r="H2335" s="48">
        <f>[1]!BexGetData("DP_2","DL719O2RYNGN1RZRS91K7M4TV","17","M","15025022M101","2067291011")</f>
        <v>3709.84</v>
      </c>
      <c r="I2335" s="48">
        <f>[1]!BexGetData("DP_2","DL719O2RYNIY3MZ1QVCEEWBN7","17","M","15025022M101","2067291011")</f>
        <v>0</v>
      </c>
    </row>
    <row r="2336" spans="1:9" x14ac:dyDescent="0.2">
      <c r="A2336" s="46" t="s">
        <v>32</v>
      </c>
      <c r="B2336" s="46" t="s">
        <v>32</v>
      </c>
      <c r="C2336" s="46" t="s">
        <v>32</v>
      </c>
      <c r="D2336" s="46" t="s">
        <v>32</v>
      </c>
      <c r="E2336" s="46" t="s">
        <v>32</v>
      </c>
      <c r="F2336" s="47">
        <f>[1]!BexGetData("DP_2","DL719O2RYNC0Y217V0FVT1R77","17","M","15025022M101","2067296011")</f>
        <v>3034.56</v>
      </c>
      <c r="G2336" s="48">
        <f>[1]!BexGetData("DP_2","DL719O2RYNEBZX0HTMQQ0BY0J","17","M","15025022M101","2067296011")</f>
        <v>3034.56</v>
      </c>
      <c r="H2336" s="48">
        <f>[1]!BexGetData("DP_2","DL719O2RYNGN1RZRS91K7M4TV","17","M","15025022M101","2067296011")</f>
        <v>3034.56</v>
      </c>
      <c r="I2336" s="48">
        <f>[1]!BexGetData("DP_2","DL719O2RYNIY3MZ1QVCEEWBN7","17","M","15025022M101","2067296011")</f>
        <v>0</v>
      </c>
    </row>
    <row r="2337" spans="1:9" x14ac:dyDescent="0.2">
      <c r="A2337" s="46" t="s">
        <v>32</v>
      </c>
      <c r="B2337" s="46" t="s">
        <v>32</v>
      </c>
      <c r="C2337" s="46" t="s">
        <v>32</v>
      </c>
      <c r="D2337" s="46" t="s">
        <v>32</v>
      </c>
      <c r="E2337" s="46" t="s">
        <v>32</v>
      </c>
      <c r="F2337" s="47">
        <f>[1]!BexGetData("DP_2","DL719O2RYNC0Y217V0FVT1R77","17","M","15025022M101","2067311011")</f>
        <v>0</v>
      </c>
      <c r="G2337" s="48">
        <f>[1]!BexGetData("DP_2","DL719O2RYNEBZX0HTMQQ0BY0J","17","M","15025022M101","2067311011")</f>
        <v>0</v>
      </c>
      <c r="H2337" s="48">
        <f>[1]!BexGetData("DP_2","DL719O2RYNGN1RZRS91K7M4TV","17","M","15025022M101","2067311011")</f>
        <v>0</v>
      </c>
      <c r="I2337" s="48">
        <f>[1]!BexGetData("DP_2","DL719O2RYNIY3MZ1QVCEEWBN7","17","M","15025022M101","2067311011")</f>
        <v>0</v>
      </c>
    </row>
    <row r="2338" spans="1:9" x14ac:dyDescent="0.2">
      <c r="A2338" s="46" t="s">
        <v>32</v>
      </c>
      <c r="B2338" s="46" t="s">
        <v>32</v>
      </c>
      <c r="C2338" s="46" t="s">
        <v>32</v>
      </c>
      <c r="D2338" s="46" t="s">
        <v>32</v>
      </c>
      <c r="E2338" s="46" t="s">
        <v>32</v>
      </c>
      <c r="F2338" s="47">
        <f>[1]!BexGetData("DP_2","DL719O2RYNC0Y217V0FVT1R77","17","M","15025022M101","2067313011")</f>
        <v>1100</v>
      </c>
      <c r="G2338" s="48">
        <f>[1]!BexGetData("DP_2","DL719O2RYNEBZX0HTMQQ0BY0J","17","M","15025022M101","2067313011")</f>
        <v>1100</v>
      </c>
      <c r="H2338" s="48">
        <f>[1]!BexGetData("DP_2","DL719O2RYNGN1RZRS91K7M4TV","17","M","15025022M101","2067313011")</f>
        <v>1100</v>
      </c>
      <c r="I2338" s="48">
        <f>[1]!BexGetData("DP_2","DL719O2RYNIY3MZ1QVCEEWBN7","17","M","15025022M101","2067313011")</f>
        <v>0</v>
      </c>
    </row>
    <row r="2339" spans="1:9" x14ac:dyDescent="0.2">
      <c r="A2339" s="46" t="s">
        <v>32</v>
      </c>
      <c r="B2339" s="46" t="s">
        <v>32</v>
      </c>
      <c r="C2339" s="46" t="s">
        <v>32</v>
      </c>
      <c r="D2339" s="46" t="s">
        <v>32</v>
      </c>
      <c r="E2339" s="46" t="s">
        <v>32</v>
      </c>
      <c r="F2339" s="47">
        <f>[1]!BexGetData("DP_2","DL719O2RYNC0Y217V0FVT1R77","17","M","15025022M101","2067314011")</f>
        <v>20134.330000000002</v>
      </c>
      <c r="G2339" s="48">
        <f>[1]!BexGetData("DP_2","DL719O2RYNEBZX0HTMQQ0BY0J","17","M","15025022M101","2067314011")</f>
        <v>20134.330000000002</v>
      </c>
      <c r="H2339" s="48">
        <f>[1]!BexGetData("DP_2","DL719O2RYNGN1RZRS91K7M4TV","17","M","15025022M101","2067314011")</f>
        <v>20134.330000000002</v>
      </c>
      <c r="I2339" s="48">
        <f>[1]!BexGetData("DP_2","DL719O2RYNIY3MZ1QVCEEWBN7","17","M","15025022M101","2067314011")</f>
        <v>0</v>
      </c>
    </row>
    <row r="2340" spans="1:9" x14ac:dyDescent="0.2">
      <c r="A2340" s="46" t="s">
        <v>32</v>
      </c>
      <c r="B2340" s="46" t="s">
        <v>32</v>
      </c>
      <c r="C2340" s="46" t="s">
        <v>32</v>
      </c>
      <c r="D2340" s="46" t="s">
        <v>32</v>
      </c>
      <c r="E2340" s="46" t="s">
        <v>32</v>
      </c>
      <c r="F2340" s="47">
        <f>[1]!BexGetData("DP_2","DL719O2RYNC0Y217V0FVT1R77","17","M","15025022M101","2067318011")</f>
        <v>506</v>
      </c>
      <c r="G2340" s="48">
        <f>[1]!BexGetData("DP_2","DL719O2RYNEBZX0HTMQQ0BY0J","17","M","15025022M101","2067318011")</f>
        <v>506</v>
      </c>
      <c r="H2340" s="48">
        <f>[1]!BexGetData("DP_2","DL719O2RYNGN1RZRS91K7M4TV","17","M","15025022M101","2067318011")</f>
        <v>506</v>
      </c>
      <c r="I2340" s="48">
        <f>[1]!BexGetData("DP_2","DL719O2RYNIY3MZ1QVCEEWBN7","17","M","15025022M101","2067318011")</f>
        <v>0</v>
      </c>
    </row>
    <row r="2341" spans="1:9" x14ac:dyDescent="0.2">
      <c r="A2341" s="46" t="s">
        <v>32</v>
      </c>
      <c r="B2341" s="46" t="s">
        <v>32</v>
      </c>
      <c r="C2341" s="46" t="s">
        <v>32</v>
      </c>
      <c r="D2341" s="46" t="s">
        <v>32</v>
      </c>
      <c r="E2341" s="46" t="s">
        <v>32</v>
      </c>
      <c r="F2341" s="47">
        <f>[1]!BexGetData("DP_2","DL719O2RYNC0Y217V0FVT1R77","17","M","15025022M101","2067336011")</f>
        <v>28135.37</v>
      </c>
      <c r="G2341" s="48">
        <f>[1]!BexGetData("DP_2","DL719O2RYNEBZX0HTMQQ0BY0J","17","M","15025022M101","2067336011")</f>
        <v>28135.37</v>
      </c>
      <c r="H2341" s="48">
        <f>[1]!BexGetData("DP_2","DL719O2RYNGN1RZRS91K7M4TV","17","M","15025022M101","2067336011")</f>
        <v>17403.05</v>
      </c>
      <c r="I2341" s="48">
        <f>[1]!BexGetData("DP_2","DL719O2RYNIY3MZ1QVCEEWBN7","17","M","15025022M101","2067336011")</f>
        <v>0</v>
      </c>
    </row>
    <row r="2342" spans="1:9" x14ac:dyDescent="0.2">
      <c r="A2342" s="46" t="s">
        <v>32</v>
      </c>
      <c r="B2342" s="46" t="s">
        <v>32</v>
      </c>
      <c r="C2342" s="46" t="s">
        <v>32</v>
      </c>
      <c r="D2342" s="46" t="s">
        <v>32</v>
      </c>
      <c r="E2342" s="46" t="s">
        <v>32</v>
      </c>
      <c r="F2342" s="47">
        <f>[1]!BexGetData("DP_2","DL719O2RYNC0Y217V0FVT1R77","17","M","15025022M101","2067355011")</f>
        <v>10613</v>
      </c>
      <c r="G2342" s="48">
        <f>[1]!BexGetData("DP_2","DL719O2RYNEBZX0HTMQQ0BY0J","17","M","15025022M101","2067355011")</f>
        <v>10613</v>
      </c>
      <c r="H2342" s="48">
        <f>[1]!BexGetData("DP_2","DL719O2RYNGN1RZRS91K7M4TV","17","M","15025022M101","2067355011")</f>
        <v>7713</v>
      </c>
      <c r="I2342" s="48">
        <f>[1]!BexGetData("DP_2","DL719O2RYNIY3MZ1QVCEEWBN7","17","M","15025022M101","2067355011")</f>
        <v>0</v>
      </c>
    </row>
    <row r="2343" spans="1:9" x14ac:dyDescent="0.2">
      <c r="A2343" s="46" t="s">
        <v>32</v>
      </c>
      <c r="B2343" s="46" t="s">
        <v>32</v>
      </c>
      <c r="C2343" s="46" t="s">
        <v>32</v>
      </c>
      <c r="D2343" s="46" t="s">
        <v>32</v>
      </c>
      <c r="E2343" s="46" t="s">
        <v>32</v>
      </c>
      <c r="F2343" s="47">
        <f>[1]!BexGetData("DP_2","DL719O2RYNC0Y217V0FVT1R77","17","M","15025022M101","2067357021")</f>
        <v>2668</v>
      </c>
      <c r="G2343" s="48">
        <f>[1]!BexGetData("DP_2","DL719O2RYNEBZX0HTMQQ0BY0J","17","M","15025022M101","2067357021")</f>
        <v>2668</v>
      </c>
      <c r="H2343" s="48">
        <f>[1]!BexGetData("DP_2","DL719O2RYNGN1RZRS91K7M4TV","17","M","15025022M101","2067357021")</f>
        <v>2668</v>
      </c>
      <c r="I2343" s="48">
        <f>[1]!BexGetData("DP_2","DL719O2RYNIY3MZ1QVCEEWBN7","17","M","15025022M101","2067357021")</f>
        <v>0</v>
      </c>
    </row>
    <row r="2344" spans="1:9" x14ac:dyDescent="0.2">
      <c r="A2344" s="46" t="s">
        <v>32</v>
      </c>
      <c r="B2344" s="46" t="s">
        <v>32</v>
      </c>
      <c r="C2344" s="46" t="s">
        <v>32</v>
      </c>
      <c r="D2344" s="46" t="s">
        <v>32</v>
      </c>
      <c r="E2344" s="46" t="s">
        <v>32</v>
      </c>
      <c r="F2344" s="47">
        <f>[1]!BexGetData("DP_2","DL719O2RYNC0Y217V0FVT1R77","17","M","15025022M101","2067359011")</f>
        <v>0</v>
      </c>
      <c r="G2344" s="48">
        <f>[1]!BexGetData("DP_2","DL719O2RYNEBZX0HTMQQ0BY0J","17","M","15025022M101","2067359011")</f>
        <v>0</v>
      </c>
      <c r="H2344" s="48">
        <f>[1]!BexGetData("DP_2","DL719O2RYNGN1RZRS91K7M4TV","17","M","15025022M101","2067359011")</f>
        <v>0</v>
      </c>
      <c r="I2344" s="48">
        <f>[1]!BexGetData("DP_2","DL719O2RYNIY3MZ1QVCEEWBN7","17","M","15025022M101","2067359011")</f>
        <v>0</v>
      </c>
    </row>
    <row r="2345" spans="1:9" x14ac:dyDescent="0.2">
      <c r="A2345" s="46" t="s">
        <v>32</v>
      </c>
      <c r="B2345" s="46" t="s">
        <v>32</v>
      </c>
      <c r="C2345" s="46" t="s">
        <v>32</v>
      </c>
      <c r="D2345" s="46" t="s">
        <v>32</v>
      </c>
      <c r="E2345" s="46" t="s">
        <v>32</v>
      </c>
      <c r="F2345" s="47">
        <f>[1]!BexGetData("DP_2","DL719O2RYNC0Y217V0FVT1R77","17","M","15025022M101","2067371011")</f>
        <v>26389.42</v>
      </c>
      <c r="G2345" s="48">
        <f>[1]!BexGetData("DP_2","DL719O2RYNEBZX0HTMQQ0BY0J","17","M","15025022M101","2067371011")</f>
        <v>26389.42</v>
      </c>
      <c r="H2345" s="48">
        <f>[1]!BexGetData("DP_2","DL719O2RYNGN1RZRS91K7M4TV","17","M","15025022M101","2067371011")</f>
        <v>26389.42</v>
      </c>
      <c r="I2345" s="48">
        <f>[1]!BexGetData("DP_2","DL719O2RYNIY3MZ1QVCEEWBN7","17","M","15025022M101","2067371011")</f>
        <v>0</v>
      </c>
    </row>
    <row r="2346" spans="1:9" x14ac:dyDescent="0.2">
      <c r="A2346" s="46" t="s">
        <v>32</v>
      </c>
      <c r="B2346" s="46" t="s">
        <v>32</v>
      </c>
      <c r="C2346" s="46" t="s">
        <v>32</v>
      </c>
      <c r="D2346" s="46" t="s">
        <v>32</v>
      </c>
      <c r="E2346" s="46" t="s">
        <v>32</v>
      </c>
      <c r="F2346" s="47">
        <f>[1]!BexGetData("DP_2","DL719O2RYNC0Y217V0FVT1R77","17","M","15025022M101","2067372011")</f>
        <v>1240</v>
      </c>
      <c r="G2346" s="48">
        <f>[1]!BexGetData("DP_2","DL719O2RYNEBZX0HTMQQ0BY0J","17","M","15025022M101","2067372011")</f>
        <v>1240</v>
      </c>
      <c r="H2346" s="48">
        <f>[1]!BexGetData("DP_2","DL719O2RYNGN1RZRS91K7M4TV","17","M","15025022M101","2067372011")</f>
        <v>1240</v>
      </c>
      <c r="I2346" s="48">
        <f>[1]!BexGetData("DP_2","DL719O2RYNIY3MZ1QVCEEWBN7","17","M","15025022M101","2067372011")</f>
        <v>0</v>
      </c>
    </row>
    <row r="2347" spans="1:9" x14ac:dyDescent="0.2">
      <c r="A2347" s="46" t="s">
        <v>32</v>
      </c>
      <c r="B2347" s="46" t="s">
        <v>32</v>
      </c>
      <c r="C2347" s="46" t="s">
        <v>32</v>
      </c>
      <c r="D2347" s="46" t="s">
        <v>32</v>
      </c>
      <c r="E2347" s="46" t="s">
        <v>32</v>
      </c>
      <c r="F2347" s="47">
        <f>[1]!BexGetData("DP_2","DL719O2RYNC0Y217V0FVT1R77","17","M","15025022M101","2067375011")</f>
        <v>11300</v>
      </c>
      <c r="G2347" s="48">
        <f>[1]!BexGetData("DP_2","DL719O2RYNEBZX0HTMQQ0BY0J","17","M","15025022M101","2067375011")</f>
        <v>11300</v>
      </c>
      <c r="H2347" s="48">
        <f>[1]!BexGetData("DP_2","DL719O2RYNGN1RZRS91K7M4TV","17","M","15025022M101","2067375011")</f>
        <v>11300</v>
      </c>
      <c r="I2347" s="48">
        <f>[1]!BexGetData("DP_2","DL719O2RYNIY3MZ1QVCEEWBN7","17","M","15025022M101","2067375011")</f>
        <v>0</v>
      </c>
    </row>
    <row r="2348" spans="1:9" x14ac:dyDescent="0.2">
      <c r="A2348" s="46" t="s">
        <v>32</v>
      </c>
      <c r="B2348" s="46" t="s">
        <v>32</v>
      </c>
      <c r="C2348" s="46" t="s">
        <v>32</v>
      </c>
      <c r="D2348" s="46" t="s">
        <v>32</v>
      </c>
      <c r="E2348" s="46" t="s">
        <v>32</v>
      </c>
      <c r="F2348" s="47">
        <f>[1]!BexGetData("DP_2","DL719O2RYNC0Y217V0FVT1R77","17","M","15025022M101","2067392011")</f>
        <v>0</v>
      </c>
      <c r="G2348" s="48">
        <f>[1]!BexGetData("DP_2","DL719O2RYNEBZX0HTMQQ0BY0J","17","M","15025022M101","2067392011")</f>
        <v>0</v>
      </c>
      <c r="H2348" s="48">
        <f>[1]!BexGetData("DP_2","DL719O2RYNGN1RZRS91K7M4TV","17","M","15025022M101","2067392011")</f>
        <v>0</v>
      </c>
      <c r="I2348" s="48">
        <f>[1]!BexGetData("DP_2","DL719O2RYNIY3MZ1QVCEEWBN7","17","M","15025022M101","2067392011")</f>
        <v>0</v>
      </c>
    </row>
    <row r="2349" spans="1:9" x14ac:dyDescent="0.2">
      <c r="A2349" s="46" t="s">
        <v>32</v>
      </c>
      <c r="B2349" s="46" t="s">
        <v>32</v>
      </c>
      <c r="C2349" s="46" t="s">
        <v>32</v>
      </c>
      <c r="D2349" s="46" t="s">
        <v>32</v>
      </c>
      <c r="E2349" s="46" t="s">
        <v>32</v>
      </c>
      <c r="F2349" s="47">
        <f>[1]!BexGetData("DP_2","DL719O2RYNC0Y217V0FVT1R77","17","M","15025022M101","2067399031")</f>
        <v>0</v>
      </c>
      <c r="G2349" s="48">
        <f>[1]!BexGetData("DP_2","DL719O2RYNEBZX0HTMQQ0BY0J","17","M","15025022M101","2067399031")</f>
        <v>0</v>
      </c>
      <c r="H2349" s="48">
        <f>[1]!BexGetData("DP_2","DL719O2RYNGN1RZRS91K7M4TV","17","M","15025022M101","2067399031")</f>
        <v>0</v>
      </c>
      <c r="I2349" s="48">
        <f>[1]!BexGetData("DP_2","DL719O2RYNIY3MZ1QVCEEWBN7","17","M","15025022M101","2067399031")</f>
        <v>0</v>
      </c>
    </row>
    <row r="2350" spans="1:9" x14ac:dyDescent="0.2">
      <c r="A2350" s="46" t="s">
        <v>32</v>
      </c>
      <c r="B2350" s="46" t="s">
        <v>32</v>
      </c>
      <c r="C2350" s="46" t="s">
        <v>32</v>
      </c>
      <c r="D2350" s="46" t="s">
        <v>32</v>
      </c>
      <c r="E2350" s="46" t="s">
        <v>32</v>
      </c>
      <c r="F2350" s="47">
        <f>[1]!BexGetData("DP_2","DL719O2RYNC0Y217V0FVT1R77","17","M","15025022M101","2067441011")</f>
        <v>0</v>
      </c>
      <c r="G2350" s="48">
        <f>[1]!BexGetData("DP_2","DL719O2RYNEBZX0HTMQQ0BY0J","17","M","15025022M101","2067441011")</f>
        <v>0</v>
      </c>
      <c r="H2350" s="48">
        <f>[1]!BexGetData("DP_2","DL719O2RYNGN1RZRS91K7M4TV","17","M","15025022M101","2067441011")</f>
        <v>0</v>
      </c>
      <c r="I2350" s="48">
        <f>[1]!BexGetData("DP_2","DL719O2RYNIY3MZ1QVCEEWBN7","17","M","15025022M101","2067441011")</f>
        <v>0</v>
      </c>
    </row>
    <row r="2351" spans="1:9" x14ac:dyDescent="0.2">
      <c r="A2351" s="46" t="s">
        <v>32</v>
      </c>
      <c r="B2351" s="46" t="s">
        <v>32</v>
      </c>
      <c r="C2351" s="46" t="s">
        <v>32</v>
      </c>
      <c r="D2351" s="46" t="s">
        <v>32</v>
      </c>
      <c r="E2351" s="46" t="s">
        <v>32</v>
      </c>
      <c r="F2351" s="47">
        <f>[1]!BexGetData("DP_2","DL719O2RYNC0Y217V0FVT1R77","17","M","15025022M101","2067569012")</f>
        <v>0</v>
      </c>
      <c r="G2351" s="48">
        <f>[1]!BexGetData("DP_2","DL719O2RYNEBZX0HTMQQ0BY0J","17","M","15025022M101","2067569012")</f>
        <v>0</v>
      </c>
      <c r="H2351" s="48">
        <f>[1]!BexGetData("DP_2","DL719O2RYNGN1RZRS91K7M4TV","17","M","15025022M101","2067569012")</f>
        <v>0</v>
      </c>
      <c r="I2351" s="48">
        <f>[1]!BexGetData("DP_2","DL719O2RYNIY3MZ1QVCEEWBN7","17","M","15025022M101","2067569012")</f>
        <v>0</v>
      </c>
    </row>
    <row r="2352" spans="1:9" x14ac:dyDescent="0.2">
      <c r="A2352" s="46" t="s">
        <v>32</v>
      </c>
      <c r="B2352" s="46" t="s">
        <v>32</v>
      </c>
      <c r="C2352" s="46" t="s">
        <v>32</v>
      </c>
      <c r="D2352" s="46" t="s">
        <v>32</v>
      </c>
      <c r="E2352" s="46" t="s">
        <v>32</v>
      </c>
      <c r="F2352" s="47">
        <f>[1]!BexGetData("DP_2","DL719O2RYNC0Y217V0FVT1R77","17","M","15025022M101","2067911013")</f>
        <v>12209090</v>
      </c>
      <c r="G2352" s="48">
        <f>[1]!BexGetData("DP_2","DL719O2RYNEBZX0HTMQQ0BY0J","17","M","15025022M101","2067911013")</f>
        <v>12209090</v>
      </c>
      <c r="H2352" s="48">
        <f>[1]!BexGetData("DP_2","DL719O2RYNGN1RZRS91K7M4TV","17","M","15025022M101","2067911013")</f>
        <v>5454545</v>
      </c>
      <c r="I2352" s="48">
        <f>[1]!BexGetData("DP_2","DL719O2RYNIY3MZ1QVCEEWBN7","17","M","15025022M101","2067911013")</f>
        <v>0</v>
      </c>
    </row>
    <row r="2353" spans="1:9" x14ac:dyDescent="0.2">
      <c r="A2353" s="46" t="s">
        <v>32</v>
      </c>
      <c r="B2353" s="46" t="s">
        <v>32</v>
      </c>
      <c r="C2353" s="46" t="s">
        <v>138</v>
      </c>
      <c r="D2353" s="46" t="s">
        <v>138</v>
      </c>
      <c r="E2353" s="46" t="s">
        <v>32</v>
      </c>
      <c r="F2353" s="47">
        <f>[1]!BexGetData("DP_2","DL719O2RYNC0Y217V0FVT1R77","17","M","15025031M101","2067113011")</f>
        <v>3083662.1</v>
      </c>
      <c r="G2353" s="48">
        <f>[1]!BexGetData("DP_2","DL719O2RYNEBZX0HTMQQ0BY0J","17","M","15025031M101","2067113011")</f>
        <v>3083662.1</v>
      </c>
      <c r="H2353" s="48">
        <f>[1]!BexGetData("DP_2","DL719O2RYNGN1RZRS91K7M4TV","17","M","15025031M101","2067113011")</f>
        <v>3083662.1</v>
      </c>
      <c r="I2353" s="48">
        <f>[1]!BexGetData("DP_2","DL719O2RYNIY3MZ1QVCEEWBN7","17","M","15025031M101","2067113011")</f>
        <v>0</v>
      </c>
    </row>
    <row r="2354" spans="1:9" x14ac:dyDescent="0.2">
      <c r="A2354" s="46" t="s">
        <v>32</v>
      </c>
      <c r="B2354" s="46" t="s">
        <v>32</v>
      </c>
      <c r="C2354" s="46" t="s">
        <v>32</v>
      </c>
      <c r="D2354" s="46" t="s">
        <v>32</v>
      </c>
      <c r="E2354" s="46" t="s">
        <v>32</v>
      </c>
      <c r="F2354" s="47">
        <f>[1]!BexGetData("DP_2","DL719O2RYNC0Y217V0FVT1R77","17","M","15025031M101","2067113021")</f>
        <v>1859952.7</v>
      </c>
      <c r="G2354" s="48">
        <f>[1]!BexGetData("DP_2","DL719O2RYNEBZX0HTMQQ0BY0J","17","M","15025031M101","2067113021")</f>
        <v>1859952.7</v>
      </c>
      <c r="H2354" s="48">
        <f>[1]!BexGetData("DP_2","DL719O2RYNGN1RZRS91K7M4TV","17","M","15025031M101","2067113021")</f>
        <v>1859952.7</v>
      </c>
      <c r="I2354" s="48">
        <f>[1]!BexGetData("DP_2","DL719O2RYNIY3MZ1QVCEEWBN7","17","M","15025031M101","2067113021")</f>
        <v>0</v>
      </c>
    </row>
    <row r="2355" spans="1:9" x14ac:dyDescent="0.2">
      <c r="A2355" s="46" t="s">
        <v>32</v>
      </c>
      <c r="B2355" s="46" t="s">
        <v>32</v>
      </c>
      <c r="C2355" s="46" t="s">
        <v>32</v>
      </c>
      <c r="D2355" s="46" t="s">
        <v>32</v>
      </c>
      <c r="E2355" s="46" t="s">
        <v>32</v>
      </c>
      <c r="F2355" s="47">
        <f>[1]!BexGetData("DP_2","DL719O2RYNC0Y217V0FVT1R77","17","M","15025031M101","2067121011")</f>
        <v>18481425.039999999</v>
      </c>
      <c r="G2355" s="48">
        <f>[1]!BexGetData("DP_2","DL719O2RYNEBZX0HTMQQ0BY0J","17","M","15025031M101","2067121011")</f>
        <v>18481425.039999999</v>
      </c>
      <c r="H2355" s="48">
        <f>[1]!BexGetData("DP_2","DL719O2RYNGN1RZRS91K7M4TV","17","M","15025031M101","2067121011")</f>
        <v>18383703.039999999</v>
      </c>
      <c r="I2355" s="48">
        <f>[1]!BexGetData("DP_2","DL719O2RYNIY3MZ1QVCEEWBN7","17","M","15025031M101","2067121011")</f>
        <v>-4.0000000000000002E-9</v>
      </c>
    </row>
    <row r="2356" spans="1:9" x14ac:dyDescent="0.2">
      <c r="A2356" s="46" t="s">
        <v>32</v>
      </c>
      <c r="B2356" s="46" t="s">
        <v>32</v>
      </c>
      <c r="C2356" s="46" t="s">
        <v>32</v>
      </c>
      <c r="D2356" s="46" t="s">
        <v>32</v>
      </c>
      <c r="E2356" s="46" t="s">
        <v>32</v>
      </c>
      <c r="F2356" s="47">
        <f>[1]!BexGetData("DP_2","DL719O2RYNC0Y217V0FVT1R77","17","M","15025031M101","2067122011")</f>
        <v>5325955.08</v>
      </c>
      <c r="G2356" s="48">
        <f>[1]!BexGetData("DP_2","DL719O2RYNEBZX0HTMQQ0BY0J","17","M","15025031M101","2067122011")</f>
        <v>5325955.08</v>
      </c>
      <c r="H2356" s="48">
        <f>[1]!BexGetData("DP_2","DL719O2RYNGN1RZRS91K7M4TV","17","M","15025031M101","2067122011")</f>
        <v>5325955.08</v>
      </c>
      <c r="I2356" s="48">
        <f>[1]!BexGetData("DP_2","DL719O2RYNIY3MZ1QVCEEWBN7","17","M","15025031M101","2067122011")</f>
        <v>0</v>
      </c>
    </row>
    <row r="2357" spans="1:9" x14ac:dyDescent="0.2">
      <c r="A2357" s="46" t="s">
        <v>32</v>
      </c>
      <c r="B2357" s="46" t="s">
        <v>32</v>
      </c>
      <c r="C2357" s="46" t="s">
        <v>32</v>
      </c>
      <c r="D2357" s="46" t="s">
        <v>32</v>
      </c>
      <c r="E2357" s="46" t="s">
        <v>32</v>
      </c>
      <c r="F2357" s="47">
        <f>[1]!BexGetData("DP_2","DL719O2RYNC0Y217V0FVT1R77","17","M","15025031M101","2067131011")</f>
        <v>484407.33</v>
      </c>
      <c r="G2357" s="48">
        <f>[1]!BexGetData("DP_2","DL719O2RYNEBZX0HTMQQ0BY0J","17","M","15025031M101","2067131011")</f>
        <v>484407.33</v>
      </c>
      <c r="H2357" s="48">
        <f>[1]!BexGetData("DP_2","DL719O2RYNGN1RZRS91K7M4TV","17","M","15025031M101","2067131011")</f>
        <v>484407.33</v>
      </c>
      <c r="I2357" s="48">
        <f>[1]!BexGetData("DP_2","DL719O2RYNIY3MZ1QVCEEWBN7","17","M","15025031M101","2067131011")</f>
        <v>0</v>
      </c>
    </row>
    <row r="2358" spans="1:9" x14ac:dyDescent="0.2">
      <c r="A2358" s="46" t="s">
        <v>32</v>
      </c>
      <c r="B2358" s="46" t="s">
        <v>32</v>
      </c>
      <c r="C2358" s="46" t="s">
        <v>32</v>
      </c>
      <c r="D2358" s="46" t="s">
        <v>32</v>
      </c>
      <c r="E2358" s="46" t="s">
        <v>32</v>
      </c>
      <c r="F2358" s="47">
        <f>[1]!BexGetData("DP_2","DL719O2RYNC0Y217V0FVT1R77","17","M","15025031M101","2067131021")</f>
        <v>86857.36</v>
      </c>
      <c r="G2358" s="48">
        <f>[1]!BexGetData("DP_2","DL719O2RYNEBZX0HTMQQ0BY0J","17","M","15025031M101","2067131021")</f>
        <v>86857.36</v>
      </c>
      <c r="H2358" s="48">
        <f>[1]!BexGetData("DP_2","DL719O2RYNGN1RZRS91K7M4TV","17","M","15025031M101","2067131021")</f>
        <v>86857.36</v>
      </c>
      <c r="I2358" s="48">
        <f>[1]!BexGetData("DP_2","DL719O2RYNIY3MZ1QVCEEWBN7","17","M","15025031M101","2067131021")</f>
        <v>0</v>
      </c>
    </row>
    <row r="2359" spans="1:9" x14ac:dyDescent="0.2">
      <c r="A2359" s="46" t="s">
        <v>32</v>
      </c>
      <c r="B2359" s="46" t="s">
        <v>32</v>
      </c>
      <c r="C2359" s="46" t="s">
        <v>32</v>
      </c>
      <c r="D2359" s="46" t="s">
        <v>32</v>
      </c>
      <c r="E2359" s="46" t="s">
        <v>32</v>
      </c>
      <c r="F2359" s="47">
        <f>[1]!BexGetData("DP_2","DL719O2RYNC0Y217V0FVT1R77","17","M","15025031M101","2067132011")</f>
        <v>258549.14</v>
      </c>
      <c r="G2359" s="48">
        <f>[1]!BexGetData("DP_2","DL719O2RYNEBZX0HTMQQ0BY0J","17","M","15025031M101","2067132011")</f>
        <v>258549.14</v>
      </c>
      <c r="H2359" s="48">
        <f>[1]!BexGetData("DP_2","DL719O2RYNGN1RZRS91K7M4TV","17","M","15025031M101","2067132011")</f>
        <v>258549.14</v>
      </c>
      <c r="I2359" s="48">
        <f>[1]!BexGetData("DP_2","DL719O2RYNIY3MZ1QVCEEWBN7","17","M","15025031M101","2067132011")</f>
        <v>0</v>
      </c>
    </row>
    <row r="2360" spans="1:9" x14ac:dyDescent="0.2">
      <c r="A2360" s="46" t="s">
        <v>32</v>
      </c>
      <c r="B2360" s="46" t="s">
        <v>32</v>
      </c>
      <c r="C2360" s="46" t="s">
        <v>32</v>
      </c>
      <c r="D2360" s="46" t="s">
        <v>32</v>
      </c>
      <c r="E2360" s="46" t="s">
        <v>32</v>
      </c>
      <c r="F2360" s="47">
        <f>[1]!BexGetData("DP_2","DL719O2RYNC0Y217V0FVT1R77","17","M","15025031M101","2067132021")</f>
        <v>1232037.78</v>
      </c>
      <c r="G2360" s="48">
        <f>[1]!BexGetData("DP_2","DL719O2RYNEBZX0HTMQQ0BY0J","17","M","15025031M101","2067132021")</f>
        <v>1232037.78</v>
      </c>
      <c r="H2360" s="48">
        <f>[1]!BexGetData("DP_2","DL719O2RYNGN1RZRS91K7M4TV","17","M","15025031M101","2067132021")</f>
        <v>1232037.78</v>
      </c>
      <c r="I2360" s="48">
        <f>[1]!BexGetData("DP_2","DL719O2RYNIY3MZ1QVCEEWBN7","17","M","15025031M101","2067132021")</f>
        <v>0</v>
      </c>
    </row>
    <row r="2361" spans="1:9" x14ac:dyDescent="0.2">
      <c r="A2361" s="46" t="s">
        <v>32</v>
      </c>
      <c r="B2361" s="46" t="s">
        <v>32</v>
      </c>
      <c r="C2361" s="46" t="s">
        <v>32</v>
      </c>
      <c r="D2361" s="46" t="s">
        <v>32</v>
      </c>
      <c r="E2361" s="46" t="s">
        <v>32</v>
      </c>
      <c r="F2361" s="47">
        <f>[1]!BexGetData("DP_2","DL719O2RYNC0Y217V0FVT1R77","17","M","15025031M101","2067134011")</f>
        <v>5459331.2199999997</v>
      </c>
      <c r="G2361" s="48">
        <f>[1]!BexGetData("DP_2","DL719O2RYNEBZX0HTMQQ0BY0J","17","M","15025031M101","2067134011")</f>
        <v>5459331.2199999997</v>
      </c>
      <c r="H2361" s="48">
        <f>[1]!BexGetData("DP_2","DL719O2RYNGN1RZRS91K7M4TV","17","M","15025031M101","2067134011")</f>
        <v>5528940.3099999996</v>
      </c>
      <c r="I2361" s="48">
        <f>[1]!BexGetData("DP_2","DL719O2RYNIY3MZ1QVCEEWBN7","17","M","15025031M101","2067134011")</f>
        <v>-1.0000000000000001E-9</v>
      </c>
    </row>
    <row r="2362" spans="1:9" x14ac:dyDescent="0.2">
      <c r="A2362" s="46" t="s">
        <v>32</v>
      </c>
      <c r="B2362" s="46" t="s">
        <v>32</v>
      </c>
      <c r="C2362" s="46" t="s">
        <v>32</v>
      </c>
      <c r="D2362" s="46" t="s">
        <v>32</v>
      </c>
      <c r="E2362" s="46" t="s">
        <v>32</v>
      </c>
      <c r="F2362" s="47">
        <f>[1]!BexGetData("DP_2","DL719O2RYNC0Y217V0FVT1R77","17","M","15025031M101","2067134021")</f>
        <v>2129706.0499999998</v>
      </c>
      <c r="G2362" s="48">
        <f>[1]!BexGetData("DP_2","DL719O2RYNEBZX0HTMQQ0BY0J","17","M","15025031M101","2067134021")</f>
        <v>2129706.0499999998</v>
      </c>
      <c r="H2362" s="48">
        <f>[1]!BexGetData("DP_2","DL719O2RYNGN1RZRS91K7M4TV","17","M","15025031M101","2067134021")</f>
        <v>2129706.0499999998</v>
      </c>
      <c r="I2362" s="48">
        <f>[1]!BexGetData("DP_2","DL719O2RYNIY3MZ1QVCEEWBN7","17","M","15025031M101","2067134021")</f>
        <v>0</v>
      </c>
    </row>
    <row r="2363" spans="1:9" x14ac:dyDescent="0.2">
      <c r="A2363" s="46" t="s">
        <v>32</v>
      </c>
      <c r="B2363" s="46" t="s">
        <v>32</v>
      </c>
      <c r="C2363" s="46" t="s">
        <v>32</v>
      </c>
      <c r="D2363" s="46" t="s">
        <v>32</v>
      </c>
      <c r="E2363" s="46" t="s">
        <v>32</v>
      </c>
      <c r="F2363" s="47">
        <f>[1]!BexGetData("DP_2","DL719O2RYNC0Y217V0FVT1R77","17","M","15025031M101","2067137011")</f>
        <v>417402.22</v>
      </c>
      <c r="G2363" s="48">
        <f>[1]!BexGetData("DP_2","DL719O2RYNEBZX0HTMQQ0BY0J","17","M","15025031M101","2067137011")</f>
        <v>417402.22</v>
      </c>
      <c r="H2363" s="48">
        <f>[1]!BexGetData("DP_2","DL719O2RYNGN1RZRS91K7M4TV","17","M","15025031M101","2067137011")</f>
        <v>417402.22</v>
      </c>
      <c r="I2363" s="48">
        <f>[1]!BexGetData("DP_2","DL719O2RYNIY3MZ1QVCEEWBN7","17","M","15025031M101","2067137011")</f>
        <v>0</v>
      </c>
    </row>
    <row r="2364" spans="1:9" x14ac:dyDescent="0.2">
      <c r="A2364" s="46" t="s">
        <v>32</v>
      </c>
      <c r="B2364" s="46" t="s">
        <v>32</v>
      </c>
      <c r="C2364" s="46" t="s">
        <v>32</v>
      </c>
      <c r="D2364" s="46" t="s">
        <v>32</v>
      </c>
      <c r="E2364" s="46" t="s">
        <v>32</v>
      </c>
      <c r="F2364" s="47">
        <f>[1]!BexGetData("DP_2","DL719O2RYNC0Y217V0FVT1R77","17","M","15025031M101","2067141011")</f>
        <v>1884795.37</v>
      </c>
      <c r="G2364" s="48">
        <f>[1]!BexGetData("DP_2","DL719O2RYNEBZX0HTMQQ0BY0J","17","M","15025031M101","2067141011")</f>
        <v>1884795.37</v>
      </c>
      <c r="H2364" s="48">
        <f>[1]!BexGetData("DP_2","DL719O2RYNGN1RZRS91K7M4TV","17","M","15025031M101","2067141011")</f>
        <v>1884795.37</v>
      </c>
      <c r="I2364" s="48">
        <f>[1]!BexGetData("DP_2","DL719O2RYNIY3MZ1QVCEEWBN7","17","M","15025031M101","2067141011")</f>
        <v>0</v>
      </c>
    </row>
    <row r="2365" spans="1:9" x14ac:dyDescent="0.2">
      <c r="A2365" s="46" t="s">
        <v>32</v>
      </c>
      <c r="B2365" s="46" t="s">
        <v>32</v>
      </c>
      <c r="C2365" s="46" t="s">
        <v>32</v>
      </c>
      <c r="D2365" s="46" t="s">
        <v>32</v>
      </c>
      <c r="E2365" s="46" t="s">
        <v>32</v>
      </c>
      <c r="F2365" s="47">
        <f>[1]!BexGetData("DP_2","DL719O2RYNC0Y217V0FVT1R77","17","M","15025031M101","2067141021")</f>
        <v>589950.53</v>
      </c>
      <c r="G2365" s="48">
        <f>[1]!BexGetData("DP_2","DL719O2RYNEBZX0HTMQQ0BY0J","17","M","15025031M101","2067141021")</f>
        <v>589950.53</v>
      </c>
      <c r="H2365" s="48">
        <f>[1]!BexGetData("DP_2","DL719O2RYNGN1RZRS91K7M4TV","17","M","15025031M101","2067141021")</f>
        <v>589950.53</v>
      </c>
      <c r="I2365" s="48">
        <f>[1]!BexGetData("DP_2","DL719O2RYNIY3MZ1QVCEEWBN7","17","M","15025031M101","2067141021")</f>
        <v>0</v>
      </c>
    </row>
    <row r="2366" spans="1:9" x14ac:dyDescent="0.2">
      <c r="A2366" s="46" t="s">
        <v>32</v>
      </c>
      <c r="B2366" s="46" t="s">
        <v>32</v>
      </c>
      <c r="C2366" s="46" t="s">
        <v>32</v>
      </c>
      <c r="D2366" s="46" t="s">
        <v>32</v>
      </c>
      <c r="E2366" s="46" t="s">
        <v>32</v>
      </c>
      <c r="F2366" s="47">
        <f>[1]!BexGetData("DP_2","DL719O2RYNC0Y217V0FVT1R77","17","M","15025031M101","2067143011")</f>
        <v>279750.17</v>
      </c>
      <c r="G2366" s="48">
        <f>[1]!BexGetData("DP_2","DL719O2RYNEBZX0HTMQQ0BY0J","17","M","15025031M101","2067143011")</f>
        <v>279750.17</v>
      </c>
      <c r="H2366" s="48">
        <f>[1]!BexGetData("DP_2","DL719O2RYNGN1RZRS91K7M4TV","17","M","15025031M101","2067143011")</f>
        <v>279750.17</v>
      </c>
      <c r="I2366" s="48">
        <f>[1]!BexGetData("DP_2","DL719O2RYNIY3MZ1QVCEEWBN7","17","M","15025031M101","2067143011")</f>
        <v>0</v>
      </c>
    </row>
    <row r="2367" spans="1:9" x14ac:dyDescent="0.2">
      <c r="A2367" s="46" t="s">
        <v>32</v>
      </c>
      <c r="B2367" s="46" t="s">
        <v>32</v>
      </c>
      <c r="C2367" s="46" t="s">
        <v>32</v>
      </c>
      <c r="D2367" s="46" t="s">
        <v>32</v>
      </c>
      <c r="E2367" s="46" t="s">
        <v>32</v>
      </c>
      <c r="F2367" s="47">
        <f>[1]!BexGetData("DP_2","DL719O2RYNC0Y217V0FVT1R77","17","M","15025031M101","2067151011")</f>
        <v>594242.64</v>
      </c>
      <c r="G2367" s="48">
        <f>[1]!BexGetData("DP_2","DL719O2RYNEBZX0HTMQQ0BY0J","17","M","15025031M101","2067151011")</f>
        <v>594242.64</v>
      </c>
      <c r="H2367" s="48">
        <f>[1]!BexGetData("DP_2","DL719O2RYNGN1RZRS91K7M4TV","17","M","15025031M101","2067151011")</f>
        <v>594242.64</v>
      </c>
      <c r="I2367" s="48">
        <f>[1]!BexGetData("DP_2","DL719O2RYNIY3MZ1QVCEEWBN7","17","M","15025031M101","2067151011")</f>
        <v>0</v>
      </c>
    </row>
    <row r="2368" spans="1:9" x14ac:dyDescent="0.2">
      <c r="A2368" s="46" t="s">
        <v>32</v>
      </c>
      <c r="B2368" s="46" t="s">
        <v>32</v>
      </c>
      <c r="C2368" s="46" t="s">
        <v>32</v>
      </c>
      <c r="D2368" s="46" t="s">
        <v>32</v>
      </c>
      <c r="E2368" s="46" t="s">
        <v>32</v>
      </c>
      <c r="F2368" s="47">
        <f>[1]!BexGetData("DP_2","DL719O2RYNC0Y217V0FVT1R77","17","M","15025031M101","2067154011")</f>
        <v>2736929.17</v>
      </c>
      <c r="G2368" s="48">
        <f>[1]!BexGetData("DP_2","DL719O2RYNEBZX0HTMQQ0BY0J","17","M","15025031M101","2067154011")</f>
        <v>2736929.17</v>
      </c>
      <c r="H2368" s="48">
        <f>[1]!BexGetData("DP_2","DL719O2RYNGN1RZRS91K7M4TV","17","M","15025031M101","2067154011")</f>
        <v>2736929.17</v>
      </c>
      <c r="I2368" s="48">
        <f>[1]!BexGetData("DP_2","DL719O2RYNIY3MZ1QVCEEWBN7","17","M","15025031M101","2067154011")</f>
        <v>0</v>
      </c>
    </row>
    <row r="2369" spans="1:9" x14ac:dyDescent="0.2">
      <c r="A2369" s="46" t="s">
        <v>32</v>
      </c>
      <c r="B2369" s="46" t="s">
        <v>32</v>
      </c>
      <c r="C2369" s="46" t="s">
        <v>32</v>
      </c>
      <c r="D2369" s="46" t="s">
        <v>32</v>
      </c>
      <c r="E2369" s="46" t="s">
        <v>32</v>
      </c>
      <c r="F2369" s="47">
        <f>[1]!BexGetData("DP_2","DL719O2RYNC0Y217V0FVT1R77","17","M","15025031M101","2067159011")</f>
        <v>0</v>
      </c>
      <c r="G2369" s="48">
        <f>[1]!BexGetData("DP_2","DL719O2RYNEBZX0HTMQQ0BY0J","17","M","15025031M101","2067159011")</f>
        <v>0</v>
      </c>
      <c r="H2369" s="48">
        <f>[1]!BexGetData("DP_2","DL719O2RYNGN1RZRS91K7M4TV","17","M","15025031M101","2067159011")</f>
        <v>0</v>
      </c>
      <c r="I2369" s="48">
        <f>[1]!BexGetData("DP_2","DL719O2RYNIY3MZ1QVCEEWBN7","17","M","15025031M101","2067159011")</f>
        <v>0</v>
      </c>
    </row>
    <row r="2370" spans="1:9" x14ac:dyDescent="0.2">
      <c r="A2370" s="46" t="s">
        <v>32</v>
      </c>
      <c r="B2370" s="46" t="s">
        <v>32</v>
      </c>
      <c r="C2370" s="46" t="s">
        <v>32</v>
      </c>
      <c r="D2370" s="46" t="s">
        <v>32</v>
      </c>
      <c r="E2370" s="46" t="s">
        <v>32</v>
      </c>
      <c r="F2370" s="47">
        <f>[1]!BexGetData("DP_2","DL719O2RYNC0Y217V0FVT1R77","17","M","15025031M101","2067171011")</f>
        <v>17800</v>
      </c>
      <c r="G2370" s="48">
        <f>[1]!BexGetData("DP_2","DL719O2RYNEBZX0HTMQQ0BY0J","17","M","15025031M101","2067171011")</f>
        <v>17800</v>
      </c>
      <c r="H2370" s="48">
        <f>[1]!BexGetData("DP_2","DL719O2RYNGN1RZRS91K7M4TV","17","M","15025031M101","2067171011")</f>
        <v>17800</v>
      </c>
      <c r="I2370" s="48">
        <f>[1]!BexGetData("DP_2","DL719O2RYNIY3MZ1QVCEEWBN7","17","M","15025031M101","2067171011")</f>
        <v>0</v>
      </c>
    </row>
    <row r="2371" spans="1:9" x14ac:dyDescent="0.2">
      <c r="A2371" s="46" t="s">
        <v>32</v>
      </c>
      <c r="B2371" s="46" t="s">
        <v>32</v>
      </c>
      <c r="C2371" s="46" t="s">
        <v>32</v>
      </c>
      <c r="D2371" s="46" t="s">
        <v>32</v>
      </c>
      <c r="E2371" s="46" t="s">
        <v>32</v>
      </c>
      <c r="F2371" s="47">
        <f>[1]!BexGetData("DP_2","DL719O2RYNC0Y217V0FVT1R77","17","M","15025031M101","2067211011")</f>
        <v>244041.76</v>
      </c>
      <c r="G2371" s="48">
        <f>[1]!BexGetData("DP_2","DL719O2RYNEBZX0HTMQQ0BY0J","17","M","15025031M101","2067211011")</f>
        <v>244041.76</v>
      </c>
      <c r="H2371" s="48">
        <f>[1]!BexGetData("DP_2","DL719O2RYNGN1RZRS91K7M4TV","17","M","15025031M101","2067211011")</f>
        <v>207764.24</v>
      </c>
      <c r="I2371" s="48">
        <f>[1]!BexGetData("DP_2","DL719O2RYNIY3MZ1QVCEEWBN7","17","M","15025031M101","2067211011")</f>
        <v>0</v>
      </c>
    </row>
    <row r="2372" spans="1:9" x14ac:dyDescent="0.2">
      <c r="A2372" s="46" t="s">
        <v>32</v>
      </c>
      <c r="B2372" s="46" t="s">
        <v>32</v>
      </c>
      <c r="C2372" s="46" t="s">
        <v>32</v>
      </c>
      <c r="D2372" s="46" t="s">
        <v>32</v>
      </c>
      <c r="E2372" s="46" t="s">
        <v>32</v>
      </c>
      <c r="F2372" s="47">
        <f>[1]!BexGetData("DP_2","DL719O2RYNC0Y217V0FVT1R77","17","M","15025031M101","2067211021")</f>
        <v>60361.58</v>
      </c>
      <c r="G2372" s="48">
        <f>[1]!BexGetData("DP_2","DL719O2RYNEBZX0HTMQQ0BY0J","17","M","15025031M101","2067211021")</f>
        <v>60361.58</v>
      </c>
      <c r="H2372" s="48">
        <f>[1]!BexGetData("DP_2","DL719O2RYNGN1RZRS91K7M4TV","17","M","15025031M101","2067211021")</f>
        <v>49683.78</v>
      </c>
      <c r="I2372" s="48">
        <f>[1]!BexGetData("DP_2","DL719O2RYNIY3MZ1QVCEEWBN7","17","M","15025031M101","2067211021")</f>
        <v>0</v>
      </c>
    </row>
    <row r="2373" spans="1:9" x14ac:dyDescent="0.2">
      <c r="A2373" s="46" t="s">
        <v>32</v>
      </c>
      <c r="B2373" s="46" t="s">
        <v>32</v>
      </c>
      <c r="C2373" s="46" t="s">
        <v>32</v>
      </c>
      <c r="D2373" s="46" t="s">
        <v>32</v>
      </c>
      <c r="E2373" s="46" t="s">
        <v>32</v>
      </c>
      <c r="F2373" s="47">
        <f>[1]!BexGetData("DP_2","DL719O2RYNC0Y217V0FVT1R77","17","M","15025031M101","2067212021")</f>
        <v>101861.92</v>
      </c>
      <c r="G2373" s="48">
        <f>[1]!BexGetData("DP_2","DL719O2RYNEBZX0HTMQQ0BY0J","17","M","15025031M101","2067212021")</f>
        <v>101861.92</v>
      </c>
      <c r="H2373" s="48">
        <f>[1]!BexGetData("DP_2","DL719O2RYNGN1RZRS91K7M4TV","17","M","15025031M101","2067212021")</f>
        <v>42885.2</v>
      </c>
      <c r="I2373" s="48">
        <f>[1]!BexGetData("DP_2","DL719O2RYNIY3MZ1QVCEEWBN7","17","M","15025031M101","2067212021")</f>
        <v>0</v>
      </c>
    </row>
    <row r="2374" spans="1:9" x14ac:dyDescent="0.2">
      <c r="A2374" s="46" t="s">
        <v>32</v>
      </c>
      <c r="B2374" s="46" t="s">
        <v>32</v>
      </c>
      <c r="C2374" s="46" t="s">
        <v>32</v>
      </c>
      <c r="D2374" s="46" t="s">
        <v>32</v>
      </c>
      <c r="E2374" s="46" t="s">
        <v>32</v>
      </c>
      <c r="F2374" s="47">
        <f>[1]!BexGetData("DP_2","DL719O2RYNC0Y217V0FVT1R77","17","M","15025031M101","2067214011")</f>
        <v>198813.5</v>
      </c>
      <c r="G2374" s="48">
        <f>[1]!BexGetData("DP_2","DL719O2RYNEBZX0HTMQQ0BY0J","17","M","15025031M101","2067214011")</f>
        <v>198813.5</v>
      </c>
      <c r="H2374" s="48">
        <f>[1]!BexGetData("DP_2","DL719O2RYNGN1RZRS91K7M4TV","17","M","15025031M101","2067214011")</f>
        <v>129897.9</v>
      </c>
      <c r="I2374" s="48">
        <f>[1]!BexGetData("DP_2","DL719O2RYNIY3MZ1QVCEEWBN7","17","M","15025031M101","2067214011")</f>
        <v>0</v>
      </c>
    </row>
    <row r="2375" spans="1:9" x14ac:dyDescent="0.2">
      <c r="A2375" s="46" t="s">
        <v>32</v>
      </c>
      <c r="B2375" s="46" t="s">
        <v>32</v>
      </c>
      <c r="C2375" s="46" t="s">
        <v>32</v>
      </c>
      <c r="D2375" s="46" t="s">
        <v>32</v>
      </c>
      <c r="E2375" s="46" t="s">
        <v>32</v>
      </c>
      <c r="F2375" s="47">
        <f>[1]!BexGetData("DP_2","DL719O2RYNC0Y217V0FVT1R77","17","M","15025031M101","2067214021")</f>
        <v>249.4</v>
      </c>
      <c r="G2375" s="48">
        <f>[1]!BexGetData("DP_2","DL719O2RYNEBZX0HTMQQ0BY0J","17","M","15025031M101","2067214021")</f>
        <v>249.4</v>
      </c>
      <c r="H2375" s="48">
        <f>[1]!BexGetData("DP_2","DL719O2RYNGN1RZRS91K7M4TV","17","M","15025031M101","2067214021")</f>
        <v>249.4</v>
      </c>
      <c r="I2375" s="48">
        <f>[1]!BexGetData("DP_2","DL719O2RYNIY3MZ1QVCEEWBN7","17","M","15025031M101","2067214021")</f>
        <v>0</v>
      </c>
    </row>
    <row r="2376" spans="1:9" x14ac:dyDescent="0.2">
      <c r="A2376" s="46" t="s">
        <v>32</v>
      </c>
      <c r="B2376" s="46" t="s">
        <v>32</v>
      </c>
      <c r="C2376" s="46" t="s">
        <v>32</v>
      </c>
      <c r="D2376" s="46" t="s">
        <v>32</v>
      </c>
      <c r="E2376" s="46" t="s">
        <v>32</v>
      </c>
      <c r="F2376" s="47">
        <f>[1]!BexGetData("DP_2","DL719O2RYNC0Y217V0FVT1R77","17","M","15025031M101","2067215011")</f>
        <v>0</v>
      </c>
      <c r="G2376" s="48">
        <f>[1]!BexGetData("DP_2","DL719O2RYNEBZX0HTMQQ0BY0J","17","M","15025031M101","2067215011")</f>
        <v>0</v>
      </c>
      <c r="H2376" s="48">
        <f>[1]!BexGetData("DP_2","DL719O2RYNGN1RZRS91K7M4TV","17","M","15025031M101","2067215011")</f>
        <v>0</v>
      </c>
      <c r="I2376" s="48">
        <f>[1]!BexGetData("DP_2","DL719O2RYNIY3MZ1QVCEEWBN7","17","M","15025031M101","2067215011")</f>
        <v>0</v>
      </c>
    </row>
    <row r="2377" spans="1:9" x14ac:dyDescent="0.2">
      <c r="A2377" s="46" t="s">
        <v>32</v>
      </c>
      <c r="B2377" s="46" t="s">
        <v>32</v>
      </c>
      <c r="C2377" s="46" t="s">
        <v>32</v>
      </c>
      <c r="D2377" s="46" t="s">
        <v>32</v>
      </c>
      <c r="E2377" s="46" t="s">
        <v>32</v>
      </c>
      <c r="F2377" s="47">
        <f>[1]!BexGetData("DP_2","DL719O2RYNC0Y217V0FVT1R77","17","M","15025031M101","2067215021")</f>
        <v>1670.4</v>
      </c>
      <c r="G2377" s="48">
        <f>[1]!BexGetData("DP_2","DL719O2RYNEBZX0HTMQQ0BY0J","17","M","15025031M101","2067215021")</f>
        <v>1670.4</v>
      </c>
      <c r="H2377" s="48">
        <f>[1]!BexGetData("DP_2","DL719O2RYNGN1RZRS91K7M4TV","17","M","15025031M101","2067215021")</f>
        <v>1670.4</v>
      </c>
      <c r="I2377" s="48">
        <f>[1]!BexGetData("DP_2","DL719O2RYNIY3MZ1QVCEEWBN7","17","M","15025031M101","2067215021")</f>
        <v>0</v>
      </c>
    </row>
    <row r="2378" spans="1:9" x14ac:dyDescent="0.2">
      <c r="A2378" s="46" t="s">
        <v>32</v>
      </c>
      <c r="B2378" s="46" t="s">
        <v>32</v>
      </c>
      <c r="C2378" s="46" t="s">
        <v>32</v>
      </c>
      <c r="D2378" s="46" t="s">
        <v>32</v>
      </c>
      <c r="E2378" s="46" t="s">
        <v>32</v>
      </c>
      <c r="F2378" s="47">
        <f>[1]!BexGetData("DP_2","DL719O2RYNC0Y217V0FVT1R77","17","M","15025031M101","2067216011")</f>
        <v>173508.17</v>
      </c>
      <c r="G2378" s="48">
        <f>[1]!BexGetData("DP_2","DL719O2RYNEBZX0HTMQQ0BY0J","17","M","15025031M101","2067216011")</f>
        <v>173508.17</v>
      </c>
      <c r="H2378" s="48">
        <f>[1]!BexGetData("DP_2","DL719O2RYNGN1RZRS91K7M4TV","17","M","15025031M101","2067216011")</f>
        <v>164281.70000000001</v>
      </c>
      <c r="I2378" s="48">
        <f>[1]!BexGetData("DP_2","DL719O2RYNIY3MZ1QVCEEWBN7","17","M","15025031M101","2067216011")</f>
        <v>0</v>
      </c>
    </row>
    <row r="2379" spans="1:9" x14ac:dyDescent="0.2">
      <c r="A2379" s="46" t="s">
        <v>32</v>
      </c>
      <c r="B2379" s="46" t="s">
        <v>32</v>
      </c>
      <c r="C2379" s="46" t="s">
        <v>32</v>
      </c>
      <c r="D2379" s="46" t="s">
        <v>32</v>
      </c>
      <c r="E2379" s="46" t="s">
        <v>32</v>
      </c>
      <c r="F2379" s="47">
        <f>[1]!BexGetData("DP_2","DL719O2RYNC0Y217V0FVT1R77","17","M","15025031M101","2067217011")</f>
        <v>4872</v>
      </c>
      <c r="G2379" s="48">
        <f>[1]!BexGetData("DP_2","DL719O2RYNEBZX0HTMQQ0BY0J","17","M","15025031M101","2067217011")</f>
        <v>4872</v>
      </c>
      <c r="H2379" s="48">
        <f>[1]!BexGetData("DP_2","DL719O2RYNGN1RZRS91K7M4TV","17","M","15025031M101","2067217011")</f>
        <v>4872</v>
      </c>
      <c r="I2379" s="48">
        <f>[1]!BexGetData("DP_2","DL719O2RYNIY3MZ1QVCEEWBN7","17","M","15025031M101","2067217011")</f>
        <v>0</v>
      </c>
    </row>
    <row r="2380" spans="1:9" x14ac:dyDescent="0.2">
      <c r="A2380" s="46" t="s">
        <v>32</v>
      </c>
      <c r="B2380" s="46" t="s">
        <v>32</v>
      </c>
      <c r="C2380" s="46" t="s">
        <v>32</v>
      </c>
      <c r="D2380" s="46" t="s">
        <v>32</v>
      </c>
      <c r="E2380" s="46" t="s">
        <v>32</v>
      </c>
      <c r="F2380" s="47">
        <f>[1]!BexGetData("DP_2","DL719O2RYNC0Y217V0FVT1R77","17","M","15025031M101","2067221011")</f>
        <v>0</v>
      </c>
      <c r="G2380" s="48">
        <f>[1]!BexGetData("DP_2","DL719O2RYNEBZX0HTMQQ0BY0J","17","M","15025031M101","2067221011")</f>
        <v>0</v>
      </c>
      <c r="H2380" s="48">
        <f>[1]!BexGetData("DP_2","DL719O2RYNGN1RZRS91K7M4TV","17","M","15025031M101","2067221011")</f>
        <v>0</v>
      </c>
      <c r="I2380" s="48">
        <f>[1]!BexGetData("DP_2","DL719O2RYNIY3MZ1QVCEEWBN7","17","M","15025031M101","2067221011")</f>
        <v>0</v>
      </c>
    </row>
    <row r="2381" spans="1:9" x14ac:dyDescent="0.2">
      <c r="A2381" s="46" t="s">
        <v>32</v>
      </c>
      <c r="B2381" s="46" t="s">
        <v>32</v>
      </c>
      <c r="C2381" s="46" t="s">
        <v>32</v>
      </c>
      <c r="D2381" s="46" t="s">
        <v>32</v>
      </c>
      <c r="E2381" s="46" t="s">
        <v>32</v>
      </c>
      <c r="F2381" s="47">
        <f>[1]!BexGetData("DP_2","DL719O2RYNC0Y217V0FVT1R77","17","M","15025031M101","2067221021")</f>
        <v>5640</v>
      </c>
      <c r="G2381" s="48">
        <f>[1]!BexGetData("DP_2","DL719O2RYNEBZX0HTMQQ0BY0J","17","M","15025031M101","2067221021")</f>
        <v>5640</v>
      </c>
      <c r="H2381" s="48">
        <f>[1]!BexGetData("DP_2","DL719O2RYNGN1RZRS91K7M4TV","17","M","15025031M101","2067221021")</f>
        <v>5640</v>
      </c>
      <c r="I2381" s="48">
        <f>[1]!BexGetData("DP_2","DL719O2RYNIY3MZ1QVCEEWBN7","17","M","15025031M101","2067221021")</f>
        <v>0</v>
      </c>
    </row>
    <row r="2382" spans="1:9" x14ac:dyDescent="0.2">
      <c r="A2382" s="46" t="s">
        <v>32</v>
      </c>
      <c r="B2382" s="46" t="s">
        <v>32</v>
      </c>
      <c r="C2382" s="46" t="s">
        <v>32</v>
      </c>
      <c r="D2382" s="46" t="s">
        <v>32</v>
      </c>
      <c r="E2382" s="46" t="s">
        <v>32</v>
      </c>
      <c r="F2382" s="47">
        <f>[1]!BexGetData("DP_2","DL719O2RYNC0Y217V0FVT1R77","17","M","15025031M101","2067221031")</f>
        <v>1620.8</v>
      </c>
      <c r="G2382" s="48">
        <f>[1]!BexGetData("DP_2","DL719O2RYNEBZX0HTMQQ0BY0J","17","M","15025031M101","2067221031")</f>
        <v>1620.8</v>
      </c>
      <c r="H2382" s="48">
        <f>[1]!BexGetData("DP_2","DL719O2RYNGN1RZRS91K7M4TV","17","M","15025031M101","2067221031")</f>
        <v>1620.8</v>
      </c>
      <c r="I2382" s="48">
        <f>[1]!BexGetData("DP_2","DL719O2RYNIY3MZ1QVCEEWBN7","17","M","15025031M101","2067221031")</f>
        <v>0</v>
      </c>
    </row>
    <row r="2383" spans="1:9" x14ac:dyDescent="0.2">
      <c r="A2383" s="46" t="s">
        <v>32</v>
      </c>
      <c r="B2383" s="46" t="s">
        <v>32</v>
      </c>
      <c r="C2383" s="46" t="s">
        <v>32</v>
      </c>
      <c r="D2383" s="46" t="s">
        <v>32</v>
      </c>
      <c r="E2383" s="46" t="s">
        <v>32</v>
      </c>
      <c r="F2383" s="47">
        <f>[1]!BexGetData("DP_2","DL719O2RYNC0Y217V0FVT1R77","17","M","15025031M101","2067223011")</f>
        <v>2320</v>
      </c>
      <c r="G2383" s="48">
        <f>[1]!BexGetData("DP_2","DL719O2RYNEBZX0HTMQQ0BY0J","17","M","15025031M101","2067223011")</f>
        <v>2320</v>
      </c>
      <c r="H2383" s="48">
        <f>[1]!BexGetData("DP_2","DL719O2RYNGN1RZRS91K7M4TV","17","M","15025031M101","2067223011")</f>
        <v>2320</v>
      </c>
      <c r="I2383" s="48">
        <f>[1]!BexGetData("DP_2","DL719O2RYNIY3MZ1QVCEEWBN7","17","M","15025031M101","2067223011")</f>
        <v>0</v>
      </c>
    </row>
    <row r="2384" spans="1:9" x14ac:dyDescent="0.2">
      <c r="A2384" s="46" t="s">
        <v>32</v>
      </c>
      <c r="B2384" s="46" t="s">
        <v>32</v>
      </c>
      <c r="C2384" s="46" t="s">
        <v>32</v>
      </c>
      <c r="D2384" s="46" t="s">
        <v>32</v>
      </c>
      <c r="E2384" s="46" t="s">
        <v>32</v>
      </c>
      <c r="F2384" s="47">
        <f>[1]!BexGetData("DP_2","DL719O2RYNC0Y217V0FVT1R77","17","M","15025031M101","2067243011")</f>
        <v>2890.27</v>
      </c>
      <c r="G2384" s="48">
        <f>[1]!BexGetData("DP_2","DL719O2RYNEBZX0HTMQQ0BY0J","17","M","15025031M101","2067243011")</f>
        <v>2890.27</v>
      </c>
      <c r="H2384" s="48">
        <f>[1]!BexGetData("DP_2","DL719O2RYNGN1RZRS91K7M4TV","17","M","15025031M101","2067243011")</f>
        <v>2890.27</v>
      </c>
      <c r="I2384" s="48">
        <f>[1]!BexGetData("DP_2","DL719O2RYNIY3MZ1QVCEEWBN7","17","M","15025031M101","2067243011")</f>
        <v>0</v>
      </c>
    </row>
    <row r="2385" spans="1:9" x14ac:dyDescent="0.2">
      <c r="A2385" s="46" t="s">
        <v>32</v>
      </c>
      <c r="B2385" s="46" t="s">
        <v>32</v>
      </c>
      <c r="C2385" s="46" t="s">
        <v>32</v>
      </c>
      <c r="D2385" s="46" t="s">
        <v>32</v>
      </c>
      <c r="E2385" s="46" t="s">
        <v>32</v>
      </c>
      <c r="F2385" s="47">
        <f>[1]!BexGetData("DP_2","DL719O2RYNC0Y217V0FVT1R77","17","M","15025031M101","2067244011")</f>
        <v>525</v>
      </c>
      <c r="G2385" s="48">
        <f>[1]!BexGetData("DP_2","DL719O2RYNEBZX0HTMQQ0BY0J","17","M","15025031M101","2067244011")</f>
        <v>525</v>
      </c>
      <c r="H2385" s="48">
        <f>[1]!BexGetData("DP_2","DL719O2RYNGN1RZRS91K7M4TV","17","M","15025031M101","2067244011")</f>
        <v>525</v>
      </c>
      <c r="I2385" s="48">
        <f>[1]!BexGetData("DP_2","DL719O2RYNIY3MZ1QVCEEWBN7","17","M","15025031M101","2067244011")</f>
        <v>0</v>
      </c>
    </row>
    <row r="2386" spans="1:9" x14ac:dyDescent="0.2">
      <c r="A2386" s="46" t="s">
        <v>32</v>
      </c>
      <c r="B2386" s="46" t="s">
        <v>32</v>
      </c>
      <c r="C2386" s="46" t="s">
        <v>32</v>
      </c>
      <c r="D2386" s="46" t="s">
        <v>32</v>
      </c>
      <c r="E2386" s="46" t="s">
        <v>32</v>
      </c>
      <c r="F2386" s="47">
        <f>[1]!BexGetData("DP_2","DL719O2RYNC0Y217V0FVT1R77","17","M","15025031M101","2067245011")</f>
        <v>365</v>
      </c>
      <c r="G2386" s="48">
        <f>[1]!BexGetData("DP_2","DL719O2RYNEBZX0HTMQQ0BY0J","17","M","15025031M101","2067245011")</f>
        <v>365</v>
      </c>
      <c r="H2386" s="48">
        <f>[1]!BexGetData("DP_2","DL719O2RYNGN1RZRS91K7M4TV","17","M","15025031M101","2067245011")</f>
        <v>365</v>
      </c>
      <c r="I2386" s="48">
        <f>[1]!BexGetData("DP_2","DL719O2RYNIY3MZ1QVCEEWBN7","17","M","15025031M101","2067245011")</f>
        <v>0</v>
      </c>
    </row>
    <row r="2387" spans="1:9" x14ac:dyDescent="0.2">
      <c r="A2387" s="46" t="s">
        <v>32</v>
      </c>
      <c r="B2387" s="46" t="s">
        <v>32</v>
      </c>
      <c r="C2387" s="46" t="s">
        <v>32</v>
      </c>
      <c r="D2387" s="46" t="s">
        <v>32</v>
      </c>
      <c r="E2387" s="46" t="s">
        <v>32</v>
      </c>
      <c r="F2387" s="47">
        <f>[1]!BexGetData("DP_2","DL719O2RYNC0Y217V0FVT1R77","17","M","15025031M101","2067246011")</f>
        <v>56878.01</v>
      </c>
      <c r="G2387" s="48">
        <f>[1]!BexGetData("DP_2","DL719O2RYNEBZX0HTMQQ0BY0J","17","M","15025031M101","2067246011")</f>
        <v>56878.01</v>
      </c>
      <c r="H2387" s="48">
        <f>[1]!BexGetData("DP_2","DL719O2RYNGN1RZRS91K7M4TV","17","M","15025031M101","2067246011")</f>
        <v>56878.01</v>
      </c>
      <c r="I2387" s="48">
        <f>[1]!BexGetData("DP_2","DL719O2RYNIY3MZ1QVCEEWBN7","17","M","15025031M101","2067246011")</f>
        <v>0</v>
      </c>
    </row>
    <row r="2388" spans="1:9" x14ac:dyDescent="0.2">
      <c r="A2388" s="46" t="s">
        <v>32</v>
      </c>
      <c r="B2388" s="46" t="s">
        <v>32</v>
      </c>
      <c r="C2388" s="46" t="s">
        <v>32</v>
      </c>
      <c r="D2388" s="46" t="s">
        <v>32</v>
      </c>
      <c r="E2388" s="46" t="s">
        <v>32</v>
      </c>
      <c r="F2388" s="47">
        <f>[1]!BexGetData("DP_2","DL719O2RYNC0Y217V0FVT1R77","17","M","15025031M101","2067247011")</f>
        <v>48657.86</v>
      </c>
      <c r="G2388" s="48">
        <f>[1]!BexGetData("DP_2","DL719O2RYNEBZX0HTMQQ0BY0J","17","M","15025031M101","2067247011")</f>
        <v>48657.86</v>
      </c>
      <c r="H2388" s="48">
        <f>[1]!BexGetData("DP_2","DL719O2RYNGN1RZRS91K7M4TV","17","M","15025031M101","2067247011")</f>
        <v>48657.86</v>
      </c>
      <c r="I2388" s="48">
        <f>[1]!BexGetData("DP_2","DL719O2RYNIY3MZ1QVCEEWBN7","17","M","15025031M101","2067247011")</f>
        <v>0</v>
      </c>
    </row>
    <row r="2389" spans="1:9" x14ac:dyDescent="0.2">
      <c r="A2389" s="46" t="s">
        <v>32</v>
      </c>
      <c r="B2389" s="46" t="s">
        <v>32</v>
      </c>
      <c r="C2389" s="46" t="s">
        <v>32</v>
      </c>
      <c r="D2389" s="46" t="s">
        <v>32</v>
      </c>
      <c r="E2389" s="46" t="s">
        <v>32</v>
      </c>
      <c r="F2389" s="47">
        <f>[1]!BexGetData("DP_2","DL719O2RYNC0Y217V0FVT1R77","17","M","15025031M101","2067249011")</f>
        <v>276862.25</v>
      </c>
      <c r="G2389" s="48">
        <f>[1]!BexGetData("DP_2","DL719O2RYNEBZX0HTMQQ0BY0J","17","M","15025031M101","2067249011")</f>
        <v>276862.25</v>
      </c>
      <c r="H2389" s="48">
        <f>[1]!BexGetData("DP_2","DL719O2RYNGN1RZRS91K7M4TV","17","M","15025031M101","2067249011")</f>
        <v>223812.25</v>
      </c>
      <c r="I2389" s="48">
        <f>[1]!BexGetData("DP_2","DL719O2RYNIY3MZ1QVCEEWBN7","17","M","15025031M101","2067249011")</f>
        <v>0</v>
      </c>
    </row>
    <row r="2390" spans="1:9" x14ac:dyDescent="0.2">
      <c r="A2390" s="46" t="s">
        <v>32</v>
      </c>
      <c r="B2390" s="46" t="s">
        <v>32</v>
      </c>
      <c r="C2390" s="46" t="s">
        <v>32</v>
      </c>
      <c r="D2390" s="46" t="s">
        <v>32</v>
      </c>
      <c r="E2390" s="46" t="s">
        <v>32</v>
      </c>
      <c r="F2390" s="47">
        <f>[1]!BexGetData("DP_2","DL719O2RYNC0Y217V0FVT1R77","17","M","15025031M101","2067254021")</f>
        <v>47</v>
      </c>
      <c r="G2390" s="48">
        <f>[1]!BexGetData("DP_2","DL719O2RYNEBZX0HTMQQ0BY0J","17","M","15025031M101","2067254021")</f>
        <v>47</v>
      </c>
      <c r="H2390" s="48">
        <f>[1]!BexGetData("DP_2","DL719O2RYNGN1RZRS91K7M4TV","17","M","15025031M101","2067254021")</f>
        <v>47</v>
      </c>
      <c r="I2390" s="48">
        <f>[1]!BexGetData("DP_2","DL719O2RYNIY3MZ1QVCEEWBN7","17","M","15025031M101","2067254021")</f>
        <v>0</v>
      </c>
    </row>
    <row r="2391" spans="1:9" x14ac:dyDescent="0.2">
      <c r="A2391" s="46" t="s">
        <v>32</v>
      </c>
      <c r="B2391" s="46" t="s">
        <v>32</v>
      </c>
      <c r="C2391" s="46" t="s">
        <v>32</v>
      </c>
      <c r="D2391" s="46" t="s">
        <v>32</v>
      </c>
      <c r="E2391" s="46" t="s">
        <v>32</v>
      </c>
      <c r="F2391" s="47">
        <f>[1]!BexGetData("DP_2","DL719O2RYNC0Y217V0FVT1R77","17","M","15025031M101","2067256011")</f>
        <v>16973.78</v>
      </c>
      <c r="G2391" s="48">
        <f>[1]!BexGetData("DP_2","DL719O2RYNEBZX0HTMQQ0BY0J","17","M","15025031M101","2067256011")</f>
        <v>16973.78</v>
      </c>
      <c r="H2391" s="48">
        <f>[1]!BexGetData("DP_2","DL719O2RYNGN1RZRS91K7M4TV","17","M","15025031M101","2067256011")</f>
        <v>16973.78</v>
      </c>
      <c r="I2391" s="48">
        <f>[1]!BexGetData("DP_2","DL719O2RYNIY3MZ1QVCEEWBN7","17","M","15025031M101","2067256011")</f>
        <v>0</v>
      </c>
    </row>
    <row r="2392" spans="1:9" x14ac:dyDescent="0.2">
      <c r="A2392" s="46" t="s">
        <v>32</v>
      </c>
      <c r="B2392" s="46" t="s">
        <v>32</v>
      </c>
      <c r="C2392" s="46" t="s">
        <v>32</v>
      </c>
      <c r="D2392" s="46" t="s">
        <v>32</v>
      </c>
      <c r="E2392" s="46" t="s">
        <v>32</v>
      </c>
      <c r="F2392" s="47">
        <f>[1]!BexGetData("DP_2","DL719O2RYNC0Y217V0FVT1R77","17","M","15025031M101","2067259011")</f>
        <v>233</v>
      </c>
      <c r="G2392" s="48">
        <f>[1]!BexGetData("DP_2","DL719O2RYNEBZX0HTMQQ0BY0J","17","M","15025031M101","2067259011")</f>
        <v>233</v>
      </c>
      <c r="H2392" s="48">
        <f>[1]!BexGetData("DP_2","DL719O2RYNGN1RZRS91K7M4TV","17","M","15025031M101","2067259011")</f>
        <v>233</v>
      </c>
      <c r="I2392" s="48">
        <f>[1]!BexGetData("DP_2","DL719O2RYNIY3MZ1QVCEEWBN7","17","M","15025031M101","2067259011")</f>
        <v>0</v>
      </c>
    </row>
    <row r="2393" spans="1:9" x14ac:dyDescent="0.2">
      <c r="A2393" s="46" t="s">
        <v>32</v>
      </c>
      <c r="B2393" s="46" t="s">
        <v>32</v>
      </c>
      <c r="C2393" s="46" t="s">
        <v>32</v>
      </c>
      <c r="D2393" s="46" t="s">
        <v>32</v>
      </c>
      <c r="E2393" s="46" t="s">
        <v>32</v>
      </c>
      <c r="F2393" s="47">
        <f>[1]!BexGetData("DP_2","DL719O2RYNC0Y217V0FVT1R77","17","M","15025031M101","2067261011")</f>
        <v>31954.53</v>
      </c>
      <c r="G2393" s="48">
        <f>[1]!BexGetData("DP_2","DL719O2RYNEBZX0HTMQQ0BY0J","17","M","15025031M101","2067261011")</f>
        <v>31954.53</v>
      </c>
      <c r="H2393" s="48">
        <f>[1]!BexGetData("DP_2","DL719O2RYNGN1RZRS91K7M4TV","17","M","15025031M101","2067261011")</f>
        <v>27954.53</v>
      </c>
      <c r="I2393" s="48">
        <f>[1]!BexGetData("DP_2","DL719O2RYNIY3MZ1QVCEEWBN7","17","M","15025031M101","2067261011")</f>
        <v>0</v>
      </c>
    </row>
    <row r="2394" spans="1:9" x14ac:dyDescent="0.2">
      <c r="A2394" s="46" t="s">
        <v>32</v>
      </c>
      <c r="B2394" s="46" t="s">
        <v>32</v>
      </c>
      <c r="C2394" s="46" t="s">
        <v>32</v>
      </c>
      <c r="D2394" s="46" t="s">
        <v>32</v>
      </c>
      <c r="E2394" s="46" t="s">
        <v>32</v>
      </c>
      <c r="F2394" s="47">
        <f>[1]!BexGetData("DP_2","DL719O2RYNC0Y217V0FVT1R77","17","M","15025031M101","2067261021")</f>
        <v>640.32000000000005</v>
      </c>
      <c r="G2394" s="48">
        <f>[1]!BexGetData("DP_2","DL719O2RYNEBZX0HTMQQ0BY0J","17","M","15025031M101","2067261021")</f>
        <v>640.32000000000005</v>
      </c>
      <c r="H2394" s="48">
        <f>[1]!BexGetData("DP_2","DL719O2RYNGN1RZRS91K7M4TV","17","M","15025031M101","2067261021")</f>
        <v>320.16000000000003</v>
      </c>
      <c r="I2394" s="48">
        <f>[1]!BexGetData("DP_2","DL719O2RYNIY3MZ1QVCEEWBN7","17","M","15025031M101","2067261021")</f>
        <v>0</v>
      </c>
    </row>
    <row r="2395" spans="1:9" x14ac:dyDescent="0.2">
      <c r="A2395" s="46" t="s">
        <v>32</v>
      </c>
      <c r="B2395" s="46" t="s">
        <v>32</v>
      </c>
      <c r="C2395" s="46" t="s">
        <v>32</v>
      </c>
      <c r="D2395" s="46" t="s">
        <v>32</v>
      </c>
      <c r="E2395" s="46" t="s">
        <v>32</v>
      </c>
      <c r="F2395" s="47">
        <f>[1]!BexGetData("DP_2","DL719O2RYNC0Y217V0FVT1R77","17","M","15025031M101","2067271011")</f>
        <v>21104.46</v>
      </c>
      <c r="G2395" s="48">
        <f>[1]!BexGetData("DP_2","DL719O2RYNEBZX0HTMQQ0BY0J","17","M","15025031M101","2067271011")</f>
        <v>21104.46</v>
      </c>
      <c r="H2395" s="48">
        <f>[1]!BexGetData("DP_2","DL719O2RYNGN1RZRS91K7M4TV","17","M","15025031M101","2067271011")</f>
        <v>21104.46</v>
      </c>
      <c r="I2395" s="48">
        <f>[1]!BexGetData("DP_2","DL719O2RYNIY3MZ1QVCEEWBN7","17","M","15025031M101","2067271011")</f>
        <v>0</v>
      </c>
    </row>
    <row r="2396" spans="1:9" x14ac:dyDescent="0.2">
      <c r="A2396" s="46" t="s">
        <v>32</v>
      </c>
      <c r="B2396" s="46" t="s">
        <v>32</v>
      </c>
      <c r="C2396" s="46" t="s">
        <v>32</v>
      </c>
      <c r="D2396" s="46" t="s">
        <v>32</v>
      </c>
      <c r="E2396" s="46" t="s">
        <v>32</v>
      </c>
      <c r="F2396" s="47">
        <f>[1]!BexGetData("DP_2","DL719O2RYNC0Y217V0FVT1R77","17","M","15025031M101","2067272011")</f>
        <v>6514.01</v>
      </c>
      <c r="G2396" s="48">
        <f>[1]!BexGetData("DP_2","DL719O2RYNEBZX0HTMQQ0BY0J","17","M","15025031M101","2067272011")</f>
        <v>6514.01</v>
      </c>
      <c r="H2396" s="48">
        <f>[1]!BexGetData("DP_2","DL719O2RYNGN1RZRS91K7M4TV","17","M","15025031M101","2067272011")</f>
        <v>6514.01</v>
      </c>
      <c r="I2396" s="48">
        <f>[1]!BexGetData("DP_2","DL719O2RYNIY3MZ1QVCEEWBN7","17","M","15025031M101","2067272011")</f>
        <v>0</v>
      </c>
    </row>
    <row r="2397" spans="1:9" x14ac:dyDescent="0.2">
      <c r="A2397" s="46" t="s">
        <v>32</v>
      </c>
      <c r="B2397" s="46" t="s">
        <v>32</v>
      </c>
      <c r="C2397" s="46" t="s">
        <v>32</v>
      </c>
      <c r="D2397" s="46" t="s">
        <v>32</v>
      </c>
      <c r="E2397" s="46" t="s">
        <v>32</v>
      </c>
      <c r="F2397" s="47">
        <f>[1]!BexGetData("DP_2","DL719O2RYNC0Y217V0FVT1R77","17","M","15025031M101","2067274011")</f>
        <v>1061.4000000000001</v>
      </c>
      <c r="G2397" s="48">
        <f>[1]!BexGetData("DP_2","DL719O2RYNEBZX0HTMQQ0BY0J","17","M","15025031M101","2067274011")</f>
        <v>1061.4000000000001</v>
      </c>
      <c r="H2397" s="48">
        <f>[1]!BexGetData("DP_2","DL719O2RYNGN1RZRS91K7M4TV","17","M","15025031M101","2067274011")</f>
        <v>1061.4000000000001</v>
      </c>
      <c r="I2397" s="48">
        <f>[1]!BexGetData("DP_2","DL719O2RYNIY3MZ1QVCEEWBN7","17","M","15025031M101","2067274011")</f>
        <v>0</v>
      </c>
    </row>
    <row r="2398" spans="1:9" x14ac:dyDescent="0.2">
      <c r="A2398" s="46" t="s">
        <v>32</v>
      </c>
      <c r="B2398" s="46" t="s">
        <v>32</v>
      </c>
      <c r="C2398" s="46" t="s">
        <v>32</v>
      </c>
      <c r="D2398" s="46" t="s">
        <v>32</v>
      </c>
      <c r="E2398" s="46" t="s">
        <v>32</v>
      </c>
      <c r="F2398" s="47">
        <f>[1]!BexGetData("DP_2","DL719O2RYNC0Y217V0FVT1R77","17","M","15025031M101","2067291011")</f>
        <v>13761.49</v>
      </c>
      <c r="G2398" s="48">
        <f>[1]!BexGetData("DP_2","DL719O2RYNEBZX0HTMQQ0BY0J","17","M","15025031M101","2067291011")</f>
        <v>13761.49</v>
      </c>
      <c r="H2398" s="48">
        <f>[1]!BexGetData("DP_2","DL719O2RYNGN1RZRS91K7M4TV","17","M","15025031M101","2067291011")</f>
        <v>13761.49</v>
      </c>
      <c r="I2398" s="48">
        <f>[1]!BexGetData("DP_2","DL719O2RYNIY3MZ1QVCEEWBN7","17","M","15025031M101","2067291011")</f>
        <v>0</v>
      </c>
    </row>
    <row r="2399" spans="1:9" x14ac:dyDescent="0.2">
      <c r="A2399" s="46" t="s">
        <v>32</v>
      </c>
      <c r="B2399" s="46" t="s">
        <v>32</v>
      </c>
      <c r="C2399" s="46" t="s">
        <v>32</v>
      </c>
      <c r="D2399" s="46" t="s">
        <v>32</v>
      </c>
      <c r="E2399" s="46" t="s">
        <v>32</v>
      </c>
      <c r="F2399" s="47">
        <f>[1]!BexGetData("DP_2","DL719O2RYNC0Y217V0FVT1R77","17","M","15025031M101","2067292011")</f>
        <v>11798.47</v>
      </c>
      <c r="G2399" s="48">
        <f>[1]!BexGetData("DP_2","DL719O2RYNEBZX0HTMQQ0BY0J","17","M","15025031M101","2067292011")</f>
        <v>11798.47</v>
      </c>
      <c r="H2399" s="48">
        <f>[1]!BexGetData("DP_2","DL719O2RYNGN1RZRS91K7M4TV","17","M","15025031M101","2067292011")</f>
        <v>11798.47</v>
      </c>
      <c r="I2399" s="48">
        <f>[1]!BexGetData("DP_2","DL719O2RYNIY3MZ1QVCEEWBN7","17","M","15025031M101","2067292011")</f>
        <v>0</v>
      </c>
    </row>
    <row r="2400" spans="1:9" x14ac:dyDescent="0.2">
      <c r="A2400" s="46" t="s">
        <v>32</v>
      </c>
      <c r="B2400" s="46" t="s">
        <v>32</v>
      </c>
      <c r="C2400" s="46" t="s">
        <v>32</v>
      </c>
      <c r="D2400" s="46" t="s">
        <v>32</v>
      </c>
      <c r="E2400" s="46" t="s">
        <v>32</v>
      </c>
      <c r="F2400" s="47">
        <f>[1]!BexGetData("DP_2","DL719O2RYNC0Y217V0FVT1R77","17","M","15025031M101","2067293061")</f>
        <v>807.3</v>
      </c>
      <c r="G2400" s="48">
        <f>[1]!BexGetData("DP_2","DL719O2RYNEBZX0HTMQQ0BY0J","17","M","15025031M101","2067293061")</f>
        <v>807.3</v>
      </c>
      <c r="H2400" s="48">
        <f>[1]!BexGetData("DP_2","DL719O2RYNGN1RZRS91K7M4TV","17","M","15025031M101","2067293061")</f>
        <v>807.3</v>
      </c>
      <c r="I2400" s="48">
        <f>[1]!BexGetData("DP_2","DL719O2RYNIY3MZ1QVCEEWBN7","17","M","15025031M101","2067293061")</f>
        <v>0</v>
      </c>
    </row>
    <row r="2401" spans="1:9" x14ac:dyDescent="0.2">
      <c r="A2401" s="46" t="s">
        <v>32</v>
      </c>
      <c r="B2401" s="46" t="s">
        <v>32</v>
      </c>
      <c r="C2401" s="46" t="s">
        <v>32</v>
      </c>
      <c r="D2401" s="46" t="s">
        <v>32</v>
      </c>
      <c r="E2401" s="46" t="s">
        <v>32</v>
      </c>
      <c r="F2401" s="47">
        <f>[1]!BexGetData("DP_2","DL719O2RYNC0Y217V0FVT1R77","17","M","15025031M101","2067294011")</f>
        <v>5342.77</v>
      </c>
      <c r="G2401" s="48">
        <f>[1]!BexGetData("DP_2","DL719O2RYNEBZX0HTMQQ0BY0J","17","M","15025031M101","2067294011")</f>
        <v>5342.77</v>
      </c>
      <c r="H2401" s="48">
        <f>[1]!BexGetData("DP_2","DL719O2RYNGN1RZRS91K7M4TV","17","M","15025031M101","2067294011")</f>
        <v>5342.77</v>
      </c>
      <c r="I2401" s="48">
        <f>[1]!BexGetData("DP_2","DL719O2RYNIY3MZ1QVCEEWBN7","17","M","15025031M101","2067294011")</f>
        <v>0</v>
      </c>
    </row>
    <row r="2402" spans="1:9" x14ac:dyDescent="0.2">
      <c r="A2402" s="46" t="s">
        <v>32</v>
      </c>
      <c r="B2402" s="46" t="s">
        <v>32</v>
      </c>
      <c r="C2402" s="46" t="s">
        <v>32</v>
      </c>
      <c r="D2402" s="46" t="s">
        <v>32</v>
      </c>
      <c r="E2402" s="46" t="s">
        <v>32</v>
      </c>
      <c r="F2402" s="47">
        <f>[1]!BexGetData("DP_2","DL719O2RYNC0Y217V0FVT1R77","17","M","15025031M101","2067296011")</f>
        <v>10134.92</v>
      </c>
      <c r="G2402" s="48">
        <f>[1]!BexGetData("DP_2","DL719O2RYNEBZX0HTMQQ0BY0J","17","M","15025031M101","2067296011")</f>
        <v>10134.92</v>
      </c>
      <c r="H2402" s="48">
        <f>[1]!BexGetData("DP_2","DL719O2RYNGN1RZRS91K7M4TV","17","M","15025031M101","2067296011")</f>
        <v>9870.44</v>
      </c>
      <c r="I2402" s="48">
        <f>[1]!BexGetData("DP_2","DL719O2RYNIY3MZ1QVCEEWBN7","17","M","15025031M101","2067296011")</f>
        <v>0</v>
      </c>
    </row>
    <row r="2403" spans="1:9" x14ac:dyDescent="0.2">
      <c r="A2403" s="46" t="s">
        <v>32</v>
      </c>
      <c r="B2403" s="46" t="s">
        <v>32</v>
      </c>
      <c r="C2403" s="46" t="s">
        <v>32</v>
      </c>
      <c r="D2403" s="46" t="s">
        <v>32</v>
      </c>
      <c r="E2403" s="46" t="s">
        <v>32</v>
      </c>
      <c r="F2403" s="47">
        <f>[1]!BexGetData("DP_2","DL719O2RYNC0Y217V0FVT1R77","17","M","15025031M101","2067298021")</f>
        <v>75.010000000000005</v>
      </c>
      <c r="G2403" s="48">
        <f>[1]!BexGetData("DP_2","DL719O2RYNEBZX0HTMQQ0BY0J","17","M","15025031M101","2067298021")</f>
        <v>75.010000000000005</v>
      </c>
      <c r="H2403" s="48">
        <f>[1]!BexGetData("DP_2","DL719O2RYNGN1RZRS91K7M4TV","17","M","15025031M101","2067298021")</f>
        <v>75.010000000000005</v>
      </c>
      <c r="I2403" s="48">
        <f>[1]!BexGetData("DP_2","DL719O2RYNIY3MZ1QVCEEWBN7","17","M","15025031M101","2067298021")</f>
        <v>0</v>
      </c>
    </row>
    <row r="2404" spans="1:9" x14ac:dyDescent="0.2">
      <c r="A2404" s="46" t="s">
        <v>32</v>
      </c>
      <c r="B2404" s="46" t="s">
        <v>32</v>
      </c>
      <c r="C2404" s="46" t="s">
        <v>32</v>
      </c>
      <c r="D2404" s="46" t="s">
        <v>32</v>
      </c>
      <c r="E2404" s="46" t="s">
        <v>32</v>
      </c>
      <c r="F2404" s="47">
        <f>[1]!BexGetData("DP_2","DL719O2RYNC0Y217V0FVT1R77","17","M","15025031M101","2067298061")</f>
        <v>54000.32</v>
      </c>
      <c r="G2404" s="48">
        <f>[1]!BexGetData("DP_2","DL719O2RYNEBZX0HTMQQ0BY0J","17","M","15025031M101","2067298061")</f>
        <v>54000.32</v>
      </c>
      <c r="H2404" s="48">
        <f>[1]!BexGetData("DP_2","DL719O2RYNGN1RZRS91K7M4TV","17","M","15025031M101","2067298061")</f>
        <v>54000.32</v>
      </c>
      <c r="I2404" s="48">
        <f>[1]!BexGetData("DP_2","DL719O2RYNIY3MZ1QVCEEWBN7","17","M","15025031M101","2067298061")</f>
        <v>0</v>
      </c>
    </row>
    <row r="2405" spans="1:9" x14ac:dyDescent="0.2">
      <c r="A2405" s="46" t="s">
        <v>32</v>
      </c>
      <c r="B2405" s="46" t="s">
        <v>32</v>
      </c>
      <c r="C2405" s="46" t="s">
        <v>32</v>
      </c>
      <c r="D2405" s="46" t="s">
        <v>32</v>
      </c>
      <c r="E2405" s="46" t="s">
        <v>32</v>
      </c>
      <c r="F2405" s="47">
        <f>[1]!BexGetData("DP_2","DL719O2RYNC0Y217V0FVT1R77","17","M","15025031M101","2067311011")</f>
        <v>172651.19</v>
      </c>
      <c r="G2405" s="48">
        <f>[1]!BexGetData("DP_2","DL719O2RYNEBZX0HTMQQ0BY0J","17","M","15025031M101","2067311011")</f>
        <v>172651.19</v>
      </c>
      <c r="H2405" s="48">
        <f>[1]!BexGetData("DP_2","DL719O2RYNGN1RZRS91K7M4TV","17","M","15025031M101","2067311011")</f>
        <v>171646.19</v>
      </c>
      <c r="I2405" s="48">
        <f>[1]!BexGetData("DP_2","DL719O2RYNIY3MZ1QVCEEWBN7","17","M","15025031M101","2067311011")</f>
        <v>0</v>
      </c>
    </row>
    <row r="2406" spans="1:9" x14ac:dyDescent="0.2">
      <c r="A2406" s="46" t="s">
        <v>32</v>
      </c>
      <c r="B2406" s="46" t="s">
        <v>32</v>
      </c>
      <c r="C2406" s="46" t="s">
        <v>32</v>
      </c>
      <c r="D2406" s="46" t="s">
        <v>32</v>
      </c>
      <c r="E2406" s="46" t="s">
        <v>32</v>
      </c>
      <c r="F2406" s="47">
        <f>[1]!BexGetData("DP_2","DL719O2RYNC0Y217V0FVT1R77","17","M","15025031M101","2067313011")</f>
        <v>15157</v>
      </c>
      <c r="G2406" s="48">
        <f>[1]!BexGetData("DP_2","DL719O2RYNEBZX0HTMQQ0BY0J","17","M","15025031M101","2067313011")</f>
        <v>15157</v>
      </c>
      <c r="H2406" s="48">
        <f>[1]!BexGetData("DP_2","DL719O2RYNGN1RZRS91K7M4TV","17","M","15025031M101","2067313011")</f>
        <v>15157</v>
      </c>
      <c r="I2406" s="48">
        <f>[1]!BexGetData("DP_2","DL719O2RYNIY3MZ1QVCEEWBN7","17","M","15025031M101","2067313011")</f>
        <v>0</v>
      </c>
    </row>
    <row r="2407" spans="1:9" x14ac:dyDescent="0.2">
      <c r="A2407" s="46" t="s">
        <v>32</v>
      </c>
      <c r="B2407" s="46" t="s">
        <v>32</v>
      </c>
      <c r="C2407" s="46" t="s">
        <v>32</v>
      </c>
      <c r="D2407" s="46" t="s">
        <v>32</v>
      </c>
      <c r="E2407" s="46" t="s">
        <v>32</v>
      </c>
      <c r="F2407" s="47">
        <f>[1]!BexGetData("DP_2","DL719O2RYNC0Y217V0FVT1R77","17","M","15025031M101","2067314011")</f>
        <v>82717.279999999999</v>
      </c>
      <c r="G2407" s="48">
        <f>[1]!BexGetData("DP_2","DL719O2RYNEBZX0HTMQQ0BY0J","17","M","15025031M101","2067314011")</f>
        <v>82717.279999999999</v>
      </c>
      <c r="H2407" s="48">
        <f>[1]!BexGetData("DP_2","DL719O2RYNGN1RZRS91K7M4TV","17","M","15025031M101","2067314011")</f>
        <v>82717.279999999999</v>
      </c>
      <c r="I2407" s="48">
        <f>[1]!BexGetData("DP_2","DL719O2RYNIY3MZ1QVCEEWBN7","17","M","15025031M101","2067314011")</f>
        <v>0</v>
      </c>
    </row>
    <row r="2408" spans="1:9" x14ac:dyDescent="0.2">
      <c r="A2408" s="46" t="s">
        <v>32</v>
      </c>
      <c r="B2408" s="46" t="s">
        <v>32</v>
      </c>
      <c r="C2408" s="46" t="s">
        <v>32</v>
      </c>
      <c r="D2408" s="46" t="s">
        <v>32</v>
      </c>
      <c r="E2408" s="46" t="s">
        <v>32</v>
      </c>
      <c r="F2408" s="47">
        <f>[1]!BexGetData("DP_2","DL719O2RYNC0Y217V0FVT1R77","17","M","15025031M101","2067317011")</f>
        <v>167040</v>
      </c>
      <c r="G2408" s="48">
        <f>[1]!BexGetData("DP_2","DL719O2RYNEBZX0HTMQQ0BY0J","17","M","15025031M101","2067317011")</f>
        <v>167040</v>
      </c>
      <c r="H2408" s="48">
        <f>[1]!BexGetData("DP_2","DL719O2RYNGN1RZRS91K7M4TV","17","M","15025031M101","2067317011")</f>
        <v>167040</v>
      </c>
      <c r="I2408" s="48">
        <f>[1]!BexGetData("DP_2","DL719O2RYNIY3MZ1QVCEEWBN7","17","M","15025031M101","2067317011")</f>
        <v>0</v>
      </c>
    </row>
    <row r="2409" spans="1:9" x14ac:dyDescent="0.2">
      <c r="A2409" s="46" t="s">
        <v>32</v>
      </c>
      <c r="B2409" s="46" t="s">
        <v>32</v>
      </c>
      <c r="C2409" s="46" t="s">
        <v>32</v>
      </c>
      <c r="D2409" s="46" t="s">
        <v>32</v>
      </c>
      <c r="E2409" s="46" t="s">
        <v>32</v>
      </c>
      <c r="F2409" s="47">
        <f>[1]!BexGetData("DP_2","DL719O2RYNC0Y217V0FVT1R77","17","M","15025031M101","2067318011")</f>
        <v>0</v>
      </c>
      <c r="G2409" s="48">
        <f>[1]!BexGetData("DP_2","DL719O2RYNEBZX0HTMQQ0BY0J","17","M","15025031M101","2067318011")</f>
        <v>0</v>
      </c>
      <c r="H2409" s="48">
        <f>[1]!BexGetData("DP_2","DL719O2RYNGN1RZRS91K7M4TV","17","M","15025031M101","2067318011")</f>
        <v>0</v>
      </c>
      <c r="I2409" s="48">
        <f>[1]!BexGetData("DP_2","DL719O2RYNIY3MZ1QVCEEWBN7","17","M","15025031M101","2067318011")</f>
        <v>0</v>
      </c>
    </row>
    <row r="2410" spans="1:9" x14ac:dyDescent="0.2">
      <c r="A2410" s="46" t="s">
        <v>32</v>
      </c>
      <c r="B2410" s="46" t="s">
        <v>32</v>
      </c>
      <c r="C2410" s="46" t="s">
        <v>32</v>
      </c>
      <c r="D2410" s="46" t="s">
        <v>32</v>
      </c>
      <c r="E2410" s="46" t="s">
        <v>32</v>
      </c>
      <c r="F2410" s="47">
        <f>[1]!BexGetData("DP_2","DL719O2RYNC0Y217V0FVT1R77","17","M","15025031M101","2067322011")</f>
        <v>1404485.55</v>
      </c>
      <c r="G2410" s="48">
        <f>[1]!BexGetData("DP_2","DL719O2RYNEBZX0HTMQQ0BY0J","17","M","15025031M101","2067322011")</f>
        <v>1404485.55</v>
      </c>
      <c r="H2410" s="48">
        <f>[1]!BexGetData("DP_2","DL719O2RYNGN1RZRS91K7M4TV","17","M","15025031M101","2067322011")</f>
        <v>1290513.47</v>
      </c>
      <c r="I2410" s="48">
        <f>[1]!BexGetData("DP_2","DL719O2RYNIY3MZ1QVCEEWBN7","17","M","15025031M101","2067322011")</f>
        <v>0</v>
      </c>
    </row>
    <row r="2411" spans="1:9" x14ac:dyDescent="0.2">
      <c r="A2411" s="46" t="s">
        <v>32</v>
      </c>
      <c r="B2411" s="46" t="s">
        <v>32</v>
      </c>
      <c r="C2411" s="46" t="s">
        <v>32</v>
      </c>
      <c r="D2411" s="46" t="s">
        <v>32</v>
      </c>
      <c r="E2411" s="46" t="s">
        <v>32</v>
      </c>
      <c r="F2411" s="47">
        <f>[1]!BexGetData("DP_2","DL719O2RYNC0Y217V0FVT1R77","17","M","15025031M101","2067323011")</f>
        <v>0</v>
      </c>
      <c r="G2411" s="48">
        <f>[1]!BexGetData("DP_2","DL719O2RYNEBZX0HTMQQ0BY0J","17","M","15025031M101","2067323011")</f>
        <v>0</v>
      </c>
      <c r="H2411" s="48">
        <f>[1]!BexGetData("DP_2","DL719O2RYNGN1RZRS91K7M4TV","17","M","15025031M101","2067323011")</f>
        <v>0</v>
      </c>
      <c r="I2411" s="48">
        <f>[1]!BexGetData("DP_2","DL719O2RYNIY3MZ1QVCEEWBN7","17","M","15025031M101","2067323011")</f>
        <v>0</v>
      </c>
    </row>
    <row r="2412" spans="1:9" x14ac:dyDescent="0.2">
      <c r="A2412" s="46" t="s">
        <v>32</v>
      </c>
      <c r="B2412" s="46" t="s">
        <v>32</v>
      </c>
      <c r="C2412" s="46" t="s">
        <v>32</v>
      </c>
      <c r="D2412" s="46" t="s">
        <v>32</v>
      </c>
      <c r="E2412" s="46" t="s">
        <v>32</v>
      </c>
      <c r="F2412" s="47">
        <f>[1]!BexGetData("DP_2","DL719O2RYNC0Y217V0FVT1R77","17","M","15025031M101","2067336011")</f>
        <v>839871.52</v>
      </c>
      <c r="G2412" s="48">
        <f>[1]!BexGetData("DP_2","DL719O2RYNEBZX0HTMQQ0BY0J","17","M","15025031M101","2067336011")</f>
        <v>839871.52</v>
      </c>
      <c r="H2412" s="48">
        <f>[1]!BexGetData("DP_2","DL719O2RYNGN1RZRS91K7M4TV","17","M","15025031M101","2067336011")</f>
        <v>792176.38</v>
      </c>
      <c r="I2412" s="48">
        <f>[1]!BexGetData("DP_2","DL719O2RYNIY3MZ1QVCEEWBN7","17","M","15025031M101","2067336011")</f>
        <v>0</v>
      </c>
    </row>
    <row r="2413" spans="1:9" x14ac:dyDescent="0.2">
      <c r="A2413" s="46" t="s">
        <v>32</v>
      </c>
      <c r="B2413" s="46" t="s">
        <v>32</v>
      </c>
      <c r="C2413" s="46" t="s">
        <v>32</v>
      </c>
      <c r="D2413" s="46" t="s">
        <v>32</v>
      </c>
      <c r="E2413" s="46" t="s">
        <v>32</v>
      </c>
      <c r="F2413" s="47">
        <f>[1]!BexGetData("DP_2","DL719O2RYNC0Y217V0FVT1R77","17","M","15025031M101","2067339011")</f>
        <v>427673.9</v>
      </c>
      <c r="G2413" s="48">
        <f>[1]!BexGetData("DP_2","DL719O2RYNEBZX0HTMQQ0BY0J","17","M","15025031M101","2067339011")</f>
        <v>427673.9</v>
      </c>
      <c r="H2413" s="48">
        <f>[1]!BexGetData("DP_2","DL719O2RYNGN1RZRS91K7M4TV","17","M","15025031M101","2067339011")</f>
        <v>213836.95</v>
      </c>
      <c r="I2413" s="48">
        <f>[1]!BexGetData("DP_2","DL719O2RYNIY3MZ1QVCEEWBN7","17","M","15025031M101","2067339011")</f>
        <v>0</v>
      </c>
    </row>
    <row r="2414" spans="1:9" x14ac:dyDescent="0.2">
      <c r="A2414" s="46" t="s">
        <v>32</v>
      </c>
      <c r="B2414" s="46" t="s">
        <v>32</v>
      </c>
      <c r="C2414" s="46" t="s">
        <v>32</v>
      </c>
      <c r="D2414" s="46" t="s">
        <v>32</v>
      </c>
      <c r="E2414" s="46" t="s">
        <v>32</v>
      </c>
      <c r="F2414" s="47">
        <f>[1]!BexGetData("DP_2","DL719O2RYNC0Y217V0FVT1R77","17","M","15025031M101","2067343011")</f>
        <v>1329361.9199999999</v>
      </c>
      <c r="G2414" s="48">
        <f>[1]!BexGetData("DP_2","DL719O2RYNEBZX0HTMQQ0BY0J","17","M","15025031M101","2067343011")</f>
        <v>1329361.9199999999</v>
      </c>
      <c r="H2414" s="48">
        <f>[1]!BexGetData("DP_2","DL719O2RYNGN1RZRS91K7M4TV","17","M","15025031M101","2067343011")</f>
        <v>1329361.9199999999</v>
      </c>
      <c r="I2414" s="48">
        <f>[1]!BexGetData("DP_2","DL719O2RYNIY3MZ1QVCEEWBN7","17","M","15025031M101","2067343011")</f>
        <v>1.0000000000000001E-9</v>
      </c>
    </row>
    <row r="2415" spans="1:9" x14ac:dyDescent="0.2">
      <c r="A2415" s="46" t="s">
        <v>32</v>
      </c>
      <c r="B2415" s="46" t="s">
        <v>32</v>
      </c>
      <c r="C2415" s="46" t="s">
        <v>32</v>
      </c>
      <c r="D2415" s="46" t="s">
        <v>32</v>
      </c>
      <c r="E2415" s="46" t="s">
        <v>32</v>
      </c>
      <c r="F2415" s="47">
        <f>[1]!BexGetData("DP_2","DL719O2RYNC0Y217V0FVT1R77","17","M","15025031M101","2067347011")</f>
        <v>50460</v>
      </c>
      <c r="G2415" s="48">
        <f>[1]!BexGetData("DP_2","DL719O2RYNEBZX0HTMQQ0BY0J","17","M","15025031M101","2067347011")</f>
        <v>50460</v>
      </c>
      <c r="H2415" s="48">
        <f>[1]!BexGetData("DP_2","DL719O2RYNGN1RZRS91K7M4TV","17","M","15025031M101","2067347011")</f>
        <v>50460</v>
      </c>
      <c r="I2415" s="48">
        <f>[1]!BexGetData("DP_2","DL719O2RYNIY3MZ1QVCEEWBN7","17","M","15025031M101","2067347011")</f>
        <v>0</v>
      </c>
    </row>
    <row r="2416" spans="1:9" x14ac:dyDescent="0.2">
      <c r="A2416" s="46" t="s">
        <v>32</v>
      </c>
      <c r="B2416" s="46" t="s">
        <v>32</v>
      </c>
      <c r="C2416" s="46" t="s">
        <v>32</v>
      </c>
      <c r="D2416" s="46" t="s">
        <v>32</v>
      </c>
      <c r="E2416" s="46" t="s">
        <v>32</v>
      </c>
      <c r="F2416" s="47">
        <f>[1]!BexGetData("DP_2","DL719O2RYNC0Y217V0FVT1R77","17","M","15025031M101","2067348011")</f>
        <v>86302</v>
      </c>
      <c r="G2416" s="48">
        <f>[1]!BexGetData("DP_2","DL719O2RYNEBZX0HTMQQ0BY0J","17","M","15025031M101","2067348011")</f>
        <v>86301.33</v>
      </c>
      <c r="H2416" s="48">
        <f>[1]!BexGetData("DP_2","DL719O2RYNGN1RZRS91K7M4TV","17","M","15025031M101","2067348011")</f>
        <v>86301.33</v>
      </c>
      <c r="I2416" s="48">
        <f>[1]!BexGetData("DP_2","DL719O2RYNIY3MZ1QVCEEWBN7","17","M","15025031M101","2067348011")</f>
        <v>0.67</v>
      </c>
    </row>
    <row r="2417" spans="1:9" x14ac:dyDescent="0.2">
      <c r="A2417" s="46" t="s">
        <v>32</v>
      </c>
      <c r="B2417" s="46" t="s">
        <v>32</v>
      </c>
      <c r="C2417" s="46" t="s">
        <v>32</v>
      </c>
      <c r="D2417" s="46" t="s">
        <v>32</v>
      </c>
      <c r="E2417" s="46" t="s">
        <v>32</v>
      </c>
      <c r="F2417" s="47">
        <f>[1]!BexGetData("DP_2","DL719O2RYNC0Y217V0FVT1R77","17","M","15025031M101","2067351011")</f>
        <v>39451.599999999999</v>
      </c>
      <c r="G2417" s="48">
        <f>[1]!BexGetData("DP_2","DL719O2RYNEBZX0HTMQQ0BY0J","17","M","15025031M101","2067351011")</f>
        <v>39451.599999999999</v>
      </c>
      <c r="H2417" s="48">
        <f>[1]!BexGetData("DP_2","DL719O2RYNGN1RZRS91K7M4TV","17","M","15025031M101","2067351011")</f>
        <v>0</v>
      </c>
      <c r="I2417" s="48">
        <f>[1]!BexGetData("DP_2","DL719O2RYNIY3MZ1QVCEEWBN7","17","M","15025031M101","2067351011")</f>
        <v>0</v>
      </c>
    </row>
    <row r="2418" spans="1:9" x14ac:dyDescent="0.2">
      <c r="A2418" s="46" t="s">
        <v>32</v>
      </c>
      <c r="B2418" s="46" t="s">
        <v>32</v>
      </c>
      <c r="C2418" s="46" t="s">
        <v>32</v>
      </c>
      <c r="D2418" s="46" t="s">
        <v>32</v>
      </c>
      <c r="E2418" s="46" t="s">
        <v>32</v>
      </c>
      <c r="F2418" s="47">
        <f>[1]!BexGetData("DP_2","DL719O2RYNC0Y217V0FVT1R77","17","M","15025031M101","2067352091")</f>
        <v>300</v>
      </c>
      <c r="G2418" s="48">
        <f>[1]!BexGetData("DP_2","DL719O2RYNEBZX0HTMQQ0BY0J","17","M","15025031M101","2067352091")</f>
        <v>300</v>
      </c>
      <c r="H2418" s="48">
        <f>[1]!BexGetData("DP_2","DL719O2RYNGN1RZRS91K7M4TV","17","M","15025031M101","2067352091")</f>
        <v>300</v>
      </c>
      <c r="I2418" s="48">
        <f>[1]!BexGetData("DP_2","DL719O2RYNIY3MZ1QVCEEWBN7","17","M","15025031M101","2067352091")</f>
        <v>0</v>
      </c>
    </row>
    <row r="2419" spans="1:9" x14ac:dyDescent="0.2">
      <c r="A2419" s="46" t="s">
        <v>32</v>
      </c>
      <c r="B2419" s="46" t="s">
        <v>32</v>
      </c>
      <c r="C2419" s="46" t="s">
        <v>32</v>
      </c>
      <c r="D2419" s="46" t="s">
        <v>32</v>
      </c>
      <c r="E2419" s="46" t="s">
        <v>32</v>
      </c>
      <c r="F2419" s="47">
        <f>[1]!BexGetData("DP_2","DL719O2RYNC0Y217V0FVT1R77","17","M","15025031M101","2067355011")</f>
        <v>32863.43</v>
      </c>
      <c r="G2419" s="48">
        <f>[1]!BexGetData("DP_2","DL719O2RYNEBZX0HTMQQ0BY0J","17","M","15025031M101","2067355011")</f>
        <v>32863.43</v>
      </c>
      <c r="H2419" s="48">
        <f>[1]!BexGetData("DP_2","DL719O2RYNGN1RZRS91K7M4TV","17","M","15025031M101","2067355011")</f>
        <v>6639.84</v>
      </c>
      <c r="I2419" s="48">
        <f>[1]!BexGetData("DP_2","DL719O2RYNIY3MZ1QVCEEWBN7","17","M","15025031M101","2067355011")</f>
        <v>0</v>
      </c>
    </row>
    <row r="2420" spans="1:9" x14ac:dyDescent="0.2">
      <c r="A2420" s="46" t="s">
        <v>32</v>
      </c>
      <c r="B2420" s="46" t="s">
        <v>32</v>
      </c>
      <c r="C2420" s="46" t="s">
        <v>32</v>
      </c>
      <c r="D2420" s="46" t="s">
        <v>32</v>
      </c>
      <c r="E2420" s="46" t="s">
        <v>32</v>
      </c>
      <c r="F2420" s="47">
        <f>[1]!BexGetData("DP_2","DL719O2RYNC0Y217V0FVT1R77","17","M","15025031M101","2067357071")</f>
        <v>4060</v>
      </c>
      <c r="G2420" s="48">
        <f>[1]!BexGetData("DP_2","DL719O2RYNEBZX0HTMQQ0BY0J","17","M","15025031M101","2067357071")</f>
        <v>4060</v>
      </c>
      <c r="H2420" s="48">
        <f>[1]!BexGetData("DP_2","DL719O2RYNGN1RZRS91K7M4TV","17","M","15025031M101","2067357071")</f>
        <v>4060</v>
      </c>
      <c r="I2420" s="48">
        <f>[1]!BexGetData("DP_2","DL719O2RYNIY3MZ1QVCEEWBN7","17","M","15025031M101","2067357071")</f>
        <v>0</v>
      </c>
    </row>
    <row r="2421" spans="1:9" x14ac:dyDescent="0.2">
      <c r="A2421" s="46" t="s">
        <v>32</v>
      </c>
      <c r="B2421" s="46" t="s">
        <v>32</v>
      </c>
      <c r="C2421" s="46" t="s">
        <v>32</v>
      </c>
      <c r="D2421" s="46" t="s">
        <v>32</v>
      </c>
      <c r="E2421" s="46" t="s">
        <v>32</v>
      </c>
      <c r="F2421" s="47">
        <f>[1]!BexGetData("DP_2","DL719O2RYNC0Y217V0FVT1R77","17","M","15025031M101","2067359011")</f>
        <v>6902</v>
      </c>
      <c r="G2421" s="48">
        <f>[1]!BexGetData("DP_2","DL719O2RYNEBZX0HTMQQ0BY0J","17","M","15025031M101","2067359011")</f>
        <v>6902</v>
      </c>
      <c r="H2421" s="48">
        <f>[1]!BexGetData("DP_2","DL719O2RYNGN1RZRS91K7M4TV","17","M","15025031M101","2067359011")</f>
        <v>6902</v>
      </c>
      <c r="I2421" s="48">
        <f>[1]!BexGetData("DP_2","DL719O2RYNIY3MZ1QVCEEWBN7","17","M","15025031M101","2067359011")</f>
        <v>0</v>
      </c>
    </row>
    <row r="2422" spans="1:9" x14ac:dyDescent="0.2">
      <c r="A2422" s="46" t="s">
        <v>32</v>
      </c>
      <c r="B2422" s="46" t="s">
        <v>32</v>
      </c>
      <c r="C2422" s="46" t="s">
        <v>32</v>
      </c>
      <c r="D2422" s="46" t="s">
        <v>32</v>
      </c>
      <c r="E2422" s="46" t="s">
        <v>32</v>
      </c>
      <c r="F2422" s="47">
        <f>[1]!BexGetData("DP_2","DL719O2RYNC0Y217V0FVT1R77","17","M","15025031M101","2067361011")</f>
        <v>147378.22</v>
      </c>
      <c r="G2422" s="48">
        <f>[1]!BexGetData("DP_2","DL719O2RYNEBZX0HTMQQ0BY0J","17","M","15025031M101","2067361011")</f>
        <v>147378.22</v>
      </c>
      <c r="H2422" s="48">
        <f>[1]!BexGetData("DP_2","DL719O2RYNGN1RZRS91K7M4TV","17","M","15025031M101","2067361011")</f>
        <v>147378.22</v>
      </c>
      <c r="I2422" s="48">
        <f>[1]!BexGetData("DP_2","DL719O2RYNIY3MZ1QVCEEWBN7","17","M","15025031M101","2067361011")</f>
        <v>0</v>
      </c>
    </row>
    <row r="2423" spans="1:9" x14ac:dyDescent="0.2">
      <c r="A2423" s="46" t="s">
        <v>32</v>
      </c>
      <c r="B2423" s="46" t="s">
        <v>32</v>
      </c>
      <c r="C2423" s="46" t="s">
        <v>32</v>
      </c>
      <c r="D2423" s="46" t="s">
        <v>32</v>
      </c>
      <c r="E2423" s="46" t="s">
        <v>32</v>
      </c>
      <c r="F2423" s="47">
        <f>[1]!BexGetData("DP_2","DL719O2RYNC0Y217V0FVT1R77","17","M","15025031M101","2067399031")</f>
        <v>1215</v>
      </c>
      <c r="G2423" s="48">
        <f>[1]!BexGetData("DP_2","DL719O2RYNEBZX0HTMQQ0BY0J","17","M","15025031M101","2067399031")</f>
        <v>1215</v>
      </c>
      <c r="H2423" s="48">
        <f>[1]!BexGetData("DP_2","DL719O2RYNGN1RZRS91K7M4TV","17","M","15025031M101","2067399031")</f>
        <v>1215</v>
      </c>
      <c r="I2423" s="48">
        <f>[1]!BexGetData("DP_2","DL719O2RYNIY3MZ1QVCEEWBN7","17","M","15025031M101","2067399031")</f>
        <v>0</v>
      </c>
    </row>
    <row r="2424" spans="1:9" x14ac:dyDescent="0.2">
      <c r="A2424" s="46" t="s">
        <v>32</v>
      </c>
      <c r="B2424" s="46" t="s">
        <v>32</v>
      </c>
      <c r="C2424" s="46" t="s">
        <v>32</v>
      </c>
      <c r="D2424" s="46" t="s">
        <v>32</v>
      </c>
      <c r="E2424" s="46" t="s">
        <v>32</v>
      </c>
      <c r="F2424" s="47">
        <f>[1]!BexGetData("DP_2","DL719O2RYNC0Y217V0FVT1R77","17","M","15025031M101","2067515012")</f>
        <v>18832.599999999999</v>
      </c>
      <c r="G2424" s="48">
        <f>[1]!BexGetData("DP_2","DL719O2RYNEBZX0HTMQQ0BY0J","17","M","15025031M101","2067515012")</f>
        <v>18832.599999999999</v>
      </c>
      <c r="H2424" s="48">
        <f>[1]!BexGetData("DP_2","DL719O2RYNGN1RZRS91K7M4TV","17","M","15025031M101","2067515012")</f>
        <v>18832.599999999999</v>
      </c>
      <c r="I2424" s="48">
        <f>[1]!BexGetData("DP_2","DL719O2RYNIY3MZ1QVCEEWBN7","17","M","15025031M101","2067515012")</f>
        <v>0</v>
      </c>
    </row>
    <row r="2425" spans="1:9" x14ac:dyDescent="0.2">
      <c r="A2425" s="46" t="s">
        <v>32</v>
      </c>
      <c r="B2425" s="46" t="s">
        <v>32</v>
      </c>
      <c r="C2425" s="46" t="s">
        <v>32</v>
      </c>
      <c r="D2425" s="46" t="s">
        <v>32</v>
      </c>
      <c r="E2425" s="46" t="s">
        <v>32</v>
      </c>
      <c r="F2425" s="47">
        <f>[1]!BexGetData("DP_2","DL719O2RYNC0Y217V0FVT1R77","17","M","15025031M101","2067519012")</f>
        <v>12122</v>
      </c>
      <c r="G2425" s="48">
        <f>[1]!BexGetData("DP_2","DL719O2RYNEBZX0HTMQQ0BY0J","17","M","15025031M101","2067519012")</f>
        <v>12122</v>
      </c>
      <c r="H2425" s="48">
        <f>[1]!BexGetData("DP_2","DL719O2RYNGN1RZRS91K7M4TV","17","M","15025031M101","2067519012")</f>
        <v>4582</v>
      </c>
      <c r="I2425" s="48">
        <f>[1]!BexGetData("DP_2","DL719O2RYNIY3MZ1QVCEEWBN7","17","M","15025031M101","2067519012")</f>
        <v>0</v>
      </c>
    </row>
    <row r="2426" spans="1:9" x14ac:dyDescent="0.2">
      <c r="A2426" s="46" t="s">
        <v>32</v>
      </c>
      <c r="B2426" s="46" t="s">
        <v>32</v>
      </c>
      <c r="C2426" s="46" t="s">
        <v>32</v>
      </c>
      <c r="D2426" s="46" t="s">
        <v>32</v>
      </c>
      <c r="E2426" s="46" t="s">
        <v>32</v>
      </c>
      <c r="F2426" s="47">
        <f>[1]!BexGetData("DP_2","DL719O2RYNC0Y217V0FVT1R77","17","M","15025031M101","2067565012")</f>
        <v>6496</v>
      </c>
      <c r="G2426" s="48">
        <f>[1]!BexGetData("DP_2","DL719O2RYNEBZX0HTMQQ0BY0J","17","M","15025031M101","2067565012")</f>
        <v>6496</v>
      </c>
      <c r="H2426" s="48">
        <f>[1]!BexGetData("DP_2","DL719O2RYNGN1RZRS91K7M4TV","17","M","15025031M101","2067565012")</f>
        <v>6496</v>
      </c>
      <c r="I2426" s="48">
        <f>[1]!BexGetData("DP_2","DL719O2RYNIY3MZ1QVCEEWBN7","17","M","15025031M101","2067565012")</f>
        <v>0</v>
      </c>
    </row>
    <row r="2427" spans="1:9" x14ac:dyDescent="0.2">
      <c r="A2427" s="46" t="s">
        <v>32</v>
      </c>
      <c r="B2427" s="46" t="s">
        <v>32</v>
      </c>
      <c r="C2427" s="46" t="s">
        <v>139</v>
      </c>
      <c r="D2427" s="46" t="s">
        <v>139</v>
      </c>
      <c r="E2427" s="46" t="s">
        <v>32</v>
      </c>
      <c r="F2427" s="47">
        <f>[1]!BexGetData("DP_2","DL719O2RYNC0Y217V0FVT1R77","17","M","18015041M101","2067113011")</f>
        <v>6097622.6200000001</v>
      </c>
      <c r="G2427" s="48">
        <f>[1]!BexGetData("DP_2","DL719O2RYNEBZX0HTMQQ0BY0J","17","M","18015041M101","2067113011")</f>
        <v>6097622.6200000001</v>
      </c>
      <c r="H2427" s="48">
        <f>[1]!BexGetData("DP_2","DL719O2RYNGN1RZRS91K7M4TV","17","M","18015041M101","2067113011")</f>
        <v>6097622.6200000001</v>
      </c>
      <c r="I2427" s="48">
        <f>[1]!BexGetData("DP_2","DL719O2RYNIY3MZ1QVCEEWBN7","17","M","18015041M101","2067113011")</f>
        <v>0</v>
      </c>
    </row>
    <row r="2428" spans="1:9" x14ac:dyDescent="0.2">
      <c r="A2428" s="46" t="s">
        <v>32</v>
      </c>
      <c r="B2428" s="46" t="s">
        <v>32</v>
      </c>
      <c r="C2428" s="46" t="s">
        <v>32</v>
      </c>
      <c r="D2428" s="46" t="s">
        <v>32</v>
      </c>
      <c r="E2428" s="46" t="s">
        <v>32</v>
      </c>
      <c r="F2428" s="47">
        <f>[1]!BexGetData("DP_2","DL719O2RYNC0Y217V0FVT1R77","17","M","18015041M101","2067113021")</f>
        <v>3000696.13</v>
      </c>
      <c r="G2428" s="48">
        <f>[1]!BexGetData("DP_2","DL719O2RYNEBZX0HTMQQ0BY0J","17","M","18015041M101","2067113021")</f>
        <v>3000696.13</v>
      </c>
      <c r="H2428" s="48">
        <f>[1]!BexGetData("DP_2","DL719O2RYNGN1RZRS91K7M4TV","17","M","18015041M101","2067113021")</f>
        <v>3000696.13</v>
      </c>
      <c r="I2428" s="48">
        <f>[1]!BexGetData("DP_2","DL719O2RYNIY3MZ1QVCEEWBN7","17","M","18015041M101","2067113021")</f>
        <v>0</v>
      </c>
    </row>
    <row r="2429" spans="1:9" x14ac:dyDescent="0.2">
      <c r="A2429" s="46" t="s">
        <v>32</v>
      </c>
      <c r="B2429" s="46" t="s">
        <v>32</v>
      </c>
      <c r="C2429" s="46" t="s">
        <v>32</v>
      </c>
      <c r="D2429" s="46" t="s">
        <v>32</v>
      </c>
      <c r="E2429" s="46" t="s">
        <v>32</v>
      </c>
      <c r="F2429" s="47">
        <f>[1]!BexGetData("DP_2","DL719O2RYNC0Y217V0FVT1R77","17","M","18015041M101","2067121011")</f>
        <v>494642.24</v>
      </c>
      <c r="G2429" s="48">
        <f>[1]!BexGetData("DP_2","DL719O2RYNEBZX0HTMQQ0BY0J","17","M","18015041M101","2067121011")</f>
        <v>494642.24</v>
      </c>
      <c r="H2429" s="48">
        <f>[1]!BexGetData("DP_2","DL719O2RYNGN1RZRS91K7M4TV","17","M","18015041M101","2067121011")</f>
        <v>451210.26</v>
      </c>
      <c r="I2429" s="48">
        <f>[1]!BexGetData("DP_2","DL719O2RYNIY3MZ1QVCEEWBN7","17","M","18015041M101","2067121011")</f>
        <v>0</v>
      </c>
    </row>
    <row r="2430" spans="1:9" x14ac:dyDescent="0.2">
      <c r="A2430" s="46" t="s">
        <v>32</v>
      </c>
      <c r="B2430" s="46" t="s">
        <v>32</v>
      </c>
      <c r="C2430" s="46" t="s">
        <v>32</v>
      </c>
      <c r="D2430" s="46" t="s">
        <v>32</v>
      </c>
      <c r="E2430" s="46" t="s">
        <v>32</v>
      </c>
      <c r="F2430" s="47">
        <f>[1]!BexGetData("DP_2","DL719O2RYNC0Y217V0FVT1R77","17","M","18015041M101","2067122011")</f>
        <v>662060.30000000005</v>
      </c>
      <c r="G2430" s="48">
        <f>[1]!BexGetData("DP_2","DL719O2RYNEBZX0HTMQQ0BY0J","17","M","18015041M101","2067122011")</f>
        <v>662060.30000000005</v>
      </c>
      <c r="H2430" s="48">
        <f>[1]!BexGetData("DP_2","DL719O2RYNGN1RZRS91K7M4TV","17","M","18015041M101","2067122011")</f>
        <v>662060.30000000005</v>
      </c>
      <c r="I2430" s="48">
        <f>[1]!BexGetData("DP_2","DL719O2RYNIY3MZ1QVCEEWBN7","17","M","18015041M101","2067122011")</f>
        <v>0</v>
      </c>
    </row>
    <row r="2431" spans="1:9" x14ac:dyDescent="0.2">
      <c r="A2431" s="46" t="s">
        <v>32</v>
      </c>
      <c r="B2431" s="46" t="s">
        <v>32</v>
      </c>
      <c r="C2431" s="46" t="s">
        <v>32</v>
      </c>
      <c r="D2431" s="46" t="s">
        <v>32</v>
      </c>
      <c r="E2431" s="46" t="s">
        <v>32</v>
      </c>
      <c r="F2431" s="47">
        <f>[1]!BexGetData("DP_2","DL719O2RYNC0Y217V0FVT1R77","17","M","18015041M101","2067122031")</f>
        <v>17049132.350000001</v>
      </c>
      <c r="G2431" s="48">
        <f>[1]!BexGetData("DP_2","DL719O2RYNEBZX0HTMQQ0BY0J","17","M","18015041M101","2067122031")</f>
        <v>17049132.350000001</v>
      </c>
      <c r="H2431" s="48">
        <f>[1]!BexGetData("DP_2","DL719O2RYNGN1RZRS91K7M4TV","17","M","18015041M101","2067122031")</f>
        <v>17049132.350000001</v>
      </c>
      <c r="I2431" s="48">
        <f>[1]!BexGetData("DP_2","DL719O2RYNIY3MZ1QVCEEWBN7","17","M","18015041M101","2067122031")</f>
        <v>4.0000000000000002E-9</v>
      </c>
    </row>
    <row r="2432" spans="1:9" x14ac:dyDescent="0.2">
      <c r="A2432" s="46" t="s">
        <v>32</v>
      </c>
      <c r="B2432" s="46" t="s">
        <v>32</v>
      </c>
      <c r="C2432" s="46" t="s">
        <v>32</v>
      </c>
      <c r="D2432" s="46" t="s">
        <v>32</v>
      </c>
      <c r="E2432" s="46" t="s">
        <v>32</v>
      </c>
      <c r="F2432" s="47">
        <f>[1]!BexGetData("DP_2","DL719O2RYNC0Y217V0FVT1R77","17","M","18015041M101","2067131011")</f>
        <v>733830.15</v>
      </c>
      <c r="G2432" s="48">
        <f>[1]!BexGetData("DP_2","DL719O2RYNEBZX0HTMQQ0BY0J","17","M","18015041M101","2067131011")</f>
        <v>733830.15</v>
      </c>
      <c r="H2432" s="48">
        <f>[1]!BexGetData("DP_2","DL719O2RYNGN1RZRS91K7M4TV","17","M","18015041M101","2067131011")</f>
        <v>733830.15</v>
      </c>
      <c r="I2432" s="48">
        <f>[1]!BexGetData("DP_2","DL719O2RYNIY3MZ1QVCEEWBN7","17","M","18015041M101","2067131011")</f>
        <v>0</v>
      </c>
    </row>
    <row r="2433" spans="1:9" x14ac:dyDescent="0.2">
      <c r="A2433" s="46" t="s">
        <v>32</v>
      </c>
      <c r="B2433" s="46" t="s">
        <v>32</v>
      </c>
      <c r="C2433" s="46" t="s">
        <v>32</v>
      </c>
      <c r="D2433" s="46" t="s">
        <v>32</v>
      </c>
      <c r="E2433" s="46" t="s">
        <v>32</v>
      </c>
      <c r="F2433" s="47">
        <f>[1]!BexGetData("DP_2","DL719O2RYNC0Y217V0FVT1R77","17","M","18015041M101","2067131021")</f>
        <v>167003.5</v>
      </c>
      <c r="G2433" s="48">
        <f>[1]!BexGetData("DP_2","DL719O2RYNEBZX0HTMQQ0BY0J","17","M","18015041M101","2067131021")</f>
        <v>167003.5</v>
      </c>
      <c r="H2433" s="48">
        <f>[1]!BexGetData("DP_2","DL719O2RYNGN1RZRS91K7M4TV","17","M","18015041M101","2067131021")</f>
        <v>167003.5</v>
      </c>
      <c r="I2433" s="48">
        <f>[1]!BexGetData("DP_2","DL719O2RYNIY3MZ1QVCEEWBN7","17","M","18015041M101","2067131021")</f>
        <v>0</v>
      </c>
    </row>
    <row r="2434" spans="1:9" x14ac:dyDescent="0.2">
      <c r="A2434" s="46" t="s">
        <v>32</v>
      </c>
      <c r="B2434" s="46" t="s">
        <v>32</v>
      </c>
      <c r="C2434" s="46" t="s">
        <v>32</v>
      </c>
      <c r="D2434" s="46" t="s">
        <v>32</v>
      </c>
      <c r="E2434" s="46" t="s">
        <v>32</v>
      </c>
      <c r="F2434" s="47">
        <f>[1]!BexGetData("DP_2","DL719O2RYNC0Y217V0FVT1R77","17","M","18015041M101","2067132011")</f>
        <v>456248.12</v>
      </c>
      <c r="G2434" s="48">
        <f>[1]!BexGetData("DP_2","DL719O2RYNEBZX0HTMQQ0BY0J","17","M","18015041M101","2067132011")</f>
        <v>456248.12</v>
      </c>
      <c r="H2434" s="48">
        <f>[1]!BexGetData("DP_2","DL719O2RYNGN1RZRS91K7M4TV","17","M","18015041M101","2067132011")</f>
        <v>456248.12</v>
      </c>
      <c r="I2434" s="48">
        <f>[1]!BexGetData("DP_2","DL719O2RYNIY3MZ1QVCEEWBN7","17","M","18015041M101","2067132011")</f>
        <v>0</v>
      </c>
    </row>
    <row r="2435" spans="1:9" x14ac:dyDescent="0.2">
      <c r="A2435" s="46" t="s">
        <v>32</v>
      </c>
      <c r="B2435" s="46" t="s">
        <v>32</v>
      </c>
      <c r="C2435" s="46" t="s">
        <v>32</v>
      </c>
      <c r="D2435" s="46" t="s">
        <v>32</v>
      </c>
      <c r="E2435" s="46" t="s">
        <v>32</v>
      </c>
      <c r="F2435" s="47">
        <f>[1]!BexGetData("DP_2","DL719O2RYNC0Y217V0FVT1R77","17","M","18015041M101","2067132021")</f>
        <v>4196914.33</v>
      </c>
      <c r="G2435" s="48">
        <f>[1]!BexGetData("DP_2","DL719O2RYNEBZX0HTMQQ0BY0J","17","M","18015041M101","2067132021")</f>
        <v>4196914.33</v>
      </c>
      <c r="H2435" s="48">
        <f>[1]!BexGetData("DP_2","DL719O2RYNGN1RZRS91K7M4TV","17","M","18015041M101","2067132021")</f>
        <v>4196914.33</v>
      </c>
      <c r="I2435" s="48">
        <f>[1]!BexGetData("DP_2","DL719O2RYNIY3MZ1QVCEEWBN7","17","M","18015041M101","2067132021")</f>
        <v>0</v>
      </c>
    </row>
    <row r="2436" spans="1:9" x14ac:dyDescent="0.2">
      <c r="A2436" s="46" t="s">
        <v>32</v>
      </c>
      <c r="B2436" s="46" t="s">
        <v>32</v>
      </c>
      <c r="C2436" s="46" t="s">
        <v>32</v>
      </c>
      <c r="D2436" s="46" t="s">
        <v>32</v>
      </c>
      <c r="E2436" s="46" t="s">
        <v>32</v>
      </c>
      <c r="F2436" s="47">
        <f>[1]!BexGetData("DP_2","DL719O2RYNC0Y217V0FVT1R77","17","M","18015041M101","2067134011")</f>
        <v>2784965.94</v>
      </c>
      <c r="G2436" s="48">
        <f>[1]!BexGetData("DP_2","DL719O2RYNEBZX0HTMQQ0BY0J","17","M","18015041M101","2067134011")</f>
        <v>2784965.94</v>
      </c>
      <c r="H2436" s="48">
        <f>[1]!BexGetData("DP_2","DL719O2RYNGN1RZRS91K7M4TV","17","M","18015041M101","2067134011")</f>
        <v>2804026.85</v>
      </c>
      <c r="I2436" s="48">
        <f>[1]!BexGetData("DP_2","DL719O2RYNIY3MZ1QVCEEWBN7","17","M","18015041M101","2067134011")</f>
        <v>0</v>
      </c>
    </row>
    <row r="2437" spans="1:9" x14ac:dyDescent="0.2">
      <c r="A2437" s="46" t="s">
        <v>32</v>
      </c>
      <c r="B2437" s="46" t="s">
        <v>32</v>
      </c>
      <c r="C2437" s="46" t="s">
        <v>32</v>
      </c>
      <c r="D2437" s="46" t="s">
        <v>32</v>
      </c>
      <c r="E2437" s="46" t="s">
        <v>32</v>
      </c>
      <c r="F2437" s="47">
        <f>[1]!BexGetData("DP_2","DL719O2RYNC0Y217V0FVT1R77","17","M","18015041M101","2067134021")</f>
        <v>2937542.81</v>
      </c>
      <c r="G2437" s="48">
        <f>[1]!BexGetData("DP_2","DL719O2RYNEBZX0HTMQQ0BY0J","17","M","18015041M101","2067134021")</f>
        <v>2937542.81</v>
      </c>
      <c r="H2437" s="48">
        <f>[1]!BexGetData("DP_2","DL719O2RYNGN1RZRS91K7M4TV","17","M","18015041M101","2067134021")</f>
        <v>2937542.81</v>
      </c>
      <c r="I2437" s="48">
        <f>[1]!BexGetData("DP_2","DL719O2RYNIY3MZ1QVCEEWBN7","17","M","18015041M101","2067134021")</f>
        <v>0</v>
      </c>
    </row>
    <row r="2438" spans="1:9" x14ac:dyDescent="0.2">
      <c r="A2438" s="46" t="s">
        <v>32</v>
      </c>
      <c r="B2438" s="46" t="s">
        <v>32</v>
      </c>
      <c r="C2438" s="46" t="s">
        <v>32</v>
      </c>
      <c r="D2438" s="46" t="s">
        <v>32</v>
      </c>
      <c r="E2438" s="46" t="s">
        <v>32</v>
      </c>
      <c r="F2438" s="47">
        <f>[1]!BexGetData("DP_2","DL719O2RYNC0Y217V0FVT1R77","17","M","18015041M101","2067141011")</f>
        <v>4618610.6399999997</v>
      </c>
      <c r="G2438" s="48">
        <f>[1]!BexGetData("DP_2","DL719O2RYNEBZX0HTMQQ0BY0J","17","M","18015041M101","2067141011")</f>
        <v>4618610.6399999997</v>
      </c>
      <c r="H2438" s="48">
        <f>[1]!BexGetData("DP_2","DL719O2RYNGN1RZRS91K7M4TV","17","M","18015041M101","2067141011")</f>
        <v>4618610.6399999997</v>
      </c>
      <c r="I2438" s="48">
        <f>[1]!BexGetData("DP_2","DL719O2RYNIY3MZ1QVCEEWBN7","17","M","18015041M101","2067141011")</f>
        <v>0</v>
      </c>
    </row>
    <row r="2439" spans="1:9" x14ac:dyDescent="0.2">
      <c r="A2439" s="46" t="s">
        <v>32</v>
      </c>
      <c r="B2439" s="46" t="s">
        <v>32</v>
      </c>
      <c r="C2439" s="46" t="s">
        <v>32</v>
      </c>
      <c r="D2439" s="46" t="s">
        <v>32</v>
      </c>
      <c r="E2439" s="46" t="s">
        <v>32</v>
      </c>
      <c r="F2439" s="47">
        <f>[1]!BexGetData("DP_2","DL719O2RYNC0Y217V0FVT1R77","17","M","18015041M101","2067141021")</f>
        <v>1485216.78</v>
      </c>
      <c r="G2439" s="48">
        <f>[1]!BexGetData("DP_2","DL719O2RYNEBZX0HTMQQ0BY0J","17","M","18015041M101","2067141021")</f>
        <v>1485216.78</v>
      </c>
      <c r="H2439" s="48">
        <f>[1]!BexGetData("DP_2","DL719O2RYNGN1RZRS91K7M4TV","17","M","18015041M101","2067141021")</f>
        <v>1485216.78</v>
      </c>
      <c r="I2439" s="48">
        <f>[1]!BexGetData("DP_2","DL719O2RYNIY3MZ1QVCEEWBN7","17","M","18015041M101","2067141021")</f>
        <v>0</v>
      </c>
    </row>
    <row r="2440" spans="1:9" x14ac:dyDescent="0.2">
      <c r="A2440" s="46" t="s">
        <v>32</v>
      </c>
      <c r="B2440" s="46" t="s">
        <v>32</v>
      </c>
      <c r="C2440" s="46" t="s">
        <v>32</v>
      </c>
      <c r="D2440" s="46" t="s">
        <v>32</v>
      </c>
      <c r="E2440" s="46" t="s">
        <v>32</v>
      </c>
      <c r="F2440" s="47">
        <f>[1]!BexGetData("DP_2","DL719O2RYNC0Y217V0FVT1R77","17","M","18015041M101","2067143011")</f>
        <v>701648.9</v>
      </c>
      <c r="G2440" s="48">
        <f>[1]!BexGetData("DP_2","DL719O2RYNEBZX0HTMQQ0BY0J","17","M","18015041M101","2067143011")</f>
        <v>701648.9</v>
      </c>
      <c r="H2440" s="48">
        <f>[1]!BexGetData("DP_2","DL719O2RYNGN1RZRS91K7M4TV","17","M","18015041M101","2067143011")</f>
        <v>701648.9</v>
      </c>
      <c r="I2440" s="48">
        <f>[1]!BexGetData("DP_2","DL719O2RYNIY3MZ1QVCEEWBN7","17","M","18015041M101","2067143011")</f>
        <v>0</v>
      </c>
    </row>
    <row r="2441" spans="1:9" x14ac:dyDescent="0.2">
      <c r="A2441" s="46" t="s">
        <v>32</v>
      </c>
      <c r="B2441" s="46" t="s">
        <v>32</v>
      </c>
      <c r="C2441" s="46" t="s">
        <v>32</v>
      </c>
      <c r="D2441" s="46" t="s">
        <v>32</v>
      </c>
      <c r="E2441" s="46" t="s">
        <v>32</v>
      </c>
      <c r="F2441" s="47">
        <f>[1]!BexGetData("DP_2","DL719O2RYNC0Y217V0FVT1R77","17","M","18015041M101","2067151011")</f>
        <v>11230925.9</v>
      </c>
      <c r="G2441" s="48">
        <f>[1]!BexGetData("DP_2","DL719O2RYNEBZX0HTMQQ0BY0J","17","M","18015041M101","2067151011")</f>
        <v>11230925.9</v>
      </c>
      <c r="H2441" s="48">
        <f>[1]!BexGetData("DP_2","DL719O2RYNGN1RZRS91K7M4TV","17","M","18015041M101","2067151011")</f>
        <v>11230925.9</v>
      </c>
      <c r="I2441" s="48">
        <f>[1]!BexGetData("DP_2","DL719O2RYNIY3MZ1QVCEEWBN7","17","M","18015041M101","2067151011")</f>
        <v>0</v>
      </c>
    </row>
    <row r="2442" spans="1:9" x14ac:dyDescent="0.2">
      <c r="A2442" s="46" t="s">
        <v>32</v>
      </c>
      <c r="B2442" s="46" t="s">
        <v>32</v>
      </c>
      <c r="C2442" s="46" t="s">
        <v>32</v>
      </c>
      <c r="D2442" s="46" t="s">
        <v>32</v>
      </c>
      <c r="E2442" s="46" t="s">
        <v>32</v>
      </c>
      <c r="F2442" s="47">
        <f>[1]!BexGetData("DP_2","DL719O2RYNC0Y217V0FVT1R77","17","M","18015041M101","2067153011")</f>
        <v>6146251.3300000001</v>
      </c>
      <c r="G2442" s="48">
        <f>[1]!BexGetData("DP_2","DL719O2RYNEBZX0HTMQQ0BY0J","17","M","18015041M101","2067153011")</f>
        <v>6146251.3099999996</v>
      </c>
      <c r="H2442" s="48">
        <f>[1]!BexGetData("DP_2","DL719O2RYNGN1RZRS91K7M4TV","17","M","18015041M101","2067153011")</f>
        <v>6077764</v>
      </c>
      <c r="I2442" s="48">
        <f>[1]!BexGetData("DP_2","DL719O2RYNIY3MZ1QVCEEWBN7","17","M","18015041M101","2067153011")</f>
        <v>2.0000005000000001E-2</v>
      </c>
    </row>
    <row r="2443" spans="1:9" x14ac:dyDescent="0.2">
      <c r="A2443" s="46" t="s">
        <v>32</v>
      </c>
      <c r="B2443" s="46" t="s">
        <v>32</v>
      </c>
      <c r="C2443" s="46" t="s">
        <v>32</v>
      </c>
      <c r="D2443" s="46" t="s">
        <v>32</v>
      </c>
      <c r="E2443" s="46" t="s">
        <v>32</v>
      </c>
      <c r="F2443" s="47">
        <f>[1]!BexGetData("DP_2","DL719O2RYNC0Y217V0FVT1R77","17","M","18015041M101","2067154011")</f>
        <v>14275076.800000001</v>
      </c>
      <c r="G2443" s="48">
        <f>[1]!BexGetData("DP_2","DL719O2RYNEBZX0HTMQQ0BY0J","17","M","18015041M101","2067154011")</f>
        <v>14275046.800000001</v>
      </c>
      <c r="H2443" s="48">
        <f>[1]!BexGetData("DP_2","DL719O2RYNGN1RZRS91K7M4TV","17","M","18015041M101","2067154011")</f>
        <v>14264896.699999999</v>
      </c>
      <c r="I2443" s="48">
        <f>[1]!BexGetData("DP_2","DL719O2RYNIY3MZ1QVCEEWBN7","17","M","18015041M101","2067154011")</f>
        <v>30.000000006</v>
      </c>
    </row>
    <row r="2444" spans="1:9" x14ac:dyDescent="0.2">
      <c r="A2444" s="46" t="s">
        <v>32</v>
      </c>
      <c r="B2444" s="46" t="s">
        <v>32</v>
      </c>
      <c r="C2444" s="46" t="s">
        <v>32</v>
      </c>
      <c r="D2444" s="46" t="s">
        <v>32</v>
      </c>
      <c r="E2444" s="46" t="s">
        <v>32</v>
      </c>
      <c r="F2444" s="47">
        <f>[1]!BexGetData("DP_2","DL719O2RYNC0Y217V0FVT1R77","17","M","18015041M101","2067159011")</f>
        <v>587313.28</v>
      </c>
      <c r="G2444" s="48">
        <f>[1]!BexGetData("DP_2","DL719O2RYNEBZX0HTMQQ0BY0J","17","M","18015041M101","2067159011")</f>
        <v>587313.28</v>
      </c>
      <c r="H2444" s="48">
        <f>[1]!BexGetData("DP_2","DL719O2RYNGN1RZRS91K7M4TV","17","M","18015041M101","2067159011")</f>
        <v>587313.28</v>
      </c>
      <c r="I2444" s="48">
        <f>[1]!BexGetData("DP_2","DL719O2RYNIY3MZ1QVCEEWBN7","17","M","18015041M101","2067159011")</f>
        <v>0</v>
      </c>
    </row>
    <row r="2445" spans="1:9" x14ac:dyDescent="0.2">
      <c r="A2445" s="46" t="s">
        <v>32</v>
      </c>
      <c r="B2445" s="46" t="s">
        <v>32</v>
      </c>
      <c r="C2445" s="46" t="s">
        <v>32</v>
      </c>
      <c r="D2445" s="46" t="s">
        <v>32</v>
      </c>
      <c r="E2445" s="46" t="s">
        <v>32</v>
      </c>
      <c r="F2445" s="47">
        <f>[1]!BexGetData("DP_2","DL719O2RYNC0Y217V0FVT1R77","17","M","18015041M101","2067211011")</f>
        <v>187251.98</v>
      </c>
      <c r="G2445" s="48">
        <f>[1]!BexGetData("DP_2","DL719O2RYNEBZX0HTMQQ0BY0J","17","M","18015041M101","2067211011")</f>
        <v>187251.98</v>
      </c>
      <c r="H2445" s="48">
        <f>[1]!BexGetData("DP_2","DL719O2RYNGN1RZRS91K7M4TV","17","M","18015041M101","2067211011")</f>
        <v>186729.98</v>
      </c>
      <c r="I2445" s="48">
        <f>[1]!BexGetData("DP_2","DL719O2RYNIY3MZ1QVCEEWBN7","17","M","18015041M101","2067211011")</f>
        <v>0</v>
      </c>
    </row>
    <row r="2446" spans="1:9" x14ac:dyDescent="0.2">
      <c r="A2446" s="46" t="s">
        <v>32</v>
      </c>
      <c r="B2446" s="46" t="s">
        <v>32</v>
      </c>
      <c r="C2446" s="46" t="s">
        <v>32</v>
      </c>
      <c r="D2446" s="46" t="s">
        <v>32</v>
      </c>
      <c r="E2446" s="46" t="s">
        <v>32</v>
      </c>
      <c r="F2446" s="47">
        <f>[1]!BexGetData("DP_2","DL719O2RYNC0Y217V0FVT1R77","17","M","18015041M101","2067211021")</f>
        <v>30677.8</v>
      </c>
      <c r="G2446" s="48">
        <f>[1]!BexGetData("DP_2","DL719O2RYNEBZX0HTMQQ0BY0J","17","M","18015041M101","2067211021")</f>
        <v>30677.8</v>
      </c>
      <c r="H2446" s="48">
        <f>[1]!BexGetData("DP_2","DL719O2RYNGN1RZRS91K7M4TV","17","M","18015041M101","2067211021")</f>
        <v>2987.4</v>
      </c>
      <c r="I2446" s="48">
        <f>[1]!BexGetData("DP_2","DL719O2RYNIY3MZ1QVCEEWBN7","17","M","18015041M101","2067211021")</f>
        <v>0</v>
      </c>
    </row>
    <row r="2447" spans="1:9" x14ac:dyDescent="0.2">
      <c r="A2447" s="46" t="s">
        <v>32</v>
      </c>
      <c r="B2447" s="46" t="s">
        <v>32</v>
      </c>
      <c r="C2447" s="46" t="s">
        <v>32</v>
      </c>
      <c r="D2447" s="46" t="s">
        <v>32</v>
      </c>
      <c r="E2447" s="46" t="s">
        <v>32</v>
      </c>
      <c r="F2447" s="47">
        <f>[1]!BexGetData("DP_2","DL719O2RYNC0Y217V0FVT1R77","17","M","18015041M101","2067211031")</f>
        <v>46.4</v>
      </c>
      <c r="G2447" s="48">
        <f>[1]!BexGetData("DP_2","DL719O2RYNEBZX0HTMQQ0BY0J","17","M","18015041M101","2067211031")</f>
        <v>46.4</v>
      </c>
      <c r="H2447" s="48">
        <f>[1]!BexGetData("DP_2","DL719O2RYNGN1RZRS91K7M4TV","17","M","18015041M101","2067211031")</f>
        <v>46.4</v>
      </c>
      <c r="I2447" s="48">
        <f>[1]!BexGetData("DP_2","DL719O2RYNIY3MZ1QVCEEWBN7","17","M","18015041M101","2067211031")</f>
        <v>0</v>
      </c>
    </row>
    <row r="2448" spans="1:9" x14ac:dyDescent="0.2">
      <c r="A2448" s="46" t="s">
        <v>32</v>
      </c>
      <c r="B2448" s="46" t="s">
        <v>32</v>
      </c>
      <c r="C2448" s="46" t="s">
        <v>32</v>
      </c>
      <c r="D2448" s="46" t="s">
        <v>32</v>
      </c>
      <c r="E2448" s="46" t="s">
        <v>32</v>
      </c>
      <c r="F2448" s="47">
        <f>[1]!BexGetData("DP_2","DL719O2RYNC0Y217V0FVT1R77","17","M","18015041M101","2067212021")</f>
        <v>4466</v>
      </c>
      <c r="G2448" s="48">
        <f>[1]!BexGetData("DP_2","DL719O2RYNEBZX0HTMQQ0BY0J","17","M","18015041M101","2067212021")</f>
        <v>4466</v>
      </c>
      <c r="H2448" s="48">
        <f>[1]!BexGetData("DP_2","DL719O2RYNGN1RZRS91K7M4TV","17","M","18015041M101","2067212021")</f>
        <v>4466</v>
      </c>
      <c r="I2448" s="48">
        <f>[1]!BexGetData("DP_2","DL719O2RYNIY3MZ1QVCEEWBN7","17","M","18015041M101","2067212021")</f>
        <v>0</v>
      </c>
    </row>
    <row r="2449" spans="1:9" x14ac:dyDescent="0.2">
      <c r="A2449" s="46" t="s">
        <v>32</v>
      </c>
      <c r="B2449" s="46" t="s">
        <v>32</v>
      </c>
      <c r="C2449" s="46" t="s">
        <v>32</v>
      </c>
      <c r="D2449" s="46" t="s">
        <v>32</v>
      </c>
      <c r="E2449" s="46" t="s">
        <v>32</v>
      </c>
      <c r="F2449" s="47">
        <f>[1]!BexGetData("DP_2","DL719O2RYNC0Y217V0FVT1R77","17","M","18015041M101","2067214011")</f>
        <v>108986.85</v>
      </c>
      <c r="G2449" s="48">
        <f>[1]!BexGetData("DP_2","DL719O2RYNEBZX0HTMQQ0BY0J","17","M","18015041M101","2067214011")</f>
        <v>108986.85</v>
      </c>
      <c r="H2449" s="48">
        <f>[1]!BexGetData("DP_2","DL719O2RYNGN1RZRS91K7M4TV","17","M","18015041M101","2067214011")</f>
        <v>108986.85</v>
      </c>
      <c r="I2449" s="48">
        <f>[1]!BexGetData("DP_2","DL719O2RYNIY3MZ1QVCEEWBN7","17","M","18015041M101","2067214011")</f>
        <v>0</v>
      </c>
    </row>
    <row r="2450" spans="1:9" x14ac:dyDescent="0.2">
      <c r="A2450" s="46" t="s">
        <v>32</v>
      </c>
      <c r="B2450" s="46" t="s">
        <v>32</v>
      </c>
      <c r="C2450" s="46" t="s">
        <v>32</v>
      </c>
      <c r="D2450" s="46" t="s">
        <v>32</v>
      </c>
      <c r="E2450" s="46" t="s">
        <v>32</v>
      </c>
      <c r="F2450" s="47">
        <f>[1]!BexGetData("DP_2","DL719O2RYNC0Y217V0FVT1R77","17","M","18015041M101","2067214021")</f>
        <v>1987.5</v>
      </c>
      <c r="G2450" s="48">
        <f>[1]!BexGetData("DP_2","DL719O2RYNEBZX0HTMQQ0BY0J","17","M","18015041M101","2067214021")</f>
        <v>1987.5</v>
      </c>
      <c r="H2450" s="48">
        <f>[1]!BexGetData("DP_2","DL719O2RYNGN1RZRS91K7M4TV","17","M","18015041M101","2067214021")</f>
        <v>1987.5</v>
      </c>
      <c r="I2450" s="48">
        <f>[1]!BexGetData("DP_2","DL719O2RYNIY3MZ1QVCEEWBN7","17","M","18015041M101","2067214021")</f>
        <v>0</v>
      </c>
    </row>
    <row r="2451" spans="1:9" x14ac:dyDescent="0.2">
      <c r="A2451" s="46" t="s">
        <v>32</v>
      </c>
      <c r="B2451" s="46" t="s">
        <v>32</v>
      </c>
      <c r="C2451" s="46" t="s">
        <v>32</v>
      </c>
      <c r="D2451" s="46" t="s">
        <v>32</v>
      </c>
      <c r="E2451" s="46" t="s">
        <v>32</v>
      </c>
      <c r="F2451" s="47">
        <f>[1]!BexGetData("DP_2","DL719O2RYNC0Y217V0FVT1R77","17","M","18015041M101","2067215021")</f>
        <v>14517.4</v>
      </c>
      <c r="G2451" s="48">
        <f>[1]!BexGetData("DP_2","DL719O2RYNEBZX0HTMQQ0BY0J","17","M","18015041M101","2067215021")</f>
        <v>14517.4</v>
      </c>
      <c r="H2451" s="48">
        <f>[1]!BexGetData("DP_2","DL719O2RYNGN1RZRS91K7M4TV","17","M","18015041M101","2067215021")</f>
        <v>14517.4</v>
      </c>
      <c r="I2451" s="48">
        <f>[1]!BexGetData("DP_2","DL719O2RYNIY3MZ1QVCEEWBN7","17","M","18015041M101","2067215021")</f>
        <v>0</v>
      </c>
    </row>
    <row r="2452" spans="1:9" x14ac:dyDescent="0.2">
      <c r="A2452" s="46" t="s">
        <v>32</v>
      </c>
      <c r="B2452" s="46" t="s">
        <v>32</v>
      </c>
      <c r="C2452" s="46" t="s">
        <v>32</v>
      </c>
      <c r="D2452" s="46" t="s">
        <v>32</v>
      </c>
      <c r="E2452" s="46" t="s">
        <v>32</v>
      </c>
      <c r="F2452" s="47">
        <f>[1]!BexGetData("DP_2","DL719O2RYNC0Y217V0FVT1R77","17","M","18015041M101","2067216011")</f>
        <v>270745.25</v>
      </c>
      <c r="G2452" s="48">
        <f>[1]!BexGetData("DP_2","DL719O2RYNEBZX0HTMQQ0BY0J","17","M","18015041M101","2067216011")</f>
        <v>270745.25</v>
      </c>
      <c r="H2452" s="48">
        <f>[1]!BexGetData("DP_2","DL719O2RYNGN1RZRS91K7M4TV","17","M","18015041M101","2067216011")</f>
        <v>265407.14</v>
      </c>
      <c r="I2452" s="48">
        <f>[1]!BexGetData("DP_2","DL719O2RYNIY3MZ1QVCEEWBN7","17","M","18015041M101","2067216011")</f>
        <v>0</v>
      </c>
    </row>
    <row r="2453" spans="1:9" x14ac:dyDescent="0.2">
      <c r="A2453" s="46" t="s">
        <v>32</v>
      </c>
      <c r="B2453" s="46" t="s">
        <v>32</v>
      </c>
      <c r="C2453" s="46" t="s">
        <v>32</v>
      </c>
      <c r="D2453" s="46" t="s">
        <v>32</v>
      </c>
      <c r="E2453" s="46" t="s">
        <v>32</v>
      </c>
      <c r="F2453" s="47">
        <f>[1]!BexGetData("DP_2","DL719O2RYNC0Y217V0FVT1R77","17","M","18015041M101","2067217011")</f>
        <v>348</v>
      </c>
      <c r="G2453" s="48">
        <f>[1]!BexGetData("DP_2","DL719O2RYNEBZX0HTMQQ0BY0J","17","M","18015041M101","2067217011")</f>
        <v>348</v>
      </c>
      <c r="H2453" s="48">
        <f>[1]!BexGetData("DP_2","DL719O2RYNGN1RZRS91K7M4TV","17","M","18015041M101","2067217011")</f>
        <v>348</v>
      </c>
      <c r="I2453" s="48">
        <f>[1]!BexGetData("DP_2","DL719O2RYNIY3MZ1QVCEEWBN7","17","M","18015041M101","2067217011")</f>
        <v>0</v>
      </c>
    </row>
    <row r="2454" spans="1:9" x14ac:dyDescent="0.2">
      <c r="A2454" s="46" t="s">
        <v>32</v>
      </c>
      <c r="B2454" s="46" t="s">
        <v>32</v>
      </c>
      <c r="C2454" s="46" t="s">
        <v>32</v>
      </c>
      <c r="D2454" s="46" t="s">
        <v>32</v>
      </c>
      <c r="E2454" s="46" t="s">
        <v>32</v>
      </c>
      <c r="F2454" s="47">
        <f>[1]!BexGetData("DP_2","DL719O2RYNC0Y217V0FVT1R77","17","M","18015041M101","2067221011")</f>
        <v>358.9</v>
      </c>
      <c r="G2454" s="48">
        <f>[1]!BexGetData("DP_2","DL719O2RYNEBZX0HTMQQ0BY0J","17","M","18015041M101","2067221011")</f>
        <v>358.9</v>
      </c>
      <c r="H2454" s="48">
        <f>[1]!BexGetData("DP_2","DL719O2RYNGN1RZRS91K7M4TV","17","M","18015041M101","2067221011")</f>
        <v>358.9</v>
      </c>
      <c r="I2454" s="48">
        <f>[1]!BexGetData("DP_2","DL719O2RYNIY3MZ1QVCEEWBN7","17","M","18015041M101","2067221011")</f>
        <v>0</v>
      </c>
    </row>
    <row r="2455" spans="1:9" x14ac:dyDescent="0.2">
      <c r="A2455" s="46" t="s">
        <v>32</v>
      </c>
      <c r="B2455" s="46" t="s">
        <v>32</v>
      </c>
      <c r="C2455" s="46" t="s">
        <v>32</v>
      </c>
      <c r="D2455" s="46" t="s">
        <v>32</v>
      </c>
      <c r="E2455" s="46" t="s">
        <v>32</v>
      </c>
      <c r="F2455" s="47">
        <f>[1]!BexGetData("DP_2","DL719O2RYNC0Y217V0FVT1R77","17","M","18015041M101","2067221021")</f>
        <v>233.92</v>
      </c>
      <c r="G2455" s="48">
        <f>[1]!BexGetData("DP_2","DL719O2RYNEBZX0HTMQQ0BY0J","17","M","18015041M101","2067221021")</f>
        <v>233.92</v>
      </c>
      <c r="H2455" s="48">
        <f>[1]!BexGetData("DP_2","DL719O2RYNGN1RZRS91K7M4TV","17","M","18015041M101","2067221021")</f>
        <v>233.92</v>
      </c>
      <c r="I2455" s="48">
        <f>[1]!BexGetData("DP_2","DL719O2RYNIY3MZ1QVCEEWBN7","17","M","18015041M101","2067221021")</f>
        <v>0</v>
      </c>
    </row>
    <row r="2456" spans="1:9" x14ac:dyDescent="0.2">
      <c r="A2456" s="46" t="s">
        <v>32</v>
      </c>
      <c r="B2456" s="46" t="s">
        <v>32</v>
      </c>
      <c r="C2456" s="46" t="s">
        <v>32</v>
      </c>
      <c r="D2456" s="46" t="s">
        <v>32</v>
      </c>
      <c r="E2456" s="46" t="s">
        <v>32</v>
      </c>
      <c r="F2456" s="47">
        <f>[1]!BexGetData("DP_2","DL719O2RYNC0Y217V0FVT1R77","17","M","18015041M101","2067221031")</f>
        <v>13960</v>
      </c>
      <c r="G2456" s="48">
        <f>[1]!BexGetData("DP_2","DL719O2RYNEBZX0HTMQQ0BY0J","17","M","18015041M101","2067221031")</f>
        <v>13960</v>
      </c>
      <c r="H2456" s="48">
        <f>[1]!BexGetData("DP_2","DL719O2RYNGN1RZRS91K7M4TV","17","M","18015041M101","2067221031")</f>
        <v>13960</v>
      </c>
      <c r="I2456" s="48">
        <f>[1]!BexGetData("DP_2","DL719O2RYNIY3MZ1QVCEEWBN7","17","M","18015041M101","2067221031")</f>
        <v>0</v>
      </c>
    </row>
    <row r="2457" spans="1:9" x14ac:dyDescent="0.2">
      <c r="A2457" s="46" t="s">
        <v>32</v>
      </c>
      <c r="B2457" s="46" t="s">
        <v>32</v>
      </c>
      <c r="C2457" s="46" t="s">
        <v>32</v>
      </c>
      <c r="D2457" s="46" t="s">
        <v>32</v>
      </c>
      <c r="E2457" s="46" t="s">
        <v>32</v>
      </c>
      <c r="F2457" s="47">
        <f>[1]!BexGetData("DP_2","DL719O2RYNC0Y217V0FVT1R77","17","M","18015041M101","2067241011")</f>
        <v>90</v>
      </c>
      <c r="G2457" s="48">
        <f>[1]!BexGetData("DP_2","DL719O2RYNEBZX0HTMQQ0BY0J","17","M","18015041M101","2067241011")</f>
        <v>90</v>
      </c>
      <c r="H2457" s="48">
        <f>[1]!BexGetData("DP_2","DL719O2RYNGN1RZRS91K7M4TV","17","M","18015041M101","2067241011")</f>
        <v>90</v>
      </c>
      <c r="I2457" s="48">
        <f>[1]!BexGetData("DP_2","DL719O2RYNIY3MZ1QVCEEWBN7","17","M","18015041M101","2067241011")</f>
        <v>0</v>
      </c>
    </row>
    <row r="2458" spans="1:9" x14ac:dyDescent="0.2">
      <c r="A2458" s="46" t="s">
        <v>32</v>
      </c>
      <c r="B2458" s="46" t="s">
        <v>32</v>
      </c>
      <c r="C2458" s="46" t="s">
        <v>32</v>
      </c>
      <c r="D2458" s="46" t="s">
        <v>32</v>
      </c>
      <c r="E2458" s="46" t="s">
        <v>32</v>
      </c>
      <c r="F2458" s="47">
        <f>[1]!BexGetData("DP_2","DL719O2RYNC0Y217V0FVT1R77","17","M","18015041M101","2067246011")</f>
        <v>3804.96</v>
      </c>
      <c r="G2458" s="48">
        <f>[1]!BexGetData("DP_2","DL719O2RYNEBZX0HTMQQ0BY0J","17","M","18015041M101","2067246011")</f>
        <v>3804.96</v>
      </c>
      <c r="H2458" s="48">
        <f>[1]!BexGetData("DP_2","DL719O2RYNGN1RZRS91K7M4TV","17","M","18015041M101","2067246011")</f>
        <v>1438.56</v>
      </c>
      <c r="I2458" s="48">
        <f>[1]!BexGetData("DP_2","DL719O2RYNIY3MZ1QVCEEWBN7","17","M","18015041M101","2067246011")</f>
        <v>0</v>
      </c>
    </row>
    <row r="2459" spans="1:9" x14ac:dyDescent="0.2">
      <c r="A2459" s="46" t="s">
        <v>32</v>
      </c>
      <c r="B2459" s="46" t="s">
        <v>32</v>
      </c>
      <c r="C2459" s="46" t="s">
        <v>32</v>
      </c>
      <c r="D2459" s="46" t="s">
        <v>32</v>
      </c>
      <c r="E2459" s="46" t="s">
        <v>32</v>
      </c>
      <c r="F2459" s="47">
        <f>[1]!BexGetData("DP_2","DL719O2RYNC0Y217V0FVT1R77","17","M","18015041M101","2067247011")</f>
        <v>547.66</v>
      </c>
      <c r="G2459" s="48">
        <f>[1]!BexGetData("DP_2","DL719O2RYNEBZX0HTMQQ0BY0J","17","M","18015041M101","2067247011")</f>
        <v>547.66</v>
      </c>
      <c r="H2459" s="48">
        <f>[1]!BexGetData("DP_2","DL719O2RYNGN1RZRS91K7M4TV","17","M","18015041M101","2067247011")</f>
        <v>375.98</v>
      </c>
      <c r="I2459" s="48">
        <f>[1]!BexGetData("DP_2","DL719O2RYNIY3MZ1QVCEEWBN7","17","M","18015041M101","2067247011")</f>
        <v>0</v>
      </c>
    </row>
    <row r="2460" spans="1:9" x14ac:dyDescent="0.2">
      <c r="A2460" s="46" t="s">
        <v>32</v>
      </c>
      <c r="B2460" s="46" t="s">
        <v>32</v>
      </c>
      <c r="C2460" s="46" t="s">
        <v>32</v>
      </c>
      <c r="D2460" s="46" t="s">
        <v>32</v>
      </c>
      <c r="E2460" s="46" t="s">
        <v>32</v>
      </c>
      <c r="F2460" s="47">
        <f>[1]!BexGetData("DP_2","DL719O2RYNC0Y217V0FVT1R77","17","M","18015041M101","2067249011")</f>
        <v>121634.44</v>
      </c>
      <c r="G2460" s="48">
        <f>[1]!BexGetData("DP_2","DL719O2RYNEBZX0HTMQQ0BY0J","17","M","18015041M101","2067249011")</f>
        <v>121634.44</v>
      </c>
      <c r="H2460" s="48">
        <f>[1]!BexGetData("DP_2","DL719O2RYNGN1RZRS91K7M4TV","17","M","18015041M101","2067249011")</f>
        <v>121267.88</v>
      </c>
      <c r="I2460" s="48">
        <f>[1]!BexGetData("DP_2","DL719O2RYNIY3MZ1QVCEEWBN7","17","M","18015041M101","2067249011")</f>
        <v>0</v>
      </c>
    </row>
    <row r="2461" spans="1:9" x14ac:dyDescent="0.2">
      <c r="A2461" s="46" t="s">
        <v>32</v>
      </c>
      <c r="B2461" s="46" t="s">
        <v>32</v>
      </c>
      <c r="C2461" s="46" t="s">
        <v>32</v>
      </c>
      <c r="D2461" s="46" t="s">
        <v>32</v>
      </c>
      <c r="E2461" s="46" t="s">
        <v>32</v>
      </c>
      <c r="F2461" s="47">
        <f>[1]!BexGetData("DP_2","DL719O2RYNC0Y217V0FVT1R77","17","M","18015041M101","2067251011")</f>
        <v>74.010000000000005</v>
      </c>
      <c r="G2461" s="48">
        <f>[1]!BexGetData("DP_2","DL719O2RYNEBZX0HTMQQ0BY0J","17","M","18015041M101","2067251011")</f>
        <v>74.010000000000005</v>
      </c>
      <c r="H2461" s="48">
        <f>[1]!BexGetData("DP_2","DL719O2RYNGN1RZRS91K7M4TV","17","M","18015041M101","2067251011")</f>
        <v>74.010000000000005</v>
      </c>
      <c r="I2461" s="48">
        <f>[1]!BexGetData("DP_2","DL719O2RYNIY3MZ1QVCEEWBN7","17","M","18015041M101","2067251011")</f>
        <v>0</v>
      </c>
    </row>
    <row r="2462" spans="1:9" x14ac:dyDescent="0.2">
      <c r="A2462" s="46" t="s">
        <v>32</v>
      </c>
      <c r="B2462" s="46" t="s">
        <v>32</v>
      </c>
      <c r="C2462" s="46" t="s">
        <v>32</v>
      </c>
      <c r="D2462" s="46" t="s">
        <v>32</v>
      </c>
      <c r="E2462" s="46" t="s">
        <v>32</v>
      </c>
      <c r="F2462" s="47">
        <f>[1]!BexGetData("DP_2","DL719O2RYNC0Y217V0FVT1R77","17","M","18015041M101","2067256011")</f>
        <v>1344.44</v>
      </c>
      <c r="G2462" s="48">
        <f>[1]!BexGetData("DP_2","DL719O2RYNEBZX0HTMQQ0BY0J","17","M","18015041M101","2067256011")</f>
        <v>1344.44</v>
      </c>
      <c r="H2462" s="48">
        <f>[1]!BexGetData("DP_2","DL719O2RYNGN1RZRS91K7M4TV","17","M","18015041M101","2067256011")</f>
        <v>1344.44</v>
      </c>
      <c r="I2462" s="48">
        <f>[1]!BexGetData("DP_2","DL719O2RYNIY3MZ1QVCEEWBN7","17","M","18015041M101","2067256011")</f>
        <v>0</v>
      </c>
    </row>
    <row r="2463" spans="1:9" x14ac:dyDescent="0.2">
      <c r="A2463" s="46" t="s">
        <v>32</v>
      </c>
      <c r="B2463" s="46" t="s">
        <v>32</v>
      </c>
      <c r="C2463" s="46" t="s">
        <v>32</v>
      </c>
      <c r="D2463" s="46" t="s">
        <v>32</v>
      </c>
      <c r="E2463" s="46" t="s">
        <v>32</v>
      </c>
      <c r="F2463" s="47">
        <f>[1]!BexGetData("DP_2","DL719O2RYNC0Y217V0FVT1R77","17","M","18015041M101","2067261011")</f>
        <v>5600</v>
      </c>
      <c r="G2463" s="48">
        <f>[1]!BexGetData("DP_2","DL719O2RYNEBZX0HTMQQ0BY0J","17","M","18015041M101","2067261011")</f>
        <v>5600</v>
      </c>
      <c r="H2463" s="48">
        <f>[1]!BexGetData("DP_2","DL719O2RYNGN1RZRS91K7M4TV","17","M","18015041M101","2067261011")</f>
        <v>4800</v>
      </c>
      <c r="I2463" s="48">
        <f>[1]!BexGetData("DP_2","DL719O2RYNIY3MZ1QVCEEWBN7","17","M","18015041M101","2067261011")</f>
        <v>0</v>
      </c>
    </row>
    <row r="2464" spans="1:9" x14ac:dyDescent="0.2">
      <c r="A2464" s="46" t="s">
        <v>32</v>
      </c>
      <c r="B2464" s="46" t="s">
        <v>32</v>
      </c>
      <c r="C2464" s="46" t="s">
        <v>32</v>
      </c>
      <c r="D2464" s="46" t="s">
        <v>32</v>
      </c>
      <c r="E2464" s="46" t="s">
        <v>32</v>
      </c>
      <c r="F2464" s="47">
        <f>[1]!BexGetData("DP_2","DL719O2RYNC0Y217V0FVT1R77","17","M","18015041M101","2067261021")</f>
        <v>729.03</v>
      </c>
      <c r="G2464" s="48">
        <f>[1]!BexGetData("DP_2","DL719O2RYNEBZX0HTMQQ0BY0J","17","M","18015041M101","2067261021")</f>
        <v>729.03</v>
      </c>
      <c r="H2464" s="48">
        <f>[1]!BexGetData("DP_2","DL719O2RYNGN1RZRS91K7M4TV","17","M","18015041M101","2067261021")</f>
        <v>729.03</v>
      </c>
      <c r="I2464" s="48">
        <f>[1]!BexGetData("DP_2","DL719O2RYNIY3MZ1QVCEEWBN7","17","M","18015041M101","2067261021")</f>
        <v>0</v>
      </c>
    </row>
    <row r="2465" spans="1:9" x14ac:dyDescent="0.2">
      <c r="A2465" s="46" t="s">
        <v>32</v>
      </c>
      <c r="B2465" s="46" t="s">
        <v>32</v>
      </c>
      <c r="C2465" s="46" t="s">
        <v>32</v>
      </c>
      <c r="D2465" s="46" t="s">
        <v>32</v>
      </c>
      <c r="E2465" s="46" t="s">
        <v>32</v>
      </c>
      <c r="F2465" s="47">
        <f>[1]!BexGetData("DP_2","DL719O2RYNC0Y217V0FVT1R77","17","M","18015041M101","2067271011")</f>
        <v>7527233.04</v>
      </c>
      <c r="G2465" s="48">
        <f>[1]!BexGetData("DP_2","DL719O2RYNEBZX0HTMQQ0BY0J","17","M","18015041M101","2067271011")</f>
        <v>7527233.04</v>
      </c>
      <c r="H2465" s="48">
        <f>[1]!BexGetData("DP_2","DL719O2RYNGN1RZRS91K7M4TV","17","M","18015041M101","2067271011")</f>
        <v>7527233.04</v>
      </c>
      <c r="I2465" s="48">
        <f>[1]!BexGetData("DP_2","DL719O2RYNIY3MZ1QVCEEWBN7","17","M","18015041M101","2067271011")</f>
        <v>-1.0000000000000001E-9</v>
      </c>
    </row>
    <row r="2466" spans="1:9" x14ac:dyDescent="0.2">
      <c r="A2466" s="46" t="s">
        <v>32</v>
      </c>
      <c r="B2466" s="46" t="s">
        <v>32</v>
      </c>
      <c r="C2466" s="46" t="s">
        <v>32</v>
      </c>
      <c r="D2466" s="46" t="s">
        <v>32</v>
      </c>
      <c r="E2466" s="46" t="s">
        <v>32</v>
      </c>
      <c r="F2466" s="47">
        <f>[1]!BexGetData("DP_2","DL719O2RYNC0Y217V0FVT1R77","17","M","18015041M101","2067272011")</f>
        <v>3836337.5</v>
      </c>
      <c r="G2466" s="48">
        <f>[1]!BexGetData("DP_2","DL719O2RYNEBZX0HTMQQ0BY0J","17","M","18015041M101","2067272011")</f>
        <v>3836337.5</v>
      </c>
      <c r="H2466" s="48">
        <f>[1]!BexGetData("DP_2","DL719O2RYNGN1RZRS91K7M4TV","17","M","18015041M101","2067272011")</f>
        <v>3835745.9</v>
      </c>
      <c r="I2466" s="48">
        <f>[1]!BexGetData("DP_2","DL719O2RYNIY3MZ1QVCEEWBN7","17","M","18015041M101","2067272011")</f>
        <v>0</v>
      </c>
    </row>
    <row r="2467" spans="1:9" x14ac:dyDescent="0.2">
      <c r="A2467" s="46" t="s">
        <v>32</v>
      </c>
      <c r="B2467" s="46" t="s">
        <v>32</v>
      </c>
      <c r="C2467" s="46" t="s">
        <v>32</v>
      </c>
      <c r="D2467" s="46" t="s">
        <v>32</v>
      </c>
      <c r="E2467" s="46" t="s">
        <v>32</v>
      </c>
      <c r="F2467" s="47">
        <f>[1]!BexGetData("DP_2","DL719O2RYNC0Y217V0FVT1R77","17","M","18015041M101","2067291011")</f>
        <v>446023.83</v>
      </c>
      <c r="G2467" s="48">
        <f>[1]!BexGetData("DP_2","DL719O2RYNEBZX0HTMQQ0BY0J","17","M","18015041M101","2067291011")</f>
        <v>446023.83</v>
      </c>
      <c r="H2467" s="48">
        <f>[1]!BexGetData("DP_2","DL719O2RYNGN1RZRS91K7M4TV","17","M","18015041M101","2067291011")</f>
        <v>442016.03</v>
      </c>
      <c r="I2467" s="48">
        <f>[1]!BexGetData("DP_2","DL719O2RYNIY3MZ1QVCEEWBN7","17","M","18015041M101","2067291011")</f>
        <v>0</v>
      </c>
    </row>
    <row r="2468" spans="1:9" x14ac:dyDescent="0.2">
      <c r="A2468" s="46" t="s">
        <v>32</v>
      </c>
      <c r="B2468" s="46" t="s">
        <v>32</v>
      </c>
      <c r="C2468" s="46" t="s">
        <v>32</v>
      </c>
      <c r="D2468" s="46" t="s">
        <v>32</v>
      </c>
      <c r="E2468" s="46" t="s">
        <v>32</v>
      </c>
      <c r="F2468" s="47">
        <f>[1]!BexGetData("DP_2","DL719O2RYNC0Y217V0FVT1R77","17","M","18015041M101","2067292011")</f>
        <v>3509.87</v>
      </c>
      <c r="G2468" s="48">
        <f>[1]!BexGetData("DP_2","DL719O2RYNEBZX0HTMQQ0BY0J","17","M","18015041M101","2067292011")</f>
        <v>3509.87</v>
      </c>
      <c r="H2468" s="48">
        <f>[1]!BexGetData("DP_2","DL719O2RYNGN1RZRS91K7M4TV","17","M","18015041M101","2067292011")</f>
        <v>3509.87</v>
      </c>
      <c r="I2468" s="48">
        <f>[1]!BexGetData("DP_2","DL719O2RYNIY3MZ1QVCEEWBN7","17","M","18015041M101","2067292011")</f>
        <v>0</v>
      </c>
    </row>
    <row r="2469" spans="1:9" x14ac:dyDescent="0.2">
      <c r="A2469" s="46" t="s">
        <v>32</v>
      </c>
      <c r="B2469" s="46" t="s">
        <v>32</v>
      </c>
      <c r="C2469" s="46" t="s">
        <v>32</v>
      </c>
      <c r="D2469" s="46" t="s">
        <v>32</v>
      </c>
      <c r="E2469" s="46" t="s">
        <v>32</v>
      </c>
      <c r="F2469" s="47">
        <f>[1]!BexGetData("DP_2","DL719O2RYNC0Y217V0FVT1R77","17","M","18015041M101","2067293031")</f>
        <v>0</v>
      </c>
      <c r="G2469" s="48">
        <f>[1]!BexGetData("DP_2","DL719O2RYNEBZX0HTMQQ0BY0J","17","M","18015041M101","2067293031")</f>
        <v>0</v>
      </c>
      <c r="H2469" s="48">
        <f>[1]!BexGetData("DP_2","DL719O2RYNGN1RZRS91K7M4TV","17","M","18015041M101","2067293031")</f>
        <v>0</v>
      </c>
      <c r="I2469" s="48">
        <f>[1]!BexGetData("DP_2","DL719O2RYNIY3MZ1QVCEEWBN7","17","M","18015041M101","2067293031")</f>
        <v>0</v>
      </c>
    </row>
    <row r="2470" spans="1:9" x14ac:dyDescent="0.2">
      <c r="A2470" s="46" t="s">
        <v>32</v>
      </c>
      <c r="B2470" s="46" t="s">
        <v>32</v>
      </c>
      <c r="C2470" s="46" t="s">
        <v>32</v>
      </c>
      <c r="D2470" s="46" t="s">
        <v>32</v>
      </c>
      <c r="E2470" s="46" t="s">
        <v>32</v>
      </c>
      <c r="F2470" s="47">
        <f>[1]!BexGetData("DP_2","DL719O2RYNC0Y217V0FVT1R77","17","M","18015041M101","2067294011")</f>
        <v>4726.42</v>
      </c>
      <c r="G2470" s="48">
        <f>[1]!BexGetData("DP_2","DL719O2RYNEBZX0HTMQQ0BY0J","17","M","18015041M101","2067294011")</f>
        <v>4726.42</v>
      </c>
      <c r="H2470" s="48">
        <f>[1]!BexGetData("DP_2","DL719O2RYNGN1RZRS91K7M4TV","17","M","18015041M101","2067294011")</f>
        <v>4726.42</v>
      </c>
      <c r="I2470" s="48">
        <f>[1]!BexGetData("DP_2","DL719O2RYNIY3MZ1QVCEEWBN7","17","M","18015041M101","2067294011")</f>
        <v>0</v>
      </c>
    </row>
    <row r="2471" spans="1:9" x14ac:dyDescent="0.2">
      <c r="A2471" s="46" t="s">
        <v>32</v>
      </c>
      <c r="B2471" s="46" t="s">
        <v>32</v>
      </c>
      <c r="C2471" s="46" t="s">
        <v>32</v>
      </c>
      <c r="D2471" s="46" t="s">
        <v>32</v>
      </c>
      <c r="E2471" s="46" t="s">
        <v>32</v>
      </c>
      <c r="F2471" s="47">
        <f>[1]!BexGetData("DP_2","DL719O2RYNC0Y217V0FVT1R77","17","M","18015041M101","2067296011")</f>
        <v>12458.75</v>
      </c>
      <c r="G2471" s="48">
        <f>[1]!BexGetData("DP_2","DL719O2RYNEBZX0HTMQQ0BY0J","17","M","18015041M101","2067296011")</f>
        <v>12458.75</v>
      </c>
      <c r="H2471" s="48">
        <f>[1]!BexGetData("DP_2","DL719O2RYNGN1RZRS91K7M4TV","17","M","18015041M101","2067296011")</f>
        <v>12458.75</v>
      </c>
      <c r="I2471" s="48">
        <f>[1]!BexGetData("DP_2","DL719O2RYNIY3MZ1QVCEEWBN7","17","M","18015041M101","2067296011")</f>
        <v>0</v>
      </c>
    </row>
    <row r="2472" spans="1:9" x14ac:dyDescent="0.2">
      <c r="A2472" s="46" t="s">
        <v>32</v>
      </c>
      <c r="B2472" s="46" t="s">
        <v>32</v>
      </c>
      <c r="C2472" s="46" t="s">
        <v>32</v>
      </c>
      <c r="D2472" s="46" t="s">
        <v>32</v>
      </c>
      <c r="E2472" s="46" t="s">
        <v>32</v>
      </c>
      <c r="F2472" s="47">
        <f>[1]!BexGetData("DP_2","DL719O2RYNC0Y217V0FVT1R77","17","M","18015041M101","2067298011")</f>
        <v>785.01</v>
      </c>
      <c r="G2472" s="48">
        <f>[1]!BexGetData("DP_2","DL719O2RYNEBZX0HTMQQ0BY0J","17","M","18015041M101","2067298011")</f>
        <v>785.01</v>
      </c>
      <c r="H2472" s="48">
        <f>[1]!BexGetData("DP_2","DL719O2RYNGN1RZRS91K7M4TV","17","M","18015041M101","2067298011")</f>
        <v>785.01</v>
      </c>
      <c r="I2472" s="48">
        <f>[1]!BexGetData("DP_2","DL719O2RYNIY3MZ1QVCEEWBN7","17","M","18015041M101","2067298011")</f>
        <v>0</v>
      </c>
    </row>
    <row r="2473" spans="1:9" x14ac:dyDescent="0.2">
      <c r="A2473" s="46" t="s">
        <v>32</v>
      </c>
      <c r="B2473" s="46" t="s">
        <v>32</v>
      </c>
      <c r="C2473" s="46" t="s">
        <v>32</v>
      </c>
      <c r="D2473" s="46" t="s">
        <v>32</v>
      </c>
      <c r="E2473" s="46" t="s">
        <v>32</v>
      </c>
      <c r="F2473" s="47">
        <f>[1]!BexGetData("DP_2","DL719O2RYNC0Y217V0FVT1R77","17","M","18015041M101","2067299011")</f>
        <v>0</v>
      </c>
      <c r="G2473" s="48">
        <f>[1]!BexGetData("DP_2","DL719O2RYNEBZX0HTMQQ0BY0J","17","M","18015041M101","2067299011")</f>
        <v>0</v>
      </c>
      <c r="H2473" s="48">
        <f>[1]!BexGetData("DP_2","DL719O2RYNGN1RZRS91K7M4TV","17","M","18015041M101","2067299011")</f>
        <v>0</v>
      </c>
      <c r="I2473" s="48">
        <f>[1]!BexGetData("DP_2","DL719O2RYNIY3MZ1QVCEEWBN7","17","M","18015041M101","2067299011")</f>
        <v>0</v>
      </c>
    </row>
    <row r="2474" spans="1:9" x14ac:dyDescent="0.2">
      <c r="A2474" s="46" t="s">
        <v>32</v>
      </c>
      <c r="B2474" s="46" t="s">
        <v>32</v>
      </c>
      <c r="C2474" s="46" t="s">
        <v>32</v>
      </c>
      <c r="D2474" s="46" t="s">
        <v>32</v>
      </c>
      <c r="E2474" s="46" t="s">
        <v>32</v>
      </c>
      <c r="F2474" s="47">
        <f>[1]!BexGetData("DP_2","DL719O2RYNC0Y217V0FVT1R77","17","M","18015041M101","2067311011")</f>
        <v>545881.65</v>
      </c>
      <c r="G2474" s="48">
        <f>[1]!BexGetData("DP_2","DL719O2RYNEBZX0HTMQQ0BY0J","17","M","18015041M101","2067311011")</f>
        <v>545881.65</v>
      </c>
      <c r="H2474" s="48">
        <f>[1]!BexGetData("DP_2","DL719O2RYNGN1RZRS91K7M4TV","17","M","18015041M101","2067311011")</f>
        <v>545881.65</v>
      </c>
      <c r="I2474" s="48">
        <f>[1]!BexGetData("DP_2","DL719O2RYNIY3MZ1QVCEEWBN7","17","M","18015041M101","2067311011")</f>
        <v>0</v>
      </c>
    </row>
    <row r="2475" spans="1:9" x14ac:dyDescent="0.2">
      <c r="A2475" s="46" t="s">
        <v>32</v>
      </c>
      <c r="B2475" s="46" t="s">
        <v>32</v>
      </c>
      <c r="C2475" s="46" t="s">
        <v>32</v>
      </c>
      <c r="D2475" s="46" t="s">
        <v>32</v>
      </c>
      <c r="E2475" s="46" t="s">
        <v>32</v>
      </c>
      <c r="F2475" s="47">
        <f>[1]!BexGetData("DP_2","DL719O2RYNC0Y217V0FVT1R77","17","M","18015041M101","2067313011")</f>
        <v>6213</v>
      </c>
      <c r="G2475" s="48">
        <f>[1]!BexGetData("DP_2","DL719O2RYNEBZX0HTMQQ0BY0J","17","M","18015041M101","2067313011")</f>
        <v>6213</v>
      </c>
      <c r="H2475" s="48">
        <f>[1]!BexGetData("DP_2","DL719O2RYNGN1RZRS91K7M4TV","17","M","18015041M101","2067313011")</f>
        <v>6213</v>
      </c>
      <c r="I2475" s="48">
        <f>[1]!BexGetData("DP_2","DL719O2RYNIY3MZ1QVCEEWBN7","17","M","18015041M101","2067313011")</f>
        <v>0</v>
      </c>
    </row>
    <row r="2476" spans="1:9" x14ac:dyDescent="0.2">
      <c r="A2476" s="46" t="s">
        <v>32</v>
      </c>
      <c r="B2476" s="46" t="s">
        <v>32</v>
      </c>
      <c r="C2476" s="46" t="s">
        <v>32</v>
      </c>
      <c r="D2476" s="46" t="s">
        <v>32</v>
      </c>
      <c r="E2476" s="46" t="s">
        <v>32</v>
      </c>
      <c r="F2476" s="47">
        <f>[1]!BexGetData("DP_2","DL719O2RYNC0Y217V0FVT1R77","17","M","18015041M101","2067314011")</f>
        <v>150645.69</v>
      </c>
      <c r="G2476" s="48">
        <f>[1]!BexGetData("DP_2","DL719O2RYNEBZX0HTMQQ0BY0J","17","M","18015041M101","2067314011")</f>
        <v>150645.69</v>
      </c>
      <c r="H2476" s="48">
        <f>[1]!BexGetData("DP_2","DL719O2RYNGN1RZRS91K7M4TV","17","M","18015041M101","2067314011")</f>
        <v>150645.70000000001</v>
      </c>
      <c r="I2476" s="48">
        <f>[1]!BexGetData("DP_2","DL719O2RYNIY3MZ1QVCEEWBN7","17","M","18015041M101","2067314011")</f>
        <v>0</v>
      </c>
    </row>
    <row r="2477" spans="1:9" x14ac:dyDescent="0.2">
      <c r="A2477" s="46" t="s">
        <v>32</v>
      </c>
      <c r="B2477" s="46" t="s">
        <v>32</v>
      </c>
      <c r="C2477" s="46" t="s">
        <v>32</v>
      </c>
      <c r="D2477" s="46" t="s">
        <v>32</v>
      </c>
      <c r="E2477" s="46" t="s">
        <v>32</v>
      </c>
      <c r="F2477" s="47">
        <f>[1]!BexGetData("DP_2","DL719O2RYNC0Y217V0FVT1R77","17","M","18015041M101","2067317011")</f>
        <v>57412.27</v>
      </c>
      <c r="G2477" s="48">
        <f>[1]!BexGetData("DP_2","DL719O2RYNEBZX0HTMQQ0BY0J","17","M","18015041M101","2067317011")</f>
        <v>57412.27</v>
      </c>
      <c r="H2477" s="48">
        <f>[1]!BexGetData("DP_2","DL719O2RYNGN1RZRS91K7M4TV","17","M","18015041M101","2067317011")</f>
        <v>57412.29</v>
      </c>
      <c r="I2477" s="48">
        <f>[1]!BexGetData("DP_2","DL719O2RYNIY3MZ1QVCEEWBN7","17","M","18015041M101","2067317011")</f>
        <v>0</v>
      </c>
    </row>
    <row r="2478" spans="1:9" x14ac:dyDescent="0.2">
      <c r="A2478" s="46" t="s">
        <v>32</v>
      </c>
      <c r="B2478" s="46" t="s">
        <v>32</v>
      </c>
      <c r="C2478" s="46" t="s">
        <v>32</v>
      </c>
      <c r="D2478" s="46" t="s">
        <v>32</v>
      </c>
      <c r="E2478" s="46" t="s">
        <v>32</v>
      </c>
      <c r="F2478" s="47">
        <f>[1]!BexGetData("DP_2","DL719O2RYNC0Y217V0FVT1R77","17","M","18015041M101","2067318011")</f>
        <v>207.7</v>
      </c>
      <c r="G2478" s="48">
        <f>[1]!BexGetData("DP_2","DL719O2RYNEBZX0HTMQQ0BY0J","17","M","18015041M101","2067318011")</f>
        <v>207.7</v>
      </c>
      <c r="H2478" s="48">
        <f>[1]!BexGetData("DP_2","DL719O2RYNGN1RZRS91K7M4TV","17","M","18015041M101","2067318011")</f>
        <v>207.7</v>
      </c>
      <c r="I2478" s="48">
        <f>[1]!BexGetData("DP_2","DL719O2RYNIY3MZ1QVCEEWBN7","17","M","18015041M101","2067318011")</f>
        <v>0</v>
      </c>
    </row>
    <row r="2479" spans="1:9" x14ac:dyDescent="0.2">
      <c r="A2479" s="46" t="s">
        <v>32</v>
      </c>
      <c r="B2479" s="46" t="s">
        <v>32</v>
      </c>
      <c r="C2479" s="46" t="s">
        <v>32</v>
      </c>
      <c r="D2479" s="46" t="s">
        <v>32</v>
      </c>
      <c r="E2479" s="46" t="s">
        <v>32</v>
      </c>
      <c r="F2479" s="47">
        <f>[1]!BexGetData("DP_2","DL719O2RYNC0Y217V0FVT1R77","17","M","18015041M101","2067322011")</f>
        <v>1222927.68</v>
      </c>
      <c r="G2479" s="48">
        <f>[1]!BexGetData("DP_2","DL719O2RYNEBZX0HTMQQ0BY0J","17","M","18015041M101","2067322011")</f>
        <v>1222927.68</v>
      </c>
      <c r="H2479" s="48">
        <f>[1]!BexGetData("DP_2","DL719O2RYNGN1RZRS91K7M4TV","17","M","18015041M101","2067322011")</f>
        <v>1135927.68</v>
      </c>
      <c r="I2479" s="48">
        <f>[1]!BexGetData("DP_2","DL719O2RYNIY3MZ1QVCEEWBN7","17","M","18015041M101","2067322011")</f>
        <v>0</v>
      </c>
    </row>
    <row r="2480" spans="1:9" x14ac:dyDescent="0.2">
      <c r="A2480" s="46" t="s">
        <v>32</v>
      </c>
      <c r="B2480" s="46" t="s">
        <v>32</v>
      </c>
      <c r="C2480" s="46" t="s">
        <v>32</v>
      </c>
      <c r="D2480" s="46" t="s">
        <v>32</v>
      </c>
      <c r="E2480" s="46" t="s">
        <v>32</v>
      </c>
      <c r="F2480" s="47">
        <f>[1]!BexGetData("DP_2","DL719O2RYNC0Y217V0FVT1R77","17","M","18015041M101","2067334011")</f>
        <v>3132</v>
      </c>
      <c r="G2480" s="48">
        <f>[1]!BexGetData("DP_2","DL719O2RYNEBZX0HTMQQ0BY0J","17","M","18015041M101","2067334011")</f>
        <v>3132</v>
      </c>
      <c r="H2480" s="48">
        <f>[1]!BexGetData("DP_2","DL719O2RYNGN1RZRS91K7M4TV","17","M","18015041M101","2067334011")</f>
        <v>3132</v>
      </c>
      <c r="I2480" s="48">
        <f>[1]!BexGetData("DP_2","DL719O2RYNIY3MZ1QVCEEWBN7","17","M","18015041M101","2067334011")</f>
        <v>0</v>
      </c>
    </row>
    <row r="2481" spans="1:9" x14ac:dyDescent="0.2">
      <c r="A2481" s="46" t="s">
        <v>32</v>
      </c>
      <c r="B2481" s="46" t="s">
        <v>32</v>
      </c>
      <c r="C2481" s="46" t="s">
        <v>32</v>
      </c>
      <c r="D2481" s="46" t="s">
        <v>32</v>
      </c>
      <c r="E2481" s="46" t="s">
        <v>32</v>
      </c>
      <c r="F2481" s="47">
        <f>[1]!BexGetData("DP_2","DL719O2RYNC0Y217V0FVT1R77","17","M","18015041M101","2067336011")</f>
        <v>316570.57</v>
      </c>
      <c r="G2481" s="48">
        <f>[1]!BexGetData("DP_2","DL719O2RYNEBZX0HTMQQ0BY0J","17","M","18015041M101","2067336011")</f>
        <v>316570.57</v>
      </c>
      <c r="H2481" s="48">
        <f>[1]!BexGetData("DP_2","DL719O2RYNGN1RZRS91K7M4TV","17","M","18015041M101","2067336011")</f>
        <v>251710.13</v>
      </c>
      <c r="I2481" s="48">
        <f>[1]!BexGetData("DP_2","DL719O2RYNIY3MZ1QVCEEWBN7","17","M","18015041M101","2067336011")</f>
        <v>0</v>
      </c>
    </row>
    <row r="2482" spans="1:9" x14ac:dyDescent="0.2">
      <c r="A2482" s="46" t="s">
        <v>32</v>
      </c>
      <c r="B2482" s="46" t="s">
        <v>32</v>
      </c>
      <c r="C2482" s="46" t="s">
        <v>32</v>
      </c>
      <c r="D2482" s="46" t="s">
        <v>32</v>
      </c>
      <c r="E2482" s="46" t="s">
        <v>32</v>
      </c>
      <c r="F2482" s="47">
        <f>[1]!BexGetData("DP_2","DL719O2RYNC0Y217V0FVT1R77","17","M","18015041M101","2067339011")</f>
        <v>0</v>
      </c>
      <c r="G2482" s="48">
        <f>[1]!BexGetData("DP_2","DL719O2RYNEBZX0HTMQQ0BY0J","17","M","18015041M101","2067339011")</f>
        <v>0</v>
      </c>
      <c r="H2482" s="48">
        <f>[1]!BexGetData("DP_2","DL719O2RYNGN1RZRS91K7M4TV","17","M","18015041M101","2067339011")</f>
        <v>0</v>
      </c>
      <c r="I2482" s="48">
        <f>[1]!BexGetData("DP_2","DL719O2RYNIY3MZ1QVCEEWBN7","17","M","18015041M101","2067339011")</f>
        <v>0</v>
      </c>
    </row>
    <row r="2483" spans="1:9" x14ac:dyDescent="0.2">
      <c r="A2483" s="46" t="s">
        <v>32</v>
      </c>
      <c r="B2483" s="46" t="s">
        <v>32</v>
      </c>
      <c r="C2483" s="46" t="s">
        <v>32</v>
      </c>
      <c r="D2483" s="46" t="s">
        <v>32</v>
      </c>
      <c r="E2483" s="46" t="s">
        <v>32</v>
      </c>
      <c r="F2483" s="47">
        <f>[1]!BexGetData("DP_2","DL719O2RYNC0Y217V0FVT1R77","17","M","18015041M101","2067345011")</f>
        <v>5771070.7699999996</v>
      </c>
      <c r="G2483" s="48">
        <f>[1]!BexGetData("DP_2","DL719O2RYNEBZX0HTMQQ0BY0J","17","M","18015041M101","2067345011")</f>
        <v>5771070.7699999996</v>
      </c>
      <c r="H2483" s="48">
        <f>[1]!BexGetData("DP_2","DL719O2RYNGN1RZRS91K7M4TV","17","M","18015041M101","2067345011")</f>
        <v>5263994.8099999996</v>
      </c>
      <c r="I2483" s="48">
        <f>[1]!BexGetData("DP_2","DL719O2RYNIY3MZ1QVCEEWBN7","17","M","18015041M101","2067345011")</f>
        <v>-2.0000000000000001E-9</v>
      </c>
    </row>
    <row r="2484" spans="1:9" x14ac:dyDescent="0.2">
      <c r="A2484" s="46" t="s">
        <v>32</v>
      </c>
      <c r="B2484" s="46" t="s">
        <v>32</v>
      </c>
      <c r="C2484" s="46" t="s">
        <v>32</v>
      </c>
      <c r="D2484" s="46" t="s">
        <v>32</v>
      </c>
      <c r="E2484" s="46" t="s">
        <v>32</v>
      </c>
      <c r="F2484" s="47">
        <f>[1]!BexGetData("DP_2","DL719O2RYNC0Y217V0FVT1R77","17","M","18015041M101","2067347011")</f>
        <v>928</v>
      </c>
      <c r="G2484" s="48">
        <f>[1]!BexGetData("DP_2","DL719O2RYNEBZX0HTMQQ0BY0J","17","M","18015041M101","2067347011")</f>
        <v>928</v>
      </c>
      <c r="H2484" s="48">
        <f>[1]!BexGetData("DP_2","DL719O2RYNGN1RZRS91K7M4TV","17","M","18015041M101","2067347011")</f>
        <v>928</v>
      </c>
      <c r="I2484" s="48">
        <f>[1]!BexGetData("DP_2","DL719O2RYNIY3MZ1QVCEEWBN7","17","M","18015041M101","2067347011")</f>
        <v>0</v>
      </c>
    </row>
    <row r="2485" spans="1:9" x14ac:dyDescent="0.2">
      <c r="A2485" s="46" t="s">
        <v>32</v>
      </c>
      <c r="B2485" s="46" t="s">
        <v>32</v>
      </c>
      <c r="C2485" s="46" t="s">
        <v>32</v>
      </c>
      <c r="D2485" s="46" t="s">
        <v>32</v>
      </c>
      <c r="E2485" s="46" t="s">
        <v>32</v>
      </c>
      <c r="F2485" s="47">
        <f>[1]!BexGetData("DP_2","DL719O2RYNC0Y217V0FVT1R77","17","M","18015041M101","2067351011")</f>
        <v>99852.800000000003</v>
      </c>
      <c r="G2485" s="48">
        <f>[1]!BexGetData("DP_2","DL719O2RYNEBZX0HTMQQ0BY0J","17","M","18015041M101","2067351011")</f>
        <v>99852.800000000003</v>
      </c>
      <c r="H2485" s="48">
        <f>[1]!BexGetData("DP_2","DL719O2RYNGN1RZRS91K7M4TV","17","M","18015041M101","2067351011")</f>
        <v>99852.800000000003</v>
      </c>
      <c r="I2485" s="48">
        <f>[1]!BexGetData("DP_2","DL719O2RYNIY3MZ1QVCEEWBN7","17","M","18015041M101","2067351011")</f>
        <v>0</v>
      </c>
    </row>
    <row r="2486" spans="1:9" x14ac:dyDescent="0.2">
      <c r="A2486" s="46" t="s">
        <v>32</v>
      </c>
      <c r="B2486" s="46" t="s">
        <v>32</v>
      </c>
      <c r="C2486" s="46" t="s">
        <v>32</v>
      </c>
      <c r="D2486" s="46" t="s">
        <v>32</v>
      </c>
      <c r="E2486" s="46" t="s">
        <v>32</v>
      </c>
      <c r="F2486" s="47">
        <f>[1]!BexGetData("DP_2","DL719O2RYNC0Y217V0FVT1R77","17","M","18015041M101","2067352011")</f>
        <v>450</v>
      </c>
      <c r="G2486" s="48">
        <f>[1]!BexGetData("DP_2","DL719O2RYNEBZX0HTMQQ0BY0J","17","M","18015041M101","2067352011")</f>
        <v>450</v>
      </c>
      <c r="H2486" s="48">
        <f>[1]!BexGetData("DP_2","DL719O2RYNGN1RZRS91K7M4TV","17","M","18015041M101","2067352011")</f>
        <v>450</v>
      </c>
      <c r="I2486" s="48">
        <f>[1]!BexGetData("DP_2","DL719O2RYNIY3MZ1QVCEEWBN7","17","M","18015041M101","2067352011")</f>
        <v>0</v>
      </c>
    </row>
    <row r="2487" spans="1:9" x14ac:dyDescent="0.2">
      <c r="A2487" s="46" t="s">
        <v>32</v>
      </c>
      <c r="B2487" s="46" t="s">
        <v>32</v>
      </c>
      <c r="C2487" s="46" t="s">
        <v>32</v>
      </c>
      <c r="D2487" s="46" t="s">
        <v>32</v>
      </c>
      <c r="E2487" s="46" t="s">
        <v>32</v>
      </c>
      <c r="F2487" s="47">
        <f>[1]!BexGetData("DP_2","DL719O2RYNC0Y217V0FVT1R77","17","M","18015041M101","2067352091")</f>
        <v>8788</v>
      </c>
      <c r="G2487" s="48">
        <f>[1]!BexGetData("DP_2","DL719O2RYNEBZX0HTMQQ0BY0J","17","M","18015041M101","2067352091")</f>
        <v>8788</v>
      </c>
      <c r="H2487" s="48">
        <f>[1]!BexGetData("DP_2","DL719O2RYNGN1RZRS91K7M4TV","17","M","18015041M101","2067352091")</f>
        <v>5656</v>
      </c>
      <c r="I2487" s="48">
        <f>[1]!BexGetData("DP_2","DL719O2RYNIY3MZ1QVCEEWBN7","17","M","18015041M101","2067352091")</f>
        <v>0</v>
      </c>
    </row>
    <row r="2488" spans="1:9" x14ac:dyDescent="0.2">
      <c r="A2488" s="46" t="s">
        <v>32</v>
      </c>
      <c r="B2488" s="46" t="s">
        <v>32</v>
      </c>
      <c r="C2488" s="46" t="s">
        <v>32</v>
      </c>
      <c r="D2488" s="46" t="s">
        <v>32</v>
      </c>
      <c r="E2488" s="46" t="s">
        <v>32</v>
      </c>
      <c r="F2488" s="47">
        <f>[1]!BexGetData("DP_2","DL719O2RYNC0Y217V0FVT1R77","17","M","18015041M101","2067355011")</f>
        <v>33049.67</v>
      </c>
      <c r="G2488" s="48">
        <f>[1]!BexGetData("DP_2","DL719O2RYNEBZX0HTMQQ0BY0J","17","M","18015041M101","2067355011")</f>
        <v>33049.67</v>
      </c>
      <c r="H2488" s="48">
        <f>[1]!BexGetData("DP_2","DL719O2RYNGN1RZRS91K7M4TV","17","M","18015041M101","2067355011")</f>
        <v>33049.67</v>
      </c>
      <c r="I2488" s="48">
        <f>[1]!BexGetData("DP_2","DL719O2RYNIY3MZ1QVCEEWBN7","17","M","18015041M101","2067355011")</f>
        <v>0</v>
      </c>
    </row>
    <row r="2489" spans="1:9" x14ac:dyDescent="0.2">
      <c r="A2489" s="46" t="s">
        <v>32</v>
      </c>
      <c r="B2489" s="46" t="s">
        <v>32</v>
      </c>
      <c r="C2489" s="46" t="s">
        <v>32</v>
      </c>
      <c r="D2489" s="46" t="s">
        <v>32</v>
      </c>
      <c r="E2489" s="46" t="s">
        <v>32</v>
      </c>
      <c r="F2489" s="47">
        <f>[1]!BexGetData("DP_2","DL719O2RYNC0Y217V0FVT1R77","17","M","18015041M101","2067359011")</f>
        <v>23664</v>
      </c>
      <c r="G2489" s="48">
        <f>[1]!BexGetData("DP_2","DL719O2RYNEBZX0HTMQQ0BY0J","17","M","18015041M101","2067359011")</f>
        <v>23664</v>
      </c>
      <c r="H2489" s="48">
        <f>[1]!BexGetData("DP_2","DL719O2RYNGN1RZRS91K7M4TV","17","M","18015041M101","2067359011")</f>
        <v>23664</v>
      </c>
      <c r="I2489" s="48">
        <f>[1]!BexGetData("DP_2","DL719O2RYNIY3MZ1QVCEEWBN7","17","M","18015041M101","2067359011")</f>
        <v>0</v>
      </c>
    </row>
    <row r="2490" spans="1:9" x14ac:dyDescent="0.2">
      <c r="A2490" s="46" t="s">
        <v>32</v>
      </c>
      <c r="B2490" s="46" t="s">
        <v>32</v>
      </c>
      <c r="C2490" s="46" t="s">
        <v>32</v>
      </c>
      <c r="D2490" s="46" t="s">
        <v>32</v>
      </c>
      <c r="E2490" s="46" t="s">
        <v>32</v>
      </c>
      <c r="F2490" s="47">
        <f>[1]!BexGetData("DP_2","DL719O2RYNC0Y217V0FVT1R77","17","M","18015041M101","2067372011")</f>
        <v>31620</v>
      </c>
      <c r="G2490" s="48">
        <f>[1]!BexGetData("DP_2","DL719O2RYNEBZX0HTMQQ0BY0J","17","M","18015041M101","2067372011")</f>
        <v>31620</v>
      </c>
      <c r="H2490" s="48">
        <f>[1]!BexGetData("DP_2","DL719O2RYNGN1RZRS91K7M4TV","17","M","18015041M101","2067372011")</f>
        <v>31620</v>
      </c>
      <c r="I2490" s="48">
        <f>[1]!BexGetData("DP_2","DL719O2RYNIY3MZ1QVCEEWBN7","17","M","18015041M101","2067372011")</f>
        <v>0</v>
      </c>
    </row>
    <row r="2491" spans="1:9" x14ac:dyDescent="0.2">
      <c r="A2491" s="46" t="s">
        <v>32</v>
      </c>
      <c r="B2491" s="46" t="s">
        <v>32</v>
      </c>
      <c r="C2491" s="46" t="s">
        <v>32</v>
      </c>
      <c r="D2491" s="46" t="s">
        <v>32</v>
      </c>
      <c r="E2491" s="46" t="s">
        <v>32</v>
      </c>
      <c r="F2491" s="47">
        <f>[1]!BexGetData("DP_2","DL719O2RYNC0Y217V0FVT1R77","17","M","18015041M101","2067372021")</f>
        <v>0</v>
      </c>
      <c r="G2491" s="48">
        <f>[1]!BexGetData("DP_2","DL719O2RYNEBZX0HTMQQ0BY0J","17","M","18015041M101","2067372021")</f>
        <v>0</v>
      </c>
      <c r="H2491" s="48">
        <f>[1]!BexGetData("DP_2","DL719O2RYNGN1RZRS91K7M4TV","17","M","18015041M101","2067372021")</f>
        <v>0</v>
      </c>
      <c r="I2491" s="48">
        <f>[1]!BexGetData("DP_2","DL719O2RYNIY3MZ1QVCEEWBN7","17","M","18015041M101","2067372021")</f>
        <v>0</v>
      </c>
    </row>
    <row r="2492" spans="1:9" x14ac:dyDescent="0.2">
      <c r="A2492" s="46" t="s">
        <v>32</v>
      </c>
      <c r="B2492" s="46" t="s">
        <v>32</v>
      </c>
      <c r="C2492" s="46" t="s">
        <v>32</v>
      </c>
      <c r="D2492" s="46" t="s">
        <v>32</v>
      </c>
      <c r="E2492" s="46" t="s">
        <v>32</v>
      </c>
      <c r="F2492" s="47">
        <f>[1]!BexGetData("DP_2","DL719O2RYNC0Y217V0FVT1R77","17","M","18015041M101","2067375011")</f>
        <v>2200</v>
      </c>
      <c r="G2492" s="48">
        <f>[1]!BexGetData("DP_2","DL719O2RYNEBZX0HTMQQ0BY0J","17","M","18015041M101","2067375011")</f>
        <v>2200</v>
      </c>
      <c r="H2492" s="48">
        <f>[1]!BexGetData("DP_2","DL719O2RYNGN1RZRS91K7M4TV","17","M","18015041M101","2067375011")</f>
        <v>2200</v>
      </c>
      <c r="I2492" s="48">
        <f>[1]!BexGetData("DP_2","DL719O2RYNIY3MZ1QVCEEWBN7","17","M","18015041M101","2067375011")</f>
        <v>0</v>
      </c>
    </row>
    <row r="2493" spans="1:9" x14ac:dyDescent="0.2">
      <c r="A2493" s="46" t="s">
        <v>32</v>
      </c>
      <c r="B2493" s="46" t="s">
        <v>32</v>
      </c>
      <c r="C2493" s="46" t="s">
        <v>32</v>
      </c>
      <c r="D2493" s="46" t="s">
        <v>32</v>
      </c>
      <c r="E2493" s="46" t="s">
        <v>32</v>
      </c>
      <c r="F2493" s="47">
        <f>[1]!BexGetData("DP_2","DL719O2RYNC0Y217V0FVT1R77","17","M","18015041M101","2067382021")</f>
        <v>0</v>
      </c>
      <c r="G2493" s="48">
        <f>[1]!BexGetData("DP_2","DL719O2RYNEBZX0HTMQQ0BY0J","17","M","18015041M101","2067382021")</f>
        <v>0</v>
      </c>
      <c r="H2493" s="48">
        <f>[1]!BexGetData("DP_2","DL719O2RYNGN1RZRS91K7M4TV","17","M","18015041M101","2067382021")</f>
        <v>0</v>
      </c>
      <c r="I2493" s="48">
        <f>[1]!BexGetData("DP_2","DL719O2RYNIY3MZ1QVCEEWBN7","17","M","18015041M101","2067382021")</f>
        <v>0</v>
      </c>
    </row>
    <row r="2494" spans="1:9" x14ac:dyDescent="0.2">
      <c r="A2494" s="46" t="s">
        <v>32</v>
      </c>
      <c r="B2494" s="46" t="s">
        <v>32</v>
      </c>
      <c r="C2494" s="46" t="s">
        <v>32</v>
      </c>
      <c r="D2494" s="46" t="s">
        <v>32</v>
      </c>
      <c r="E2494" s="46" t="s">
        <v>32</v>
      </c>
      <c r="F2494" s="47">
        <f>[1]!BexGetData("DP_2","DL719O2RYNC0Y217V0FVT1R77","17","M","18015041M101","2067392011")</f>
        <v>1925129.69</v>
      </c>
      <c r="G2494" s="48">
        <f>[1]!BexGetData("DP_2","DL719O2RYNEBZX0HTMQQ0BY0J","17","M","18015041M101","2067392011")</f>
        <v>1925129.69</v>
      </c>
      <c r="H2494" s="48">
        <f>[1]!BexGetData("DP_2","DL719O2RYNGN1RZRS91K7M4TV","17","M","18015041M101","2067392011")</f>
        <v>1925129.69</v>
      </c>
      <c r="I2494" s="48">
        <f>[1]!BexGetData("DP_2","DL719O2RYNIY3MZ1QVCEEWBN7","17","M","18015041M101","2067392011")</f>
        <v>0</v>
      </c>
    </row>
    <row r="2495" spans="1:9" x14ac:dyDescent="0.2">
      <c r="A2495" s="46" t="s">
        <v>32</v>
      </c>
      <c r="B2495" s="46" t="s">
        <v>32</v>
      </c>
      <c r="C2495" s="46" t="s">
        <v>32</v>
      </c>
      <c r="D2495" s="46" t="s">
        <v>32</v>
      </c>
      <c r="E2495" s="46" t="s">
        <v>32</v>
      </c>
      <c r="F2495" s="47">
        <f>[1]!BexGetData("DP_2","DL719O2RYNC0Y217V0FVT1R77","17","M","18015041M101","2067395011")</f>
        <v>2370374</v>
      </c>
      <c r="G2495" s="48">
        <f>[1]!BexGetData("DP_2","DL719O2RYNEBZX0HTMQQ0BY0J","17","M","18015041M101","2067395011")</f>
        <v>2370374</v>
      </c>
      <c r="H2495" s="48">
        <f>[1]!BexGetData("DP_2","DL719O2RYNGN1RZRS91K7M4TV","17","M","18015041M101","2067395011")</f>
        <v>2370374</v>
      </c>
      <c r="I2495" s="48">
        <f>[1]!BexGetData("DP_2","DL719O2RYNIY3MZ1QVCEEWBN7","17","M","18015041M101","2067395011")</f>
        <v>0</v>
      </c>
    </row>
    <row r="2496" spans="1:9" x14ac:dyDescent="0.2">
      <c r="A2496" s="46" t="s">
        <v>32</v>
      </c>
      <c r="B2496" s="46" t="s">
        <v>32</v>
      </c>
      <c r="C2496" s="46" t="s">
        <v>32</v>
      </c>
      <c r="D2496" s="46" t="s">
        <v>32</v>
      </c>
      <c r="E2496" s="46" t="s">
        <v>32</v>
      </c>
      <c r="F2496" s="47">
        <f>[1]!BexGetData("DP_2","DL719O2RYNC0Y217V0FVT1R77","17","M","18015041M101","2067396011")</f>
        <v>1127133.5900000001</v>
      </c>
      <c r="G2496" s="48">
        <f>[1]!BexGetData("DP_2","DL719O2RYNEBZX0HTMQQ0BY0J","17","M","18015041M101","2067396011")</f>
        <v>1127133.5900000001</v>
      </c>
      <c r="H2496" s="48">
        <f>[1]!BexGetData("DP_2","DL719O2RYNGN1RZRS91K7M4TV","17","M","18015041M101","2067396011")</f>
        <v>0</v>
      </c>
      <c r="I2496" s="48">
        <f>[1]!BexGetData("DP_2","DL719O2RYNIY3MZ1QVCEEWBN7","17","M","18015041M101","2067396011")</f>
        <v>0</v>
      </c>
    </row>
    <row r="2497" spans="1:9" x14ac:dyDescent="0.2">
      <c r="A2497" s="46" t="s">
        <v>32</v>
      </c>
      <c r="B2497" s="46" t="s">
        <v>32</v>
      </c>
      <c r="C2497" s="46" t="s">
        <v>32</v>
      </c>
      <c r="D2497" s="46" t="s">
        <v>32</v>
      </c>
      <c r="E2497" s="46" t="s">
        <v>32</v>
      </c>
      <c r="F2497" s="47">
        <f>[1]!BexGetData("DP_2","DL719O2RYNC0Y217V0FVT1R77","17","M","18015041M101","2067399031")</f>
        <v>230</v>
      </c>
      <c r="G2497" s="48">
        <f>[1]!BexGetData("DP_2","DL719O2RYNEBZX0HTMQQ0BY0J","17","M","18015041M101","2067399031")</f>
        <v>230</v>
      </c>
      <c r="H2497" s="48">
        <f>[1]!BexGetData("DP_2","DL719O2RYNGN1RZRS91K7M4TV","17","M","18015041M101","2067399031")</f>
        <v>230</v>
      </c>
      <c r="I2497" s="48">
        <f>[1]!BexGetData("DP_2","DL719O2RYNIY3MZ1QVCEEWBN7","17","M","18015041M101","2067399031")</f>
        <v>0</v>
      </c>
    </row>
    <row r="2498" spans="1:9" x14ac:dyDescent="0.2">
      <c r="A2498" s="46" t="s">
        <v>32</v>
      </c>
      <c r="B2498" s="46" t="s">
        <v>32</v>
      </c>
      <c r="C2498" s="46" t="s">
        <v>32</v>
      </c>
      <c r="D2498" s="46" t="s">
        <v>32</v>
      </c>
      <c r="E2498" s="46" t="s">
        <v>32</v>
      </c>
      <c r="F2498" s="47">
        <f>[1]!BexGetData("DP_2","DL719O2RYNC0Y217V0FVT1R77","17","M","18015041M101","2067515012")</f>
        <v>9617.56</v>
      </c>
      <c r="G2498" s="48">
        <f>[1]!BexGetData("DP_2","DL719O2RYNEBZX0HTMQQ0BY0J","17","M","18015041M101","2067515012")</f>
        <v>9617.56</v>
      </c>
      <c r="H2498" s="48">
        <f>[1]!BexGetData("DP_2","DL719O2RYNGN1RZRS91K7M4TV","17","M","18015041M101","2067515012")</f>
        <v>9617.56</v>
      </c>
      <c r="I2498" s="48">
        <f>[1]!BexGetData("DP_2","DL719O2RYNIY3MZ1QVCEEWBN7","17","M","18015041M101","2067515012")</f>
        <v>0</v>
      </c>
    </row>
    <row r="2499" spans="1:9" x14ac:dyDescent="0.2">
      <c r="A2499" s="46" t="s">
        <v>32</v>
      </c>
      <c r="B2499" s="46" t="s">
        <v>32</v>
      </c>
      <c r="C2499" s="46" t="s">
        <v>32</v>
      </c>
      <c r="D2499" s="46" t="s">
        <v>32</v>
      </c>
      <c r="E2499" s="46" t="s">
        <v>32</v>
      </c>
      <c r="F2499" s="47">
        <f>[1]!BexGetData("DP_2","DL719O2RYNC0Y217V0FVT1R77","17","M","18015041M101","2067567012")</f>
        <v>2842</v>
      </c>
      <c r="G2499" s="48">
        <f>[1]!BexGetData("DP_2","DL719O2RYNEBZX0HTMQQ0BY0J","17","M","18015041M101","2067567012")</f>
        <v>2842</v>
      </c>
      <c r="H2499" s="48">
        <f>[1]!BexGetData("DP_2","DL719O2RYNGN1RZRS91K7M4TV","17","M","18015041M101","2067567012")</f>
        <v>0</v>
      </c>
      <c r="I2499" s="48">
        <f>[1]!BexGetData("DP_2","DL719O2RYNIY3MZ1QVCEEWBN7","17","M","18015041M101","2067567012")</f>
        <v>0</v>
      </c>
    </row>
    <row r="2500" spans="1:9" x14ac:dyDescent="0.2">
      <c r="A2500" s="46" t="s">
        <v>32</v>
      </c>
      <c r="B2500" s="46" t="s">
        <v>140</v>
      </c>
      <c r="C2500" s="46" t="s">
        <v>141</v>
      </c>
      <c r="D2500" s="46" t="s">
        <v>141</v>
      </c>
      <c r="E2500" s="46" t="s">
        <v>32</v>
      </c>
      <c r="F2500" s="47">
        <f>[1]!BexGetData("DP_2","DL719O2RYNC0Y217V0FVT1R77","17","O","11025021O103","2067113011")</f>
        <v>2446.96</v>
      </c>
      <c r="G2500" s="48">
        <f>[1]!BexGetData("DP_2","DL719O2RYNEBZX0HTMQQ0BY0J","17","O","11025021O103","2067113011")</f>
        <v>2446.96</v>
      </c>
      <c r="H2500" s="48">
        <f>[1]!BexGetData("DP_2","DL719O2RYNGN1RZRS91K7M4TV","17","O","11025021O103","2067113011")</f>
        <v>2446.96</v>
      </c>
      <c r="I2500" s="48">
        <f>[1]!BexGetData("DP_2","DL719O2RYNIY3MZ1QVCEEWBN7","17","O","11025021O103","2067113011")</f>
        <v>0</v>
      </c>
    </row>
    <row r="2501" spans="1:9" x14ac:dyDescent="0.2">
      <c r="A2501" s="46" t="s">
        <v>32</v>
      </c>
      <c r="B2501" s="46" t="s">
        <v>32</v>
      </c>
      <c r="C2501" s="46" t="s">
        <v>32</v>
      </c>
      <c r="D2501" s="46" t="s">
        <v>32</v>
      </c>
      <c r="E2501" s="46" t="s">
        <v>32</v>
      </c>
      <c r="F2501" s="47">
        <f>[1]!BexGetData("DP_2","DL719O2RYNC0Y217V0FVT1R77","17","O","11025021O103","2067113021")</f>
        <v>1728348.82</v>
      </c>
      <c r="G2501" s="48">
        <f>[1]!BexGetData("DP_2","DL719O2RYNEBZX0HTMQQ0BY0J","17","O","11025021O103","2067113021")</f>
        <v>1728348.82</v>
      </c>
      <c r="H2501" s="48">
        <f>[1]!BexGetData("DP_2","DL719O2RYNGN1RZRS91K7M4TV","17","O","11025021O103","2067113021")</f>
        <v>1728348.82</v>
      </c>
      <c r="I2501" s="48">
        <f>[1]!BexGetData("DP_2","DL719O2RYNIY3MZ1QVCEEWBN7","17","O","11025021O103","2067113021")</f>
        <v>0</v>
      </c>
    </row>
    <row r="2502" spans="1:9" x14ac:dyDescent="0.2">
      <c r="A2502" s="46" t="s">
        <v>32</v>
      </c>
      <c r="B2502" s="46" t="s">
        <v>32</v>
      </c>
      <c r="C2502" s="46" t="s">
        <v>32</v>
      </c>
      <c r="D2502" s="46" t="s">
        <v>32</v>
      </c>
      <c r="E2502" s="46" t="s">
        <v>32</v>
      </c>
      <c r="F2502" s="47">
        <f>[1]!BexGetData("DP_2","DL719O2RYNC0Y217V0FVT1R77","17","O","11025021O103","2067122011")</f>
        <v>313660.05</v>
      </c>
      <c r="G2502" s="48">
        <f>[1]!BexGetData("DP_2","DL719O2RYNEBZX0HTMQQ0BY0J","17","O","11025021O103","2067122011")</f>
        <v>313660.05</v>
      </c>
      <c r="H2502" s="48">
        <f>[1]!BexGetData("DP_2","DL719O2RYNGN1RZRS91K7M4TV","17","O","11025021O103","2067122011")</f>
        <v>313660.05</v>
      </c>
      <c r="I2502" s="48">
        <f>[1]!BexGetData("DP_2","DL719O2RYNIY3MZ1QVCEEWBN7","17","O","11025021O103","2067122011")</f>
        <v>0</v>
      </c>
    </row>
    <row r="2503" spans="1:9" x14ac:dyDescent="0.2">
      <c r="A2503" s="46" t="s">
        <v>32</v>
      </c>
      <c r="B2503" s="46" t="s">
        <v>32</v>
      </c>
      <c r="C2503" s="46" t="s">
        <v>32</v>
      </c>
      <c r="D2503" s="46" t="s">
        <v>32</v>
      </c>
      <c r="E2503" s="46" t="s">
        <v>32</v>
      </c>
      <c r="F2503" s="47">
        <f>[1]!BexGetData("DP_2","DL719O2RYNC0Y217V0FVT1R77","17","O","11025021O103","2067131021")</f>
        <v>42096.06</v>
      </c>
      <c r="G2503" s="48">
        <f>[1]!BexGetData("DP_2","DL719O2RYNEBZX0HTMQQ0BY0J","17","O","11025021O103","2067131021")</f>
        <v>42096.06</v>
      </c>
      <c r="H2503" s="48">
        <f>[1]!BexGetData("DP_2","DL719O2RYNGN1RZRS91K7M4TV","17","O","11025021O103","2067131021")</f>
        <v>42096.06</v>
      </c>
      <c r="I2503" s="48">
        <f>[1]!BexGetData("DP_2","DL719O2RYNIY3MZ1QVCEEWBN7","17","O","11025021O103","2067131021")</f>
        <v>0</v>
      </c>
    </row>
    <row r="2504" spans="1:9" x14ac:dyDescent="0.2">
      <c r="A2504" s="46" t="s">
        <v>32</v>
      </c>
      <c r="B2504" s="46" t="s">
        <v>32</v>
      </c>
      <c r="C2504" s="46" t="s">
        <v>32</v>
      </c>
      <c r="D2504" s="46" t="s">
        <v>32</v>
      </c>
      <c r="E2504" s="46" t="s">
        <v>32</v>
      </c>
      <c r="F2504" s="47">
        <f>[1]!BexGetData("DP_2","DL719O2RYNC0Y217V0FVT1R77","17","O","11025021O103","2067132011")</f>
        <v>53151.77</v>
      </c>
      <c r="G2504" s="48">
        <f>[1]!BexGetData("DP_2","DL719O2RYNEBZX0HTMQQ0BY0J","17","O","11025021O103","2067132011")</f>
        <v>53151.77</v>
      </c>
      <c r="H2504" s="48">
        <f>[1]!BexGetData("DP_2","DL719O2RYNGN1RZRS91K7M4TV","17","O","11025021O103","2067132011")</f>
        <v>53151.77</v>
      </c>
      <c r="I2504" s="48">
        <f>[1]!BexGetData("DP_2","DL719O2RYNIY3MZ1QVCEEWBN7","17","O","11025021O103","2067132011")</f>
        <v>0</v>
      </c>
    </row>
    <row r="2505" spans="1:9" x14ac:dyDescent="0.2">
      <c r="A2505" s="46" t="s">
        <v>32</v>
      </c>
      <c r="B2505" s="46" t="s">
        <v>32</v>
      </c>
      <c r="C2505" s="46" t="s">
        <v>32</v>
      </c>
      <c r="D2505" s="46" t="s">
        <v>32</v>
      </c>
      <c r="E2505" s="46" t="s">
        <v>32</v>
      </c>
      <c r="F2505" s="47">
        <f>[1]!BexGetData("DP_2","DL719O2RYNC0Y217V0FVT1R77","17","O","11025021O103","2067132021")</f>
        <v>367964.93</v>
      </c>
      <c r="G2505" s="48">
        <f>[1]!BexGetData("DP_2","DL719O2RYNEBZX0HTMQQ0BY0J","17","O","11025021O103","2067132021")</f>
        <v>367964.93</v>
      </c>
      <c r="H2505" s="48">
        <f>[1]!BexGetData("DP_2","DL719O2RYNGN1RZRS91K7M4TV","17","O","11025021O103","2067132021")</f>
        <v>367964.93</v>
      </c>
      <c r="I2505" s="48">
        <f>[1]!BexGetData("DP_2","DL719O2RYNIY3MZ1QVCEEWBN7","17","O","11025021O103","2067132021")</f>
        <v>0</v>
      </c>
    </row>
    <row r="2506" spans="1:9" x14ac:dyDescent="0.2">
      <c r="A2506" s="46" t="s">
        <v>32</v>
      </c>
      <c r="B2506" s="46" t="s">
        <v>32</v>
      </c>
      <c r="C2506" s="46" t="s">
        <v>32</v>
      </c>
      <c r="D2506" s="46" t="s">
        <v>32</v>
      </c>
      <c r="E2506" s="46" t="s">
        <v>32</v>
      </c>
      <c r="F2506" s="47">
        <f>[1]!BexGetData("DP_2","DL719O2RYNC0Y217V0FVT1R77","17","O","11025021O103","2067134011")</f>
        <v>1653065.76</v>
      </c>
      <c r="G2506" s="48">
        <f>[1]!BexGetData("DP_2","DL719O2RYNEBZX0HTMQQ0BY0J","17","O","11025021O103","2067134011")</f>
        <v>1653065.76</v>
      </c>
      <c r="H2506" s="48">
        <f>[1]!BexGetData("DP_2","DL719O2RYNGN1RZRS91K7M4TV","17","O","11025021O103","2067134011")</f>
        <v>1678683.16</v>
      </c>
      <c r="I2506" s="48">
        <f>[1]!BexGetData("DP_2","DL719O2RYNIY3MZ1QVCEEWBN7","17","O","11025021O103","2067134011")</f>
        <v>0</v>
      </c>
    </row>
    <row r="2507" spans="1:9" x14ac:dyDescent="0.2">
      <c r="A2507" s="46" t="s">
        <v>32</v>
      </c>
      <c r="B2507" s="46" t="s">
        <v>32</v>
      </c>
      <c r="C2507" s="46" t="s">
        <v>32</v>
      </c>
      <c r="D2507" s="46" t="s">
        <v>32</v>
      </c>
      <c r="E2507" s="46" t="s">
        <v>32</v>
      </c>
      <c r="F2507" s="47">
        <f>[1]!BexGetData("DP_2","DL719O2RYNC0Y217V0FVT1R77","17","O","11025021O103","2067134021")</f>
        <v>1793764.03</v>
      </c>
      <c r="G2507" s="48">
        <f>[1]!BexGetData("DP_2","DL719O2RYNEBZX0HTMQQ0BY0J","17","O","11025021O103","2067134021")</f>
        <v>1793764.03</v>
      </c>
      <c r="H2507" s="48">
        <f>[1]!BexGetData("DP_2","DL719O2RYNGN1RZRS91K7M4TV","17","O","11025021O103","2067134021")</f>
        <v>1793764.03</v>
      </c>
      <c r="I2507" s="48">
        <f>[1]!BexGetData("DP_2","DL719O2RYNIY3MZ1QVCEEWBN7","17","O","11025021O103","2067134021")</f>
        <v>0</v>
      </c>
    </row>
    <row r="2508" spans="1:9" x14ac:dyDescent="0.2">
      <c r="A2508" s="46" t="s">
        <v>32</v>
      </c>
      <c r="B2508" s="46" t="s">
        <v>32</v>
      </c>
      <c r="C2508" s="46" t="s">
        <v>32</v>
      </c>
      <c r="D2508" s="46" t="s">
        <v>32</v>
      </c>
      <c r="E2508" s="46" t="s">
        <v>32</v>
      </c>
      <c r="F2508" s="47">
        <f>[1]!BexGetData("DP_2","DL719O2RYNC0Y217V0FVT1R77","17","O","11025021O103","2067141011")</f>
        <v>351416.65</v>
      </c>
      <c r="G2508" s="48">
        <f>[1]!BexGetData("DP_2","DL719O2RYNEBZX0HTMQQ0BY0J","17","O","11025021O103","2067141011")</f>
        <v>351416.65</v>
      </c>
      <c r="H2508" s="48">
        <f>[1]!BexGetData("DP_2","DL719O2RYNGN1RZRS91K7M4TV","17","O","11025021O103","2067141011")</f>
        <v>351416.65</v>
      </c>
      <c r="I2508" s="48">
        <f>[1]!BexGetData("DP_2","DL719O2RYNIY3MZ1QVCEEWBN7","17","O","11025021O103","2067141011")</f>
        <v>0</v>
      </c>
    </row>
    <row r="2509" spans="1:9" x14ac:dyDescent="0.2">
      <c r="A2509" s="46" t="s">
        <v>32</v>
      </c>
      <c r="B2509" s="46" t="s">
        <v>32</v>
      </c>
      <c r="C2509" s="46" t="s">
        <v>32</v>
      </c>
      <c r="D2509" s="46" t="s">
        <v>32</v>
      </c>
      <c r="E2509" s="46" t="s">
        <v>32</v>
      </c>
      <c r="F2509" s="47">
        <f>[1]!BexGetData("DP_2","DL719O2RYNC0Y217V0FVT1R77","17","O","11025021O103","2067141021")</f>
        <v>114987.9</v>
      </c>
      <c r="G2509" s="48">
        <f>[1]!BexGetData("DP_2","DL719O2RYNEBZX0HTMQQ0BY0J","17","O","11025021O103","2067141021")</f>
        <v>114987.9</v>
      </c>
      <c r="H2509" s="48">
        <f>[1]!BexGetData("DP_2","DL719O2RYNGN1RZRS91K7M4TV","17","O","11025021O103","2067141021")</f>
        <v>114987.9</v>
      </c>
      <c r="I2509" s="48">
        <f>[1]!BexGetData("DP_2","DL719O2RYNIY3MZ1QVCEEWBN7","17","O","11025021O103","2067141021")</f>
        <v>0</v>
      </c>
    </row>
    <row r="2510" spans="1:9" x14ac:dyDescent="0.2">
      <c r="A2510" s="46" t="s">
        <v>32</v>
      </c>
      <c r="B2510" s="46" t="s">
        <v>32</v>
      </c>
      <c r="C2510" s="46" t="s">
        <v>32</v>
      </c>
      <c r="D2510" s="46" t="s">
        <v>32</v>
      </c>
      <c r="E2510" s="46" t="s">
        <v>32</v>
      </c>
      <c r="F2510" s="47">
        <f>[1]!BexGetData("DP_2","DL719O2RYNC0Y217V0FVT1R77","17","O","11025021O103","2067143011")</f>
        <v>54518.03</v>
      </c>
      <c r="G2510" s="48">
        <f>[1]!BexGetData("DP_2","DL719O2RYNEBZX0HTMQQ0BY0J","17","O","11025021O103","2067143011")</f>
        <v>54518.03</v>
      </c>
      <c r="H2510" s="48">
        <f>[1]!BexGetData("DP_2","DL719O2RYNGN1RZRS91K7M4TV","17","O","11025021O103","2067143011")</f>
        <v>54518.03</v>
      </c>
      <c r="I2510" s="48">
        <f>[1]!BexGetData("DP_2","DL719O2RYNIY3MZ1QVCEEWBN7","17","O","11025021O103","2067143011")</f>
        <v>0</v>
      </c>
    </row>
    <row r="2511" spans="1:9" x14ac:dyDescent="0.2">
      <c r="A2511" s="46" t="s">
        <v>32</v>
      </c>
      <c r="B2511" s="46" t="s">
        <v>32</v>
      </c>
      <c r="C2511" s="46" t="s">
        <v>32</v>
      </c>
      <c r="D2511" s="46" t="s">
        <v>32</v>
      </c>
      <c r="E2511" s="46" t="s">
        <v>32</v>
      </c>
      <c r="F2511" s="47">
        <f>[1]!BexGetData("DP_2","DL719O2RYNC0Y217V0FVT1R77","17","O","11025021O103","2067151011")</f>
        <v>207675.12</v>
      </c>
      <c r="G2511" s="48">
        <f>[1]!BexGetData("DP_2","DL719O2RYNEBZX0HTMQQ0BY0J","17","O","11025021O103","2067151011")</f>
        <v>207675.12</v>
      </c>
      <c r="H2511" s="48">
        <f>[1]!BexGetData("DP_2","DL719O2RYNGN1RZRS91K7M4TV","17","O","11025021O103","2067151011")</f>
        <v>207675.12</v>
      </c>
      <c r="I2511" s="48">
        <f>[1]!BexGetData("DP_2","DL719O2RYNIY3MZ1QVCEEWBN7","17","O","11025021O103","2067151011")</f>
        <v>0</v>
      </c>
    </row>
    <row r="2512" spans="1:9" x14ac:dyDescent="0.2">
      <c r="A2512" s="46" t="s">
        <v>32</v>
      </c>
      <c r="B2512" s="46" t="s">
        <v>32</v>
      </c>
      <c r="C2512" s="46" t="s">
        <v>32</v>
      </c>
      <c r="D2512" s="46" t="s">
        <v>32</v>
      </c>
      <c r="E2512" s="46" t="s">
        <v>32</v>
      </c>
      <c r="F2512" s="47">
        <f>[1]!BexGetData("DP_2","DL719O2RYNC0Y217V0FVT1R77","17","O","11025021O103","2067154011")</f>
        <v>469092.88</v>
      </c>
      <c r="G2512" s="48">
        <f>[1]!BexGetData("DP_2","DL719O2RYNEBZX0HTMQQ0BY0J","17","O","11025021O103","2067154011")</f>
        <v>469092.88</v>
      </c>
      <c r="H2512" s="48">
        <f>[1]!BexGetData("DP_2","DL719O2RYNGN1RZRS91K7M4TV","17","O","11025021O103","2067154011")</f>
        <v>469092.88</v>
      </c>
      <c r="I2512" s="48">
        <f>[1]!BexGetData("DP_2","DL719O2RYNIY3MZ1QVCEEWBN7","17","O","11025021O103","2067154011")</f>
        <v>0</v>
      </c>
    </row>
    <row r="2513" spans="1:9" x14ac:dyDescent="0.2">
      <c r="A2513" s="46" t="s">
        <v>32</v>
      </c>
      <c r="B2513" s="46" t="s">
        <v>32</v>
      </c>
      <c r="C2513" s="46" t="s">
        <v>32</v>
      </c>
      <c r="D2513" s="46" t="s">
        <v>32</v>
      </c>
      <c r="E2513" s="46" t="s">
        <v>32</v>
      </c>
      <c r="F2513" s="47">
        <f>[1]!BexGetData("DP_2","DL719O2RYNC0Y217V0FVT1R77","17","O","11025021O103","2067211011")</f>
        <v>13865.85</v>
      </c>
      <c r="G2513" s="48">
        <f>[1]!BexGetData("DP_2","DL719O2RYNEBZX0HTMQQ0BY0J","17","O","11025021O103","2067211011")</f>
        <v>13865.85</v>
      </c>
      <c r="H2513" s="48">
        <f>[1]!BexGetData("DP_2","DL719O2RYNGN1RZRS91K7M4TV","17","O","11025021O103","2067211011")</f>
        <v>11603.79</v>
      </c>
      <c r="I2513" s="48">
        <f>[1]!BexGetData("DP_2","DL719O2RYNIY3MZ1QVCEEWBN7","17","O","11025021O103","2067211011")</f>
        <v>0</v>
      </c>
    </row>
    <row r="2514" spans="1:9" x14ac:dyDescent="0.2">
      <c r="A2514" s="46" t="s">
        <v>32</v>
      </c>
      <c r="B2514" s="46" t="s">
        <v>32</v>
      </c>
      <c r="C2514" s="46" t="s">
        <v>32</v>
      </c>
      <c r="D2514" s="46" t="s">
        <v>32</v>
      </c>
      <c r="E2514" s="46" t="s">
        <v>32</v>
      </c>
      <c r="F2514" s="47">
        <f>[1]!BexGetData("DP_2","DL719O2RYNC0Y217V0FVT1R77","17","O","11025021O103","2067211021")</f>
        <v>0</v>
      </c>
      <c r="G2514" s="48">
        <f>[1]!BexGetData("DP_2","DL719O2RYNEBZX0HTMQQ0BY0J","17","O","11025021O103","2067211021")</f>
        <v>0</v>
      </c>
      <c r="H2514" s="48">
        <f>[1]!BexGetData("DP_2","DL719O2RYNGN1RZRS91K7M4TV","17","O","11025021O103","2067211021")</f>
        <v>0</v>
      </c>
      <c r="I2514" s="48">
        <f>[1]!BexGetData("DP_2","DL719O2RYNIY3MZ1QVCEEWBN7","17","O","11025021O103","2067211021")</f>
        <v>0</v>
      </c>
    </row>
    <row r="2515" spans="1:9" x14ac:dyDescent="0.2">
      <c r="A2515" s="46" t="s">
        <v>32</v>
      </c>
      <c r="B2515" s="46" t="s">
        <v>32</v>
      </c>
      <c r="C2515" s="46" t="s">
        <v>32</v>
      </c>
      <c r="D2515" s="46" t="s">
        <v>32</v>
      </c>
      <c r="E2515" s="46" t="s">
        <v>32</v>
      </c>
      <c r="F2515" s="47">
        <f>[1]!BexGetData("DP_2","DL719O2RYNC0Y217V0FVT1R77","17","O","11025021O103","2067214011")</f>
        <v>8923.52</v>
      </c>
      <c r="G2515" s="48">
        <f>[1]!BexGetData("DP_2","DL719O2RYNEBZX0HTMQQ0BY0J","17","O","11025021O103","2067214011")</f>
        <v>8923.52</v>
      </c>
      <c r="H2515" s="48">
        <f>[1]!BexGetData("DP_2","DL719O2RYNGN1RZRS91K7M4TV","17","O","11025021O103","2067214011")</f>
        <v>4810.16</v>
      </c>
      <c r="I2515" s="48">
        <f>[1]!BexGetData("DP_2","DL719O2RYNIY3MZ1QVCEEWBN7","17","O","11025021O103","2067214011")</f>
        <v>0</v>
      </c>
    </row>
    <row r="2516" spans="1:9" x14ac:dyDescent="0.2">
      <c r="A2516" s="46" t="s">
        <v>32</v>
      </c>
      <c r="B2516" s="46" t="s">
        <v>32</v>
      </c>
      <c r="C2516" s="46" t="s">
        <v>32</v>
      </c>
      <c r="D2516" s="46" t="s">
        <v>32</v>
      </c>
      <c r="E2516" s="46" t="s">
        <v>32</v>
      </c>
      <c r="F2516" s="47">
        <f>[1]!BexGetData("DP_2","DL719O2RYNC0Y217V0FVT1R77","17","O","11025021O103","2067214021")</f>
        <v>0</v>
      </c>
      <c r="G2516" s="48">
        <f>[1]!BexGetData("DP_2","DL719O2RYNEBZX0HTMQQ0BY0J","17","O","11025021O103","2067214021")</f>
        <v>0</v>
      </c>
      <c r="H2516" s="48">
        <f>[1]!BexGetData("DP_2","DL719O2RYNGN1RZRS91K7M4TV","17","O","11025021O103","2067214021")</f>
        <v>0</v>
      </c>
      <c r="I2516" s="48">
        <f>[1]!BexGetData("DP_2","DL719O2RYNIY3MZ1QVCEEWBN7","17","O","11025021O103","2067214021")</f>
        <v>0</v>
      </c>
    </row>
    <row r="2517" spans="1:9" x14ac:dyDescent="0.2">
      <c r="A2517" s="46" t="s">
        <v>32</v>
      </c>
      <c r="B2517" s="46" t="s">
        <v>32</v>
      </c>
      <c r="C2517" s="46" t="s">
        <v>32</v>
      </c>
      <c r="D2517" s="46" t="s">
        <v>32</v>
      </c>
      <c r="E2517" s="46" t="s">
        <v>32</v>
      </c>
      <c r="F2517" s="47">
        <f>[1]!BexGetData("DP_2","DL719O2RYNC0Y217V0FVT1R77","17","O","11025021O103","2067215011")</f>
        <v>1242</v>
      </c>
      <c r="G2517" s="48">
        <f>[1]!BexGetData("DP_2","DL719O2RYNEBZX0HTMQQ0BY0J","17","O","11025021O103","2067215011")</f>
        <v>1242</v>
      </c>
      <c r="H2517" s="48">
        <f>[1]!BexGetData("DP_2","DL719O2RYNGN1RZRS91K7M4TV","17","O","11025021O103","2067215011")</f>
        <v>1242</v>
      </c>
      <c r="I2517" s="48">
        <f>[1]!BexGetData("DP_2","DL719O2RYNIY3MZ1QVCEEWBN7","17","O","11025021O103","2067215011")</f>
        <v>0</v>
      </c>
    </row>
    <row r="2518" spans="1:9" x14ac:dyDescent="0.2">
      <c r="A2518" s="46" t="s">
        <v>32</v>
      </c>
      <c r="B2518" s="46" t="s">
        <v>32</v>
      </c>
      <c r="C2518" s="46" t="s">
        <v>32</v>
      </c>
      <c r="D2518" s="46" t="s">
        <v>32</v>
      </c>
      <c r="E2518" s="46" t="s">
        <v>32</v>
      </c>
      <c r="F2518" s="47">
        <f>[1]!BexGetData("DP_2","DL719O2RYNC0Y217V0FVT1R77","17","O","11025021O103","2067215021")</f>
        <v>1644.2</v>
      </c>
      <c r="G2518" s="48">
        <f>[1]!BexGetData("DP_2","DL719O2RYNEBZX0HTMQQ0BY0J","17","O","11025021O103","2067215021")</f>
        <v>1644.2</v>
      </c>
      <c r="H2518" s="48">
        <f>[1]!BexGetData("DP_2","DL719O2RYNGN1RZRS91K7M4TV","17","O","11025021O103","2067215021")</f>
        <v>1644.2</v>
      </c>
      <c r="I2518" s="48">
        <f>[1]!BexGetData("DP_2","DL719O2RYNIY3MZ1QVCEEWBN7","17","O","11025021O103","2067215021")</f>
        <v>0</v>
      </c>
    </row>
    <row r="2519" spans="1:9" x14ac:dyDescent="0.2">
      <c r="A2519" s="46" t="s">
        <v>32</v>
      </c>
      <c r="B2519" s="46" t="s">
        <v>32</v>
      </c>
      <c r="C2519" s="46" t="s">
        <v>32</v>
      </c>
      <c r="D2519" s="46" t="s">
        <v>32</v>
      </c>
      <c r="E2519" s="46" t="s">
        <v>32</v>
      </c>
      <c r="F2519" s="47">
        <f>[1]!BexGetData("DP_2","DL719O2RYNC0Y217V0FVT1R77","17","O","11025021O103","2067216011")</f>
        <v>2741.1</v>
      </c>
      <c r="G2519" s="48">
        <f>[1]!BexGetData("DP_2","DL719O2RYNEBZX0HTMQQ0BY0J","17","O","11025021O103","2067216011")</f>
        <v>2741.1</v>
      </c>
      <c r="H2519" s="48">
        <f>[1]!BexGetData("DP_2","DL719O2RYNGN1RZRS91K7M4TV","17","O","11025021O103","2067216011")</f>
        <v>2741.07</v>
      </c>
      <c r="I2519" s="48">
        <f>[1]!BexGetData("DP_2","DL719O2RYNIY3MZ1QVCEEWBN7","17","O","11025021O103","2067216011")</f>
        <v>0</v>
      </c>
    </row>
    <row r="2520" spans="1:9" x14ac:dyDescent="0.2">
      <c r="A2520" s="46" t="s">
        <v>32</v>
      </c>
      <c r="B2520" s="46" t="s">
        <v>32</v>
      </c>
      <c r="C2520" s="46" t="s">
        <v>32</v>
      </c>
      <c r="D2520" s="46" t="s">
        <v>32</v>
      </c>
      <c r="E2520" s="46" t="s">
        <v>32</v>
      </c>
      <c r="F2520" s="47">
        <f>[1]!BexGetData("DP_2","DL719O2RYNC0Y217V0FVT1R77","17","O","11025021O103","2067217011")</f>
        <v>40</v>
      </c>
      <c r="G2520" s="48">
        <f>[1]!BexGetData("DP_2","DL719O2RYNEBZX0HTMQQ0BY0J","17","O","11025021O103","2067217011")</f>
        <v>40</v>
      </c>
      <c r="H2520" s="48">
        <f>[1]!BexGetData("DP_2","DL719O2RYNGN1RZRS91K7M4TV","17","O","11025021O103","2067217011")</f>
        <v>40</v>
      </c>
      <c r="I2520" s="48">
        <f>[1]!BexGetData("DP_2","DL719O2RYNIY3MZ1QVCEEWBN7","17","O","11025021O103","2067217011")</f>
        <v>0</v>
      </c>
    </row>
    <row r="2521" spans="1:9" x14ac:dyDescent="0.2">
      <c r="A2521" s="46" t="s">
        <v>32</v>
      </c>
      <c r="B2521" s="46" t="s">
        <v>32</v>
      </c>
      <c r="C2521" s="46" t="s">
        <v>32</v>
      </c>
      <c r="D2521" s="46" t="s">
        <v>32</v>
      </c>
      <c r="E2521" s="46" t="s">
        <v>32</v>
      </c>
      <c r="F2521" s="47">
        <f>[1]!BexGetData("DP_2","DL719O2RYNC0Y217V0FVT1R77","17","O","11025021O103","2067221011")</f>
        <v>0</v>
      </c>
      <c r="G2521" s="48">
        <f>[1]!BexGetData("DP_2","DL719O2RYNEBZX0HTMQQ0BY0J","17","O","11025021O103","2067221011")</f>
        <v>0</v>
      </c>
      <c r="H2521" s="48">
        <f>[1]!BexGetData("DP_2","DL719O2RYNGN1RZRS91K7M4TV","17","O","11025021O103","2067221011")</f>
        <v>0</v>
      </c>
      <c r="I2521" s="48">
        <f>[1]!BexGetData("DP_2","DL719O2RYNIY3MZ1QVCEEWBN7","17","O","11025021O103","2067221011")</f>
        <v>0</v>
      </c>
    </row>
    <row r="2522" spans="1:9" x14ac:dyDescent="0.2">
      <c r="A2522" s="46" t="s">
        <v>32</v>
      </c>
      <c r="B2522" s="46" t="s">
        <v>32</v>
      </c>
      <c r="C2522" s="46" t="s">
        <v>32</v>
      </c>
      <c r="D2522" s="46" t="s">
        <v>32</v>
      </c>
      <c r="E2522" s="46" t="s">
        <v>32</v>
      </c>
      <c r="F2522" s="47">
        <f>[1]!BexGetData("DP_2","DL719O2RYNC0Y217V0FVT1R77","17","O","11025021O103","2067221021")</f>
        <v>969</v>
      </c>
      <c r="G2522" s="48">
        <f>[1]!BexGetData("DP_2","DL719O2RYNEBZX0HTMQQ0BY0J","17","O","11025021O103","2067221021")</f>
        <v>969</v>
      </c>
      <c r="H2522" s="48">
        <f>[1]!BexGetData("DP_2","DL719O2RYNGN1RZRS91K7M4TV","17","O","11025021O103","2067221021")</f>
        <v>968.99</v>
      </c>
      <c r="I2522" s="48">
        <f>[1]!BexGetData("DP_2","DL719O2RYNIY3MZ1QVCEEWBN7","17","O","11025021O103","2067221021")</f>
        <v>0</v>
      </c>
    </row>
    <row r="2523" spans="1:9" x14ac:dyDescent="0.2">
      <c r="A2523" s="46" t="s">
        <v>32</v>
      </c>
      <c r="B2523" s="46" t="s">
        <v>32</v>
      </c>
      <c r="C2523" s="46" t="s">
        <v>32</v>
      </c>
      <c r="D2523" s="46" t="s">
        <v>32</v>
      </c>
      <c r="E2523" s="46" t="s">
        <v>32</v>
      </c>
      <c r="F2523" s="47">
        <f>[1]!BexGetData("DP_2","DL719O2RYNC0Y217V0FVT1R77","17","O","11025021O103","2067246011")</f>
        <v>350.98</v>
      </c>
      <c r="G2523" s="48">
        <f>[1]!BexGetData("DP_2","DL719O2RYNEBZX0HTMQQ0BY0J","17","O","11025021O103","2067246011")</f>
        <v>350.98</v>
      </c>
      <c r="H2523" s="48">
        <f>[1]!BexGetData("DP_2","DL719O2RYNGN1RZRS91K7M4TV","17","O","11025021O103","2067246011")</f>
        <v>350.98</v>
      </c>
      <c r="I2523" s="48">
        <f>[1]!BexGetData("DP_2","DL719O2RYNIY3MZ1QVCEEWBN7","17","O","11025021O103","2067246011")</f>
        <v>0</v>
      </c>
    </row>
    <row r="2524" spans="1:9" x14ac:dyDescent="0.2">
      <c r="A2524" s="46" t="s">
        <v>32</v>
      </c>
      <c r="B2524" s="46" t="s">
        <v>32</v>
      </c>
      <c r="C2524" s="46" t="s">
        <v>32</v>
      </c>
      <c r="D2524" s="46" t="s">
        <v>32</v>
      </c>
      <c r="E2524" s="46" t="s">
        <v>32</v>
      </c>
      <c r="F2524" s="47">
        <f>[1]!BexGetData("DP_2","DL719O2RYNC0Y217V0FVT1R77","17","O","11025021O103","2067248011")</f>
        <v>14384</v>
      </c>
      <c r="G2524" s="48">
        <f>[1]!BexGetData("DP_2","DL719O2RYNEBZX0HTMQQ0BY0J","17","O","11025021O103","2067248011")</f>
        <v>14384</v>
      </c>
      <c r="H2524" s="48">
        <f>[1]!BexGetData("DP_2","DL719O2RYNGN1RZRS91K7M4TV","17","O","11025021O103","2067248011")</f>
        <v>14384</v>
      </c>
      <c r="I2524" s="48">
        <f>[1]!BexGetData("DP_2","DL719O2RYNIY3MZ1QVCEEWBN7","17","O","11025021O103","2067248011")</f>
        <v>0</v>
      </c>
    </row>
    <row r="2525" spans="1:9" x14ac:dyDescent="0.2">
      <c r="A2525" s="46" t="s">
        <v>32</v>
      </c>
      <c r="B2525" s="46" t="s">
        <v>32</v>
      </c>
      <c r="C2525" s="46" t="s">
        <v>32</v>
      </c>
      <c r="D2525" s="46" t="s">
        <v>32</v>
      </c>
      <c r="E2525" s="46" t="s">
        <v>32</v>
      </c>
      <c r="F2525" s="47">
        <f>[1]!BexGetData("DP_2","DL719O2RYNC0Y217V0FVT1R77","17","O","11025021O103","2067256011")</f>
        <v>1223.94</v>
      </c>
      <c r="G2525" s="48">
        <f>[1]!BexGetData("DP_2","DL719O2RYNEBZX0HTMQQ0BY0J","17","O","11025021O103","2067256011")</f>
        <v>1223.94</v>
      </c>
      <c r="H2525" s="48">
        <f>[1]!BexGetData("DP_2","DL719O2RYNGN1RZRS91K7M4TV","17","O","11025021O103","2067256011")</f>
        <v>1223.8699999999999</v>
      </c>
      <c r="I2525" s="48">
        <f>[1]!BexGetData("DP_2","DL719O2RYNIY3MZ1QVCEEWBN7","17","O","11025021O103","2067256011")</f>
        <v>0</v>
      </c>
    </row>
    <row r="2526" spans="1:9" x14ac:dyDescent="0.2">
      <c r="A2526" s="46" t="s">
        <v>32</v>
      </c>
      <c r="B2526" s="46" t="s">
        <v>32</v>
      </c>
      <c r="C2526" s="46" t="s">
        <v>32</v>
      </c>
      <c r="D2526" s="46" t="s">
        <v>32</v>
      </c>
      <c r="E2526" s="46" t="s">
        <v>32</v>
      </c>
      <c r="F2526" s="47">
        <f>[1]!BexGetData("DP_2","DL719O2RYNC0Y217V0FVT1R77","17","O","11025021O103","2067261011")</f>
        <v>27336.29</v>
      </c>
      <c r="G2526" s="48">
        <f>[1]!BexGetData("DP_2","DL719O2RYNEBZX0HTMQQ0BY0J","17","O","11025021O103","2067261011")</f>
        <v>27336.29</v>
      </c>
      <c r="H2526" s="48">
        <f>[1]!BexGetData("DP_2","DL719O2RYNGN1RZRS91K7M4TV","17","O","11025021O103","2067261011")</f>
        <v>22936.29</v>
      </c>
      <c r="I2526" s="48">
        <f>[1]!BexGetData("DP_2","DL719O2RYNIY3MZ1QVCEEWBN7","17","O","11025021O103","2067261011")</f>
        <v>0</v>
      </c>
    </row>
    <row r="2527" spans="1:9" x14ac:dyDescent="0.2">
      <c r="A2527" s="46" t="s">
        <v>32</v>
      </c>
      <c r="B2527" s="46" t="s">
        <v>32</v>
      </c>
      <c r="C2527" s="46" t="s">
        <v>32</v>
      </c>
      <c r="D2527" s="46" t="s">
        <v>32</v>
      </c>
      <c r="E2527" s="46" t="s">
        <v>32</v>
      </c>
      <c r="F2527" s="47">
        <f>[1]!BexGetData("DP_2","DL719O2RYNC0Y217V0FVT1R77","17","O","11025021O103","2067261021")</f>
        <v>1078.8</v>
      </c>
      <c r="G2527" s="48">
        <f>[1]!BexGetData("DP_2","DL719O2RYNEBZX0HTMQQ0BY0J","17","O","11025021O103","2067261021")</f>
        <v>1078.8</v>
      </c>
      <c r="H2527" s="48">
        <f>[1]!BexGetData("DP_2","DL719O2RYNGN1RZRS91K7M4TV","17","O","11025021O103","2067261021")</f>
        <v>1078.8</v>
      </c>
      <c r="I2527" s="48">
        <f>[1]!BexGetData("DP_2","DL719O2RYNIY3MZ1QVCEEWBN7","17","O","11025021O103","2067261021")</f>
        <v>0</v>
      </c>
    </row>
    <row r="2528" spans="1:9" x14ac:dyDescent="0.2">
      <c r="A2528" s="46" t="s">
        <v>32</v>
      </c>
      <c r="B2528" s="46" t="s">
        <v>32</v>
      </c>
      <c r="C2528" s="46" t="s">
        <v>32</v>
      </c>
      <c r="D2528" s="46" t="s">
        <v>32</v>
      </c>
      <c r="E2528" s="46" t="s">
        <v>32</v>
      </c>
      <c r="F2528" s="47">
        <f>[1]!BexGetData("DP_2","DL719O2RYNC0Y217V0FVT1R77","17","O","11025021O103","2067274011")</f>
        <v>456</v>
      </c>
      <c r="G2528" s="48">
        <f>[1]!BexGetData("DP_2","DL719O2RYNEBZX0HTMQQ0BY0J","17","O","11025021O103","2067274011")</f>
        <v>456</v>
      </c>
      <c r="H2528" s="48">
        <f>[1]!BexGetData("DP_2","DL719O2RYNGN1RZRS91K7M4TV","17","O","11025021O103","2067274011")</f>
        <v>456</v>
      </c>
      <c r="I2528" s="48">
        <f>[1]!BexGetData("DP_2","DL719O2RYNIY3MZ1QVCEEWBN7","17","O","11025021O103","2067274011")</f>
        <v>0</v>
      </c>
    </row>
    <row r="2529" spans="1:9" x14ac:dyDescent="0.2">
      <c r="A2529" s="46" t="s">
        <v>32</v>
      </c>
      <c r="B2529" s="46" t="s">
        <v>32</v>
      </c>
      <c r="C2529" s="46" t="s">
        <v>32</v>
      </c>
      <c r="D2529" s="46" t="s">
        <v>32</v>
      </c>
      <c r="E2529" s="46" t="s">
        <v>32</v>
      </c>
      <c r="F2529" s="47">
        <f>[1]!BexGetData("DP_2","DL719O2RYNC0Y217V0FVT1R77","17","O","11025021O103","2067294011")</f>
        <v>1044</v>
      </c>
      <c r="G2529" s="48">
        <f>[1]!BexGetData("DP_2","DL719O2RYNEBZX0HTMQQ0BY0J","17","O","11025021O103","2067294011")</f>
        <v>1044</v>
      </c>
      <c r="H2529" s="48">
        <f>[1]!BexGetData("DP_2","DL719O2RYNGN1RZRS91K7M4TV","17","O","11025021O103","2067294011")</f>
        <v>1044</v>
      </c>
      <c r="I2529" s="48">
        <f>[1]!BexGetData("DP_2","DL719O2RYNIY3MZ1QVCEEWBN7","17","O","11025021O103","2067294011")</f>
        <v>0</v>
      </c>
    </row>
    <row r="2530" spans="1:9" x14ac:dyDescent="0.2">
      <c r="A2530" s="46" t="s">
        <v>32</v>
      </c>
      <c r="B2530" s="46" t="s">
        <v>32</v>
      </c>
      <c r="C2530" s="46" t="s">
        <v>32</v>
      </c>
      <c r="D2530" s="46" t="s">
        <v>32</v>
      </c>
      <c r="E2530" s="46" t="s">
        <v>32</v>
      </c>
      <c r="F2530" s="47">
        <f>[1]!BexGetData("DP_2","DL719O2RYNC0Y217V0FVT1R77","17","O","11025021O103","2067296011")</f>
        <v>13181.08</v>
      </c>
      <c r="G2530" s="48">
        <f>[1]!BexGetData("DP_2","DL719O2RYNEBZX0HTMQQ0BY0J","17","O","11025021O103","2067296011")</f>
        <v>13181.08</v>
      </c>
      <c r="H2530" s="48">
        <f>[1]!BexGetData("DP_2","DL719O2RYNGN1RZRS91K7M4TV","17","O","11025021O103","2067296011")</f>
        <v>13181.08</v>
      </c>
      <c r="I2530" s="48">
        <f>[1]!BexGetData("DP_2","DL719O2RYNIY3MZ1QVCEEWBN7","17","O","11025021O103","2067296011")</f>
        <v>0</v>
      </c>
    </row>
    <row r="2531" spans="1:9" x14ac:dyDescent="0.2">
      <c r="A2531" s="46" t="s">
        <v>32</v>
      </c>
      <c r="B2531" s="46" t="s">
        <v>32</v>
      </c>
      <c r="C2531" s="46" t="s">
        <v>32</v>
      </c>
      <c r="D2531" s="46" t="s">
        <v>32</v>
      </c>
      <c r="E2531" s="46" t="s">
        <v>32</v>
      </c>
      <c r="F2531" s="47">
        <f>[1]!BexGetData("DP_2","DL719O2RYNC0Y217V0FVT1R77","17","O","11025021O103","2067311011")</f>
        <v>61724</v>
      </c>
      <c r="G2531" s="48">
        <f>[1]!BexGetData("DP_2","DL719O2RYNEBZX0HTMQQ0BY0J","17","O","11025021O103","2067311011")</f>
        <v>61724</v>
      </c>
      <c r="H2531" s="48">
        <f>[1]!BexGetData("DP_2","DL719O2RYNGN1RZRS91K7M4TV","17","O","11025021O103","2067311011")</f>
        <v>61724</v>
      </c>
      <c r="I2531" s="48">
        <f>[1]!BexGetData("DP_2","DL719O2RYNIY3MZ1QVCEEWBN7","17","O","11025021O103","2067311011")</f>
        <v>0</v>
      </c>
    </row>
    <row r="2532" spans="1:9" x14ac:dyDescent="0.2">
      <c r="A2532" s="46" t="s">
        <v>32</v>
      </c>
      <c r="B2532" s="46" t="s">
        <v>32</v>
      </c>
      <c r="C2532" s="46" t="s">
        <v>32</v>
      </c>
      <c r="D2532" s="46" t="s">
        <v>32</v>
      </c>
      <c r="E2532" s="46" t="s">
        <v>32</v>
      </c>
      <c r="F2532" s="47">
        <f>[1]!BexGetData("DP_2","DL719O2RYNC0Y217V0FVT1R77","17","O","11025021O103","2067313011")</f>
        <v>12603</v>
      </c>
      <c r="G2532" s="48">
        <f>[1]!BexGetData("DP_2","DL719O2RYNEBZX0HTMQQ0BY0J","17","O","11025021O103","2067313011")</f>
        <v>12603</v>
      </c>
      <c r="H2532" s="48">
        <f>[1]!BexGetData("DP_2","DL719O2RYNGN1RZRS91K7M4TV","17","O","11025021O103","2067313011")</f>
        <v>12603</v>
      </c>
      <c r="I2532" s="48">
        <f>[1]!BexGetData("DP_2","DL719O2RYNIY3MZ1QVCEEWBN7","17","O","11025021O103","2067313011")</f>
        <v>0</v>
      </c>
    </row>
    <row r="2533" spans="1:9" x14ac:dyDescent="0.2">
      <c r="A2533" s="46" t="s">
        <v>32</v>
      </c>
      <c r="B2533" s="46" t="s">
        <v>32</v>
      </c>
      <c r="C2533" s="46" t="s">
        <v>32</v>
      </c>
      <c r="D2533" s="46" t="s">
        <v>32</v>
      </c>
      <c r="E2533" s="46" t="s">
        <v>32</v>
      </c>
      <c r="F2533" s="47">
        <f>[1]!BexGetData("DP_2","DL719O2RYNC0Y217V0FVT1R77","17","O","11025021O103","2067314011")</f>
        <v>33205.51</v>
      </c>
      <c r="G2533" s="48">
        <f>[1]!BexGetData("DP_2","DL719O2RYNEBZX0HTMQQ0BY0J","17","O","11025021O103","2067314011")</f>
        <v>33205.51</v>
      </c>
      <c r="H2533" s="48">
        <f>[1]!BexGetData("DP_2","DL719O2RYNGN1RZRS91K7M4TV","17","O","11025021O103","2067314011")</f>
        <v>33205.51</v>
      </c>
      <c r="I2533" s="48">
        <f>[1]!BexGetData("DP_2","DL719O2RYNIY3MZ1QVCEEWBN7","17","O","11025021O103","2067314011")</f>
        <v>0</v>
      </c>
    </row>
    <row r="2534" spans="1:9" x14ac:dyDescent="0.2">
      <c r="A2534" s="46" t="s">
        <v>32</v>
      </c>
      <c r="B2534" s="46" t="s">
        <v>32</v>
      </c>
      <c r="C2534" s="46" t="s">
        <v>32</v>
      </c>
      <c r="D2534" s="46" t="s">
        <v>32</v>
      </c>
      <c r="E2534" s="46" t="s">
        <v>32</v>
      </c>
      <c r="F2534" s="47">
        <f>[1]!BexGetData("DP_2","DL719O2RYNC0Y217V0FVT1R77","17","O","11025021O103","2067315011")</f>
        <v>0</v>
      </c>
      <c r="G2534" s="48">
        <f>[1]!BexGetData("DP_2","DL719O2RYNEBZX0HTMQQ0BY0J","17","O","11025021O103","2067315011")</f>
        <v>0</v>
      </c>
      <c r="H2534" s="48">
        <f>[1]!BexGetData("DP_2","DL719O2RYNGN1RZRS91K7M4TV","17","O","11025021O103","2067315011")</f>
        <v>0</v>
      </c>
      <c r="I2534" s="48">
        <f>[1]!BexGetData("DP_2","DL719O2RYNIY3MZ1QVCEEWBN7","17","O","11025021O103","2067315011")</f>
        <v>0</v>
      </c>
    </row>
    <row r="2535" spans="1:9" x14ac:dyDescent="0.2">
      <c r="A2535" s="46" t="s">
        <v>32</v>
      </c>
      <c r="B2535" s="46" t="s">
        <v>32</v>
      </c>
      <c r="C2535" s="46" t="s">
        <v>32</v>
      </c>
      <c r="D2535" s="46" t="s">
        <v>32</v>
      </c>
      <c r="E2535" s="46" t="s">
        <v>32</v>
      </c>
      <c r="F2535" s="47">
        <f>[1]!BexGetData("DP_2","DL719O2RYNC0Y217V0FVT1R77","17","O","11025021O103","2067318011")</f>
        <v>2308.44</v>
      </c>
      <c r="G2535" s="48">
        <f>[1]!BexGetData("DP_2","DL719O2RYNEBZX0HTMQQ0BY0J","17","O","11025021O103","2067318011")</f>
        <v>2308.44</v>
      </c>
      <c r="H2535" s="48">
        <f>[1]!BexGetData("DP_2","DL719O2RYNGN1RZRS91K7M4TV","17","O","11025021O103","2067318011")</f>
        <v>2308.4299999999998</v>
      </c>
      <c r="I2535" s="48">
        <f>[1]!BexGetData("DP_2","DL719O2RYNIY3MZ1QVCEEWBN7","17","O","11025021O103","2067318011")</f>
        <v>0</v>
      </c>
    </row>
    <row r="2536" spans="1:9" x14ac:dyDescent="0.2">
      <c r="A2536" s="46" t="s">
        <v>32</v>
      </c>
      <c r="B2536" s="46" t="s">
        <v>32</v>
      </c>
      <c r="C2536" s="46" t="s">
        <v>32</v>
      </c>
      <c r="D2536" s="46" t="s">
        <v>32</v>
      </c>
      <c r="E2536" s="46" t="s">
        <v>32</v>
      </c>
      <c r="F2536" s="47">
        <f>[1]!BexGetData("DP_2","DL719O2RYNC0Y217V0FVT1R77","17","O","11025021O103","2067322011")</f>
        <v>1071053.52</v>
      </c>
      <c r="G2536" s="48">
        <f>[1]!BexGetData("DP_2","DL719O2RYNEBZX0HTMQQ0BY0J","17","O","11025021O103","2067322011")</f>
        <v>1071053.52</v>
      </c>
      <c r="H2536" s="48">
        <f>[1]!BexGetData("DP_2","DL719O2RYNGN1RZRS91K7M4TV","17","O","11025021O103","2067322011")</f>
        <v>1027235.68</v>
      </c>
      <c r="I2536" s="48">
        <f>[1]!BexGetData("DP_2","DL719O2RYNIY3MZ1QVCEEWBN7","17","O","11025021O103","2067322011")</f>
        <v>0</v>
      </c>
    </row>
    <row r="2537" spans="1:9" x14ac:dyDescent="0.2">
      <c r="A2537" s="46" t="s">
        <v>32</v>
      </c>
      <c r="B2537" s="46" t="s">
        <v>32</v>
      </c>
      <c r="C2537" s="46" t="s">
        <v>32</v>
      </c>
      <c r="D2537" s="46" t="s">
        <v>32</v>
      </c>
      <c r="E2537" s="46" t="s">
        <v>32</v>
      </c>
      <c r="F2537" s="47">
        <f>[1]!BexGetData("DP_2","DL719O2RYNC0Y217V0FVT1R77","17","O","11025021O103","2067336011")</f>
        <v>25918.39</v>
      </c>
      <c r="G2537" s="48">
        <f>[1]!BexGetData("DP_2","DL719O2RYNEBZX0HTMQQ0BY0J","17","O","11025021O103","2067336011")</f>
        <v>25918.39</v>
      </c>
      <c r="H2537" s="48">
        <f>[1]!BexGetData("DP_2","DL719O2RYNGN1RZRS91K7M4TV","17","O","11025021O103","2067336011")</f>
        <v>20863.11</v>
      </c>
      <c r="I2537" s="48">
        <f>[1]!BexGetData("DP_2","DL719O2RYNIY3MZ1QVCEEWBN7","17","O","11025021O103","2067336011")</f>
        <v>0</v>
      </c>
    </row>
    <row r="2538" spans="1:9" x14ac:dyDescent="0.2">
      <c r="A2538" s="46" t="s">
        <v>32</v>
      </c>
      <c r="B2538" s="46" t="s">
        <v>32</v>
      </c>
      <c r="C2538" s="46" t="s">
        <v>32</v>
      </c>
      <c r="D2538" s="46" t="s">
        <v>32</v>
      </c>
      <c r="E2538" s="46" t="s">
        <v>32</v>
      </c>
      <c r="F2538" s="47">
        <f>[1]!BexGetData("DP_2","DL719O2RYNC0Y217V0FVT1R77","17","O","11025021O103","2067355011")</f>
        <v>31464.25</v>
      </c>
      <c r="G2538" s="48">
        <f>[1]!BexGetData("DP_2","DL719O2RYNEBZX0HTMQQ0BY0J","17","O","11025021O103","2067355011")</f>
        <v>31463.91</v>
      </c>
      <c r="H2538" s="48">
        <f>[1]!BexGetData("DP_2","DL719O2RYNGN1RZRS91K7M4TV","17","O","11025021O103","2067355011")</f>
        <v>17519.25</v>
      </c>
      <c r="I2538" s="48">
        <f>[1]!BexGetData("DP_2","DL719O2RYNIY3MZ1QVCEEWBN7","17","O","11025021O103","2067355011")</f>
        <v>0.34</v>
      </c>
    </row>
    <row r="2539" spans="1:9" x14ac:dyDescent="0.2">
      <c r="A2539" s="46" t="s">
        <v>32</v>
      </c>
      <c r="B2539" s="46" t="s">
        <v>32</v>
      </c>
      <c r="C2539" s="46" t="s">
        <v>32</v>
      </c>
      <c r="D2539" s="46" t="s">
        <v>32</v>
      </c>
      <c r="E2539" s="46" t="s">
        <v>32</v>
      </c>
      <c r="F2539" s="47">
        <f>[1]!BexGetData("DP_2","DL719O2RYNC0Y217V0FVT1R77","17","O","11025021O103","2067361011")</f>
        <v>9396</v>
      </c>
      <c r="G2539" s="48">
        <f>[1]!BexGetData("DP_2","DL719O2RYNEBZX0HTMQQ0BY0J","17","O","11025021O103","2067361011")</f>
        <v>9396</v>
      </c>
      <c r="H2539" s="48">
        <f>[1]!BexGetData("DP_2","DL719O2RYNGN1RZRS91K7M4TV","17","O","11025021O103","2067361011")</f>
        <v>9396</v>
      </c>
      <c r="I2539" s="48">
        <f>[1]!BexGetData("DP_2","DL719O2RYNIY3MZ1QVCEEWBN7","17","O","11025021O103","2067361011")</f>
        <v>0</v>
      </c>
    </row>
    <row r="2540" spans="1:9" x14ac:dyDescent="0.2">
      <c r="A2540" s="46" t="s">
        <v>32</v>
      </c>
      <c r="B2540" s="46" t="s">
        <v>32</v>
      </c>
      <c r="C2540" s="46" t="s">
        <v>32</v>
      </c>
      <c r="D2540" s="46" t="s">
        <v>32</v>
      </c>
      <c r="E2540" s="46" t="s">
        <v>32</v>
      </c>
      <c r="F2540" s="47">
        <f>[1]!BexGetData("DP_2","DL719O2RYNC0Y217V0FVT1R77","17","O","11025021O103","2067371011")</f>
        <v>10176.08</v>
      </c>
      <c r="G2540" s="48">
        <f>[1]!BexGetData("DP_2","DL719O2RYNEBZX0HTMQQ0BY0J","17","O","11025021O103","2067371011")</f>
        <v>10176.08</v>
      </c>
      <c r="H2540" s="48">
        <f>[1]!BexGetData("DP_2","DL719O2RYNGN1RZRS91K7M4TV","17","O","11025021O103","2067371011")</f>
        <v>6038.08</v>
      </c>
      <c r="I2540" s="48">
        <f>[1]!BexGetData("DP_2","DL719O2RYNIY3MZ1QVCEEWBN7","17","O","11025021O103","2067371011")</f>
        <v>0</v>
      </c>
    </row>
    <row r="2541" spans="1:9" x14ac:dyDescent="0.2">
      <c r="A2541" s="46" t="s">
        <v>32</v>
      </c>
      <c r="B2541" s="46" t="s">
        <v>32</v>
      </c>
      <c r="C2541" s="46" t="s">
        <v>32</v>
      </c>
      <c r="D2541" s="46" t="s">
        <v>32</v>
      </c>
      <c r="E2541" s="46" t="s">
        <v>32</v>
      </c>
      <c r="F2541" s="47">
        <f>[1]!BexGetData("DP_2","DL719O2RYNC0Y217V0FVT1R77","17","O","11025021O103","2067372011")</f>
        <v>5669</v>
      </c>
      <c r="G2541" s="48">
        <f>[1]!BexGetData("DP_2","DL719O2RYNEBZX0HTMQQ0BY0J","17","O","11025021O103","2067372011")</f>
        <v>5669</v>
      </c>
      <c r="H2541" s="48">
        <f>[1]!BexGetData("DP_2","DL719O2RYNGN1RZRS91K7M4TV","17","O","11025021O103","2067372011")</f>
        <v>5668.97</v>
      </c>
      <c r="I2541" s="48">
        <f>[1]!BexGetData("DP_2","DL719O2RYNIY3MZ1QVCEEWBN7","17","O","11025021O103","2067372011")</f>
        <v>0</v>
      </c>
    </row>
    <row r="2542" spans="1:9" x14ac:dyDescent="0.2">
      <c r="A2542" s="46" t="s">
        <v>32</v>
      </c>
      <c r="B2542" s="46" t="s">
        <v>32</v>
      </c>
      <c r="C2542" s="46" t="s">
        <v>32</v>
      </c>
      <c r="D2542" s="46" t="s">
        <v>32</v>
      </c>
      <c r="E2542" s="46" t="s">
        <v>32</v>
      </c>
      <c r="F2542" s="47">
        <f>[1]!BexGetData("DP_2","DL719O2RYNC0Y217V0FVT1R77","17","O","11025021O103","2067375011")</f>
        <v>9000</v>
      </c>
      <c r="G2542" s="48">
        <f>[1]!BexGetData("DP_2","DL719O2RYNEBZX0HTMQQ0BY0J","17","O","11025021O103","2067375011")</f>
        <v>9000</v>
      </c>
      <c r="H2542" s="48">
        <f>[1]!BexGetData("DP_2","DL719O2RYNGN1RZRS91K7M4TV","17","O","11025021O103","2067375011")</f>
        <v>9000</v>
      </c>
      <c r="I2542" s="48">
        <f>[1]!BexGetData("DP_2","DL719O2RYNIY3MZ1QVCEEWBN7","17","O","11025021O103","2067375011")</f>
        <v>0</v>
      </c>
    </row>
    <row r="2543" spans="1:9" x14ac:dyDescent="0.2">
      <c r="A2543" s="46" t="s">
        <v>32</v>
      </c>
      <c r="B2543" s="46" t="s">
        <v>32</v>
      </c>
      <c r="C2543" s="46" t="s">
        <v>32</v>
      </c>
      <c r="D2543" s="46" t="s">
        <v>32</v>
      </c>
      <c r="E2543" s="46" t="s">
        <v>32</v>
      </c>
      <c r="F2543" s="47">
        <f>[1]!BexGetData("DP_2","DL719O2RYNC0Y217V0FVT1R77","17","O","11025021O103","2067392011")</f>
        <v>1607</v>
      </c>
      <c r="G2543" s="48">
        <f>[1]!BexGetData("DP_2","DL719O2RYNEBZX0HTMQQ0BY0J","17","O","11025021O103","2067392011")</f>
        <v>1607</v>
      </c>
      <c r="H2543" s="48">
        <f>[1]!BexGetData("DP_2","DL719O2RYNGN1RZRS91K7M4TV","17","O","11025021O103","2067392011")</f>
        <v>1607</v>
      </c>
      <c r="I2543" s="48">
        <f>[1]!BexGetData("DP_2","DL719O2RYNIY3MZ1QVCEEWBN7","17","O","11025021O103","2067392011")</f>
        <v>0</v>
      </c>
    </row>
    <row r="2544" spans="1:9" x14ac:dyDescent="0.2">
      <c r="A2544" s="46" t="s">
        <v>32</v>
      </c>
      <c r="B2544" s="46" t="s">
        <v>32</v>
      </c>
      <c r="C2544" s="46" t="s">
        <v>142</v>
      </c>
      <c r="D2544" s="46" t="s">
        <v>142</v>
      </c>
      <c r="E2544" s="46" t="s">
        <v>32</v>
      </c>
      <c r="F2544" s="47">
        <f>[1]!BexGetData("DP_2","DL719O2RYNC0Y217V0FVT1R77","17","O","11025022O103","2067113021")</f>
        <v>217424.16</v>
      </c>
      <c r="G2544" s="48">
        <f>[1]!BexGetData("DP_2","DL719O2RYNEBZX0HTMQQ0BY0J","17","O","11025022O103","2067113021")</f>
        <v>217424.16</v>
      </c>
      <c r="H2544" s="48">
        <f>[1]!BexGetData("DP_2","DL719O2RYNGN1RZRS91K7M4TV","17","O","11025022O103","2067113021")</f>
        <v>217424.16</v>
      </c>
      <c r="I2544" s="48">
        <f>[1]!BexGetData("DP_2","DL719O2RYNIY3MZ1QVCEEWBN7","17","O","11025022O103","2067113021")</f>
        <v>0</v>
      </c>
    </row>
    <row r="2545" spans="1:9" x14ac:dyDescent="0.2">
      <c r="A2545" s="46" t="s">
        <v>32</v>
      </c>
      <c r="B2545" s="46" t="s">
        <v>32</v>
      </c>
      <c r="C2545" s="46" t="s">
        <v>32</v>
      </c>
      <c r="D2545" s="46" t="s">
        <v>32</v>
      </c>
      <c r="E2545" s="46" t="s">
        <v>32</v>
      </c>
      <c r="F2545" s="47">
        <f>[1]!BexGetData("DP_2","DL719O2RYNC0Y217V0FVT1R77","17","O","11025022O103","2067132011")</f>
        <v>6103.2</v>
      </c>
      <c r="G2545" s="48">
        <f>[1]!BexGetData("DP_2","DL719O2RYNEBZX0HTMQQ0BY0J","17","O","11025022O103","2067132011")</f>
        <v>6103.2</v>
      </c>
      <c r="H2545" s="48">
        <f>[1]!BexGetData("DP_2","DL719O2RYNGN1RZRS91K7M4TV","17","O","11025022O103","2067132011")</f>
        <v>6103.2</v>
      </c>
      <c r="I2545" s="48">
        <f>[1]!BexGetData("DP_2","DL719O2RYNIY3MZ1QVCEEWBN7","17","O","11025022O103","2067132011")</f>
        <v>0</v>
      </c>
    </row>
    <row r="2546" spans="1:9" x14ac:dyDescent="0.2">
      <c r="A2546" s="46" t="s">
        <v>32</v>
      </c>
      <c r="B2546" s="46" t="s">
        <v>32</v>
      </c>
      <c r="C2546" s="46" t="s">
        <v>32</v>
      </c>
      <c r="D2546" s="46" t="s">
        <v>32</v>
      </c>
      <c r="E2546" s="46" t="s">
        <v>32</v>
      </c>
      <c r="F2546" s="47">
        <f>[1]!BexGetData("DP_2","DL719O2RYNC0Y217V0FVT1R77","17","O","11025022O103","2067132021")</f>
        <v>35774.68</v>
      </c>
      <c r="G2546" s="48">
        <f>[1]!BexGetData("DP_2","DL719O2RYNEBZX0HTMQQ0BY0J","17","O","11025022O103","2067132021")</f>
        <v>35774.68</v>
      </c>
      <c r="H2546" s="48">
        <f>[1]!BexGetData("DP_2","DL719O2RYNGN1RZRS91K7M4TV","17","O","11025022O103","2067132021")</f>
        <v>35774.68</v>
      </c>
      <c r="I2546" s="48">
        <f>[1]!BexGetData("DP_2","DL719O2RYNIY3MZ1QVCEEWBN7","17","O","11025022O103","2067132021")</f>
        <v>0</v>
      </c>
    </row>
    <row r="2547" spans="1:9" x14ac:dyDescent="0.2">
      <c r="A2547" s="46" t="s">
        <v>32</v>
      </c>
      <c r="B2547" s="46" t="s">
        <v>32</v>
      </c>
      <c r="C2547" s="46" t="s">
        <v>32</v>
      </c>
      <c r="D2547" s="46" t="s">
        <v>32</v>
      </c>
      <c r="E2547" s="46" t="s">
        <v>32</v>
      </c>
      <c r="F2547" s="47">
        <f>[1]!BexGetData("DP_2","DL719O2RYNC0Y217V0FVT1R77","17","O","11025022O103","2067134011")</f>
        <v>215589.25</v>
      </c>
      <c r="G2547" s="48">
        <f>[1]!BexGetData("DP_2","DL719O2RYNEBZX0HTMQQ0BY0J","17","O","11025022O103","2067134011")</f>
        <v>215589.25</v>
      </c>
      <c r="H2547" s="48">
        <f>[1]!BexGetData("DP_2","DL719O2RYNGN1RZRS91K7M4TV","17","O","11025022O103","2067134011")</f>
        <v>218873.53</v>
      </c>
      <c r="I2547" s="48">
        <f>[1]!BexGetData("DP_2","DL719O2RYNIY3MZ1QVCEEWBN7","17","O","11025022O103","2067134011")</f>
        <v>0</v>
      </c>
    </row>
    <row r="2548" spans="1:9" x14ac:dyDescent="0.2">
      <c r="A2548" s="46" t="s">
        <v>32</v>
      </c>
      <c r="B2548" s="46" t="s">
        <v>32</v>
      </c>
      <c r="C2548" s="46" t="s">
        <v>32</v>
      </c>
      <c r="D2548" s="46" t="s">
        <v>32</v>
      </c>
      <c r="E2548" s="46" t="s">
        <v>32</v>
      </c>
      <c r="F2548" s="47">
        <f>[1]!BexGetData("DP_2","DL719O2RYNC0Y217V0FVT1R77","17","O","11025022O103","2067134021")</f>
        <v>464265.36</v>
      </c>
      <c r="G2548" s="48">
        <f>[1]!BexGetData("DP_2","DL719O2RYNEBZX0HTMQQ0BY0J","17","O","11025022O103","2067134021")</f>
        <v>464265.36</v>
      </c>
      <c r="H2548" s="48">
        <f>[1]!BexGetData("DP_2","DL719O2RYNGN1RZRS91K7M4TV","17","O","11025022O103","2067134021")</f>
        <v>464265.36</v>
      </c>
      <c r="I2548" s="48">
        <f>[1]!BexGetData("DP_2","DL719O2RYNIY3MZ1QVCEEWBN7","17","O","11025022O103","2067134021")</f>
        <v>0</v>
      </c>
    </row>
    <row r="2549" spans="1:9" x14ac:dyDescent="0.2">
      <c r="A2549" s="46" t="s">
        <v>32</v>
      </c>
      <c r="B2549" s="46" t="s">
        <v>32</v>
      </c>
      <c r="C2549" s="46" t="s">
        <v>32</v>
      </c>
      <c r="D2549" s="46" t="s">
        <v>32</v>
      </c>
      <c r="E2549" s="46" t="s">
        <v>32</v>
      </c>
      <c r="F2549" s="47">
        <f>[1]!BexGetData("DP_2","DL719O2RYNC0Y217V0FVT1R77","17","O","11025022O103","2067141011")</f>
        <v>37791.199999999997</v>
      </c>
      <c r="G2549" s="48">
        <f>[1]!BexGetData("DP_2","DL719O2RYNEBZX0HTMQQ0BY0J","17","O","11025022O103","2067141011")</f>
        <v>37791.199999999997</v>
      </c>
      <c r="H2549" s="48">
        <f>[1]!BexGetData("DP_2","DL719O2RYNGN1RZRS91K7M4TV","17","O","11025022O103","2067141011")</f>
        <v>37791.199999999997</v>
      </c>
      <c r="I2549" s="48">
        <f>[1]!BexGetData("DP_2","DL719O2RYNIY3MZ1QVCEEWBN7","17","O","11025022O103","2067141011")</f>
        <v>0</v>
      </c>
    </row>
    <row r="2550" spans="1:9" x14ac:dyDescent="0.2">
      <c r="A2550" s="46" t="s">
        <v>32</v>
      </c>
      <c r="B2550" s="46" t="s">
        <v>32</v>
      </c>
      <c r="C2550" s="46" t="s">
        <v>32</v>
      </c>
      <c r="D2550" s="46" t="s">
        <v>32</v>
      </c>
      <c r="E2550" s="46" t="s">
        <v>32</v>
      </c>
      <c r="F2550" s="47">
        <f>[1]!BexGetData("DP_2","DL719O2RYNC0Y217V0FVT1R77","17","O","11025022O103","2067141021")</f>
        <v>12544.89</v>
      </c>
      <c r="G2550" s="48">
        <f>[1]!BexGetData("DP_2","DL719O2RYNEBZX0HTMQQ0BY0J","17","O","11025022O103","2067141021")</f>
        <v>12544.89</v>
      </c>
      <c r="H2550" s="48">
        <f>[1]!BexGetData("DP_2","DL719O2RYNGN1RZRS91K7M4TV","17","O","11025022O103","2067141021")</f>
        <v>12544.89</v>
      </c>
      <c r="I2550" s="48">
        <f>[1]!BexGetData("DP_2","DL719O2RYNIY3MZ1QVCEEWBN7","17","O","11025022O103","2067141021")</f>
        <v>0</v>
      </c>
    </row>
    <row r="2551" spans="1:9" x14ac:dyDescent="0.2">
      <c r="A2551" s="46" t="s">
        <v>32</v>
      </c>
      <c r="B2551" s="46" t="s">
        <v>32</v>
      </c>
      <c r="C2551" s="46" t="s">
        <v>32</v>
      </c>
      <c r="D2551" s="46" t="s">
        <v>32</v>
      </c>
      <c r="E2551" s="46" t="s">
        <v>32</v>
      </c>
      <c r="F2551" s="47">
        <f>[1]!BexGetData("DP_2","DL719O2RYNC0Y217V0FVT1R77","17","O","11025022O103","2067143011")</f>
        <v>5868.93</v>
      </c>
      <c r="G2551" s="48">
        <f>[1]!BexGetData("DP_2","DL719O2RYNEBZX0HTMQQ0BY0J","17","O","11025022O103","2067143011")</f>
        <v>5868.93</v>
      </c>
      <c r="H2551" s="48">
        <f>[1]!BexGetData("DP_2","DL719O2RYNGN1RZRS91K7M4TV","17","O","11025022O103","2067143011")</f>
        <v>5868.93</v>
      </c>
      <c r="I2551" s="48">
        <f>[1]!BexGetData("DP_2","DL719O2RYNIY3MZ1QVCEEWBN7","17","O","11025022O103","2067143011")</f>
        <v>0</v>
      </c>
    </row>
    <row r="2552" spans="1:9" x14ac:dyDescent="0.2">
      <c r="A2552" s="46" t="s">
        <v>32</v>
      </c>
      <c r="B2552" s="46" t="s">
        <v>32</v>
      </c>
      <c r="C2552" s="46" t="s">
        <v>32</v>
      </c>
      <c r="D2552" s="46" t="s">
        <v>32</v>
      </c>
      <c r="E2552" s="46" t="s">
        <v>32</v>
      </c>
      <c r="F2552" s="47">
        <f>[1]!BexGetData("DP_2","DL719O2RYNC0Y217V0FVT1R77","17","O","11025022O103","2067151011")</f>
        <v>26092.799999999999</v>
      </c>
      <c r="G2552" s="48">
        <f>[1]!BexGetData("DP_2","DL719O2RYNEBZX0HTMQQ0BY0J","17","O","11025022O103","2067151011")</f>
        <v>26092.799999999999</v>
      </c>
      <c r="H2552" s="48">
        <f>[1]!BexGetData("DP_2","DL719O2RYNGN1RZRS91K7M4TV","17","O","11025022O103","2067151011")</f>
        <v>26092.799999999999</v>
      </c>
      <c r="I2552" s="48">
        <f>[1]!BexGetData("DP_2","DL719O2RYNIY3MZ1QVCEEWBN7","17","O","11025022O103","2067151011")</f>
        <v>0</v>
      </c>
    </row>
    <row r="2553" spans="1:9" x14ac:dyDescent="0.2">
      <c r="A2553" s="46" t="s">
        <v>32</v>
      </c>
      <c r="B2553" s="46" t="s">
        <v>32</v>
      </c>
      <c r="C2553" s="46" t="s">
        <v>32</v>
      </c>
      <c r="D2553" s="46" t="s">
        <v>32</v>
      </c>
      <c r="E2553" s="46" t="s">
        <v>32</v>
      </c>
      <c r="F2553" s="47">
        <f>[1]!BexGetData("DP_2","DL719O2RYNC0Y217V0FVT1R77","17","O","11025022O103","2067154011")</f>
        <v>47647.92</v>
      </c>
      <c r="G2553" s="48">
        <f>[1]!BexGetData("DP_2","DL719O2RYNEBZX0HTMQQ0BY0J","17","O","11025022O103","2067154011")</f>
        <v>47647.92</v>
      </c>
      <c r="H2553" s="48">
        <f>[1]!BexGetData("DP_2","DL719O2RYNGN1RZRS91K7M4TV","17","O","11025022O103","2067154011")</f>
        <v>47647.92</v>
      </c>
      <c r="I2553" s="48">
        <f>[1]!BexGetData("DP_2","DL719O2RYNIY3MZ1QVCEEWBN7","17","O","11025022O103","2067154011")</f>
        <v>0</v>
      </c>
    </row>
    <row r="2554" spans="1:9" x14ac:dyDescent="0.2">
      <c r="A2554" s="46" t="s">
        <v>32</v>
      </c>
      <c r="B2554" s="46" t="s">
        <v>32</v>
      </c>
      <c r="C2554" s="46" t="s">
        <v>32</v>
      </c>
      <c r="D2554" s="46" t="s">
        <v>32</v>
      </c>
      <c r="E2554" s="46" t="s">
        <v>32</v>
      </c>
      <c r="F2554" s="47">
        <f>[1]!BexGetData("DP_2","DL719O2RYNC0Y217V0FVT1R77","17","O","11025022O103","2067211011")</f>
        <v>0</v>
      </c>
      <c r="G2554" s="48">
        <f>[1]!BexGetData("DP_2","DL719O2RYNEBZX0HTMQQ0BY0J","17","O","11025022O103","2067211011")</f>
        <v>0</v>
      </c>
      <c r="H2554" s="48">
        <f>[1]!BexGetData("DP_2","DL719O2RYNGN1RZRS91K7M4TV","17","O","11025022O103","2067211011")</f>
        <v>0</v>
      </c>
      <c r="I2554" s="48">
        <f>[1]!BexGetData("DP_2","DL719O2RYNIY3MZ1QVCEEWBN7","17","O","11025022O103","2067211011")</f>
        <v>0</v>
      </c>
    </row>
    <row r="2555" spans="1:9" x14ac:dyDescent="0.2">
      <c r="A2555" s="46" t="s">
        <v>32</v>
      </c>
      <c r="B2555" s="46" t="s">
        <v>32</v>
      </c>
      <c r="C2555" s="46" t="s">
        <v>32</v>
      </c>
      <c r="D2555" s="46" t="s">
        <v>32</v>
      </c>
      <c r="E2555" s="46" t="s">
        <v>32</v>
      </c>
      <c r="F2555" s="47">
        <f>[1]!BexGetData("DP_2","DL719O2RYNC0Y217V0FVT1R77","17","O","11025022O103","2067214011")</f>
        <v>3916.16</v>
      </c>
      <c r="G2555" s="48">
        <f>[1]!BexGetData("DP_2","DL719O2RYNEBZX0HTMQQ0BY0J","17","O","11025022O103","2067214011")</f>
        <v>3916.16</v>
      </c>
      <c r="H2555" s="48">
        <f>[1]!BexGetData("DP_2","DL719O2RYNGN1RZRS91K7M4TV","17","O","11025022O103","2067214011")</f>
        <v>0</v>
      </c>
      <c r="I2555" s="48">
        <f>[1]!BexGetData("DP_2","DL719O2RYNIY3MZ1QVCEEWBN7","17","O","11025022O103","2067214011")</f>
        <v>0</v>
      </c>
    </row>
    <row r="2556" spans="1:9" x14ac:dyDescent="0.2">
      <c r="A2556" s="46" t="s">
        <v>32</v>
      </c>
      <c r="B2556" s="46" t="s">
        <v>32</v>
      </c>
      <c r="C2556" s="46" t="s">
        <v>32</v>
      </c>
      <c r="D2556" s="46" t="s">
        <v>32</v>
      </c>
      <c r="E2556" s="46" t="s">
        <v>32</v>
      </c>
      <c r="F2556" s="47">
        <f>[1]!BexGetData("DP_2","DL719O2RYNC0Y217V0FVT1R77","17","O","11025022O103","2067216011")</f>
        <v>0</v>
      </c>
      <c r="G2556" s="48">
        <f>[1]!BexGetData("DP_2","DL719O2RYNEBZX0HTMQQ0BY0J","17","O","11025022O103","2067216011")</f>
        <v>0</v>
      </c>
      <c r="H2556" s="48">
        <f>[1]!BexGetData("DP_2","DL719O2RYNGN1RZRS91K7M4TV","17","O","11025022O103","2067216011")</f>
        <v>0</v>
      </c>
      <c r="I2556" s="48">
        <f>[1]!BexGetData("DP_2","DL719O2RYNIY3MZ1QVCEEWBN7","17","O","11025022O103","2067216011")</f>
        <v>0</v>
      </c>
    </row>
    <row r="2557" spans="1:9" x14ac:dyDescent="0.2">
      <c r="A2557" s="46" t="s">
        <v>32</v>
      </c>
      <c r="B2557" s="46" t="s">
        <v>32</v>
      </c>
      <c r="C2557" s="46" t="s">
        <v>32</v>
      </c>
      <c r="D2557" s="46" t="s">
        <v>32</v>
      </c>
      <c r="E2557" s="46" t="s">
        <v>32</v>
      </c>
      <c r="F2557" s="47">
        <f>[1]!BexGetData("DP_2","DL719O2RYNC0Y217V0FVT1R77","17","O","11025022O103","2067261021")</f>
        <v>0</v>
      </c>
      <c r="G2557" s="48">
        <f>[1]!BexGetData("DP_2","DL719O2RYNEBZX0HTMQQ0BY0J","17","O","11025022O103","2067261021")</f>
        <v>0</v>
      </c>
      <c r="H2557" s="48">
        <f>[1]!BexGetData("DP_2","DL719O2RYNGN1RZRS91K7M4TV","17","O","11025022O103","2067261021")</f>
        <v>0</v>
      </c>
      <c r="I2557" s="48">
        <f>[1]!BexGetData("DP_2","DL719O2RYNIY3MZ1QVCEEWBN7","17","O","11025022O103","2067261021")</f>
        <v>0</v>
      </c>
    </row>
    <row r="2558" spans="1:9" x14ac:dyDescent="0.2">
      <c r="A2558" s="46" t="s">
        <v>32</v>
      </c>
      <c r="B2558" s="46" t="s">
        <v>32</v>
      </c>
      <c r="C2558" s="46" t="s">
        <v>32</v>
      </c>
      <c r="D2558" s="46" t="s">
        <v>32</v>
      </c>
      <c r="E2558" s="46" t="s">
        <v>32</v>
      </c>
      <c r="F2558" s="47">
        <f>[1]!BexGetData("DP_2","DL719O2RYNC0Y217V0FVT1R77","17","O","11025022O103","2067336011")</f>
        <v>10018.629999999999</v>
      </c>
      <c r="G2558" s="48">
        <f>[1]!BexGetData("DP_2","DL719O2RYNEBZX0HTMQQ0BY0J","17","O","11025022O103","2067336011")</f>
        <v>10018.629999999999</v>
      </c>
      <c r="H2558" s="48">
        <f>[1]!BexGetData("DP_2","DL719O2RYNGN1RZRS91K7M4TV","17","O","11025022O103","2067336011")</f>
        <v>5727.79</v>
      </c>
      <c r="I2558" s="48">
        <f>[1]!BexGetData("DP_2","DL719O2RYNIY3MZ1QVCEEWBN7","17","O","11025022O103","2067336011")</f>
        <v>0</v>
      </c>
    </row>
    <row r="2559" spans="1:9" x14ac:dyDescent="0.2">
      <c r="A2559" s="46" t="s">
        <v>32</v>
      </c>
      <c r="B2559" s="46" t="s">
        <v>32</v>
      </c>
      <c r="C2559" s="46" t="s">
        <v>32</v>
      </c>
      <c r="D2559" s="46" t="s">
        <v>32</v>
      </c>
      <c r="E2559" s="46" t="s">
        <v>32</v>
      </c>
      <c r="F2559" s="47">
        <f>[1]!BexGetData("DP_2","DL719O2RYNC0Y217V0FVT1R77","17","O","11025022O103","2067355011")</f>
        <v>24167.68</v>
      </c>
      <c r="G2559" s="48">
        <f>[1]!BexGetData("DP_2","DL719O2RYNEBZX0HTMQQ0BY0J","17","O","11025022O103","2067355011")</f>
        <v>24167.68</v>
      </c>
      <c r="H2559" s="48">
        <f>[1]!BexGetData("DP_2","DL719O2RYNGN1RZRS91K7M4TV","17","O","11025022O103","2067355011")</f>
        <v>24167.68</v>
      </c>
      <c r="I2559" s="48">
        <f>[1]!BexGetData("DP_2","DL719O2RYNIY3MZ1QVCEEWBN7","17","O","11025022O103","2067355011")</f>
        <v>0</v>
      </c>
    </row>
    <row r="2560" spans="1:9" x14ac:dyDescent="0.2">
      <c r="A2560" s="46" t="s">
        <v>32</v>
      </c>
      <c r="B2560" s="46" t="s">
        <v>32</v>
      </c>
      <c r="C2560" s="46" t="s">
        <v>143</v>
      </c>
      <c r="D2560" s="46" t="s">
        <v>143</v>
      </c>
      <c r="E2560" s="46" t="s">
        <v>32</v>
      </c>
      <c r="F2560" s="47">
        <f>[1]!BexGetData("DP_2","DL719O2RYNC0Y217V0FVT1R77","17","O","18013062O102","2067211011")</f>
        <v>0</v>
      </c>
      <c r="G2560" s="48">
        <f>[1]!BexGetData("DP_2","DL719O2RYNEBZX0HTMQQ0BY0J","17","O","18013062O102","2067211011")</f>
        <v>0</v>
      </c>
      <c r="H2560" s="48">
        <f>[1]!BexGetData("DP_2","DL719O2RYNGN1RZRS91K7M4TV","17","O","18013062O102","2067211011")</f>
        <v>0</v>
      </c>
      <c r="I2560" s="48">
        <f>[1]!BexGetData("DP_2","DL719O2RYNIY3MZ1QVCEEWBN7","17","O","18013062O102","2067211011")</f>
        <v>0</v>
      </c>
    </row>
    <row r="2561" spans="1:9" x14ac:dyDescent="0.2">
      <c r="A2561" s="46" t="s">
        <v>32</v>
      </c>
      <c r="B2561" s="46" t="s">
        <v>32</v>
      </c>
      <c r="C2561" s="46" t="s">
        <v>32</v>
      </c>
      <c r="D2561" s="46" t="s">
        <v>32</v>
      </c>
      <c r="E2561" s="46" t="s">
        <v>32</v>
      </c>
      <c r="F2561" s="47">
        <f>[1]!BexGetData("DP_2","DL719O2RYNC0Y217V0FVT1R77","17","O","18013062O102","2067214021")</f>
        <v>0</v>
      </c>
      <c r="G2561" s="48">
        <f>[1]!BexGetData("DP_2","DL719O2RYNEBZX0HTMQQ0BY0J","17","O","18013062O102","2067214021")</f>
        <v>0</v>
      </c>
      <c r="H2561" s="48">
        <f>[1]!BexGetData("DP_2","DL719O2RYNGN1RZRS91K7M4TV","17","O","18013062O102","2067214021")</f>
        <v>0</v>
      </c>
      <c r="I2561" s="48">
        <f>[1]!BexGetData("DP_2","DL719O2RYNIY3MZ1QVCEEWBN7","17","O","18013062O102","2067214021")</f>
        <v>0</v>
      </c>
    </row>
    <row r="2562" spans="1:9" x14ac:dyDescent="0.2">
      <c r="A2562" s="46" t="s">
        <v>32</v>
      </c>
      <c r="B2562" s="46" t="s">
        <v>32</v>
      </c>
      <c r="C2562" s="46" t="s">
        <v>32</v>
      </c>
      <c r="D2562" s="46" t="s">
        <v>32</v>
      </c>
      <c r="E2562" s="46" t="s">
        <v>32</v>
      </c>
      <c r="F2562" s="47">
        <f>[1]!BexGetData("DP_2","DL719O2RYNC0Y217V0FVT1R77","17","O","18013062O102","2067216011")</f>
        <v>0</v>
      </c>
      <c r="G2562" s="48">
        <f>[1]!BexGetData("DP_2","DL719O2RYNEBZX0HTMQQ0BY0J","17","O","18013062O102","2067216011")</f>
        <v>0</v>
      </c>
      <c r="H2562" s="48">
        <f>[1]!BexGetData("DP_2","DL719O2RYNGN1RZRS91K7M4TV","17","O","18013062O102","2067216011")</f>
        <v>0</v>
      </c>
      <c r="I2562" s="48">
        <f>[1]!BexGetData("DP_2","DL719O2RYNIY3MZ1QVCEEWBN7","17","O","18013062O102","2067216011")</f>
        <v>0</v>
      </c>
    </row>
    <row r="2563" spans="1:9" x14ac:dyDescent="0.2">
      <c r="A2563" s="46" t="s">
        <v>32</v>
      </c>
      <c r="B2563" s="46" t="s">
        <v>32</v>
      </c>
      <c r="C2563" s="46" t="s">
        <v>32</v>
      </c>
      <c r="D2563" s="46" t="s">
        <v>32</v>
      </c>
      <c r="E2563" s="46" t="s">
        <v>32</v>
      </c>
      <c r="F2563" s="47">
        <f>[1]!BexGetData("DP_2","DL719O2RYNC0Y217V0FVT1R77","17","O","18013062O102","2067221021")</f>
        <v>0</v>
      </c>
      <c r="G2563" s="48">
        <f>[1]!BexGetData("DP_2","DL719O2RYNEBZX0HTMQQ0BY0J","17","O","18013062O102","2067221021")</f>
        <v>0</v>
      </c>
      <c r="H2563" s="48">
        <f>[1]!BexGetData("DP_2","DL719O2RYNGN1RZRS91K7M4TV","17","O","18013062O102","2067221021")</f>
        <v>0</v>
      </c>
      <c r="I2563" s="48">
        <f>[1]!BexGetData("DP_2","DL719O2RYNIY3MZ1QVCEEWBN7","17","O","18013062O102","2067221021")</f>
        <v>0</v>
      </c>
    </row>
    <row r="2564" spans="1:9" x14ac:dyDescent="0.2">
      <c r="A2564" s="46" t="s">
        <v>32</v>
      </c>
      <c r="B2564" s="46" t="s">
        <v>32</v>
      </c>
      <c r="C2564" s="46" t="s">
        <v>32</v>
      </c>
      <c r="D2564" s="46" t="s">
        <v>32</v>
      </c>
      <c r="E2564" s="46" t="s">
        <v>32</v>
      </c>
      <c r="F2564" s="47">
        <f>[1]!BexGetData("DP_2","DL719O2RYNC0Y217V0FVT1R77","17","O","18013062O102","2067314011")</f>
        <v>0</v>
      </c>
      <c r="G2564" s="48">
        <f>[1]!BexGetData("DP_2","DL719O2RYNEBZX0HTMQQ0BY0J","17","O","18013062O102","2067314011")</f>
        <v>0</v>
      </c>
      <c r="H2564" s="48">
        <f>[1]!BexGetData("DP_2","DL719O2RYNGN1RZRS91K7M4TV","17","O","18013062O102","2067314011")</f>
        <v>0</v>
      </c>
      <c r="I2564" s="48">
        <f>[1]!BexGetData("DP_2","DL719O2RYNIY3MZ1QVCEEWBN7","17","O","18013062O102","2067314011")</f>
        <v>0</v>
      </c>
    </row>
    <row r="2565" spans="1:9" x14ac:dyDescent="0.2">
      <c r="A2565" s="46" t="s">
        <v>32</v>
      </c>
      <c r="B2565" s="46" t="s">
        <v>32</v>
      </c>
      <c r="C2565" s="46" t="s">
        <v>32</v>
      </c>
      <c r="D2565" s="46" t="s">
        <v>32</v>
      </c>
      <c r="E2565" s="46" t="s">
        <v>32</v>
      </c>
      <c r="F2565" s="47">
        <f>[1]!BexGetData("DP_2","DL719O2RYNC0Y217V0FVT1R77","17","O","18013062O102","2067318011")</f>
        <v>0</v>
      </c>
      <c r="G2565" s="48">
        <f>[1]!BexGetData("DP_2","DL719O2RYNEBZX0HTMQQ0BY0J","17","O","18013062O102","2067318011")</f>
        <v>0</v>
      </c>
      <c r="H2565" s="48">
        <f>[1]!BexGetData("DP_2","DL719O2RYNGN1RZRS91K7M4TV","17","O","18013062O102","2067318011")</f>
        <v>0</v>
      </c>
      <c r="I2565" s="48">
        <f>[1]!BexGetData("DP_2","DL719O2RYNIY3MZ1QVCEEWBN7","17","O","18013062O102","2067318011")</f>
        <v>0</v>
      </c>
    </row>
    <row r="2566" spans="1:9" x14ac:dyDescent="0.2">
      <c r="A2566" s="46" t="s">
        <v>32</v>
      </c>
      <c r="B2566" s="46" t="s">
        <v>32</v>
      </c>
      <c r="C2566" s="46" t="s">
        <v>32</v>
      </c>
      <c r="D2566" s="46" t="s">
        <v>32</v>
      </c>
      <c r="E2566" s="46" t="s">
        <v>32</v>
      </c>
      <c r="F2566" s="47">
        <f>[1]!BexGetData("DP_2","DL719O2RYNC0Y217V0FVT1R77","17","O","18013062O102","2067336011")</f>
        <v>0</v>
      </c>
      <c r="G2566" s="48">
        <f>[1]!BexGetData("DP_2","DL719O2RYNEBZX0HTMQQ0BY0J","17","O","18013062O102","2067336011")</f>
        <v>0</v>
      </c>
      <c r="H2566" s="48">
        <f>[1]!BexGetData("DP_2","DL719O2RYNGN1RZRS91K7M4TV","17","O","18013062O102","2067336011")</f>
        <v>0</v>
      </c>
      <c r="I2566" s="48">
        <f>[1]!BexGetData("DP_2","DL719O2RYNIY3MZ1QVCEEWBN7","17","O","18013062O102","2067336011")</f>
        <v>0</v>
      </c>
    </row>
    <row r="2567" spans="1:9" x14ac:dyDescent="0.2">
      <c r="A2567" s="46" t="s">
        <v>32</v>
      </c>
      <c r="B2567" s="46" t="s">
        <v>32</v>
      </c>
      <c r="C2567" s="46" t="s">
        <v>32</v>
      </c>
      <c r="D2567" s="46" t="s">
        <v>32</v>
      </c>
      <c r="E2567" s="46" t="s">
        <v>32</v>
      </c>
      <c r="F2567" s="47">
        <f>[1]!BexGetData("DP_2","DL719O2RYNC0Y217V0FVT1R77","17","O","18013062O102","2067351011")</f>
        <v>0</v>
      </c>
      <c r="G2567" s="48">
        <f>[1]!BexGetData("DP_2","DL719O2RYNEBZX0HTMQQ0BY0J","17","O","18013062O102","2067351011")</f>
        <v>0</v>
      </c>
      <c r="H2567" s="48">
        <f>[1]!BexGetData("DP_2","DL719O2RYNGN1RZRS91K7M4TV","17","O","18013062O102","2067351011")</f>
        <v>0</v>
      </c>
      <c r="I2567" s="48">
        <f>[1]!BexGetData("DP_2","DL719O2RYNIY3MZ1QVCEEWBN7","17","O","18013062O102","2067351011")</f>
        <v>0</v>
      </c>
    </row>
    <row r="2568" spans="1:9" x14ac:dyDescent="0.2">
      <c r="A2568" s="46" t="s">
        <v>32</v>
      </c>
      <c r="B2568" s="46" t="s">
        <v>32</v>
      </c>
      <c r="C2568" s="46" t="s">
        <v>32</v>
      </c>
      <c r="D2568" s="46" t="s">
        <v>32</v>
      </c>
      <c r="E2568" s="46" t="s">
        <v>32</v>
      </c>
      <c r="F2568" s="47">
        <f>[1]!BexGetData("DP_2","DL719O2RYNC0Y217V0FVT1R77","17","O","18013062O102","2067372011")</f>
        <v>0</v>
      </c>
      <c r="G2568" s="48">
        <f>[1]!BexGetData("DP_2","DL719O2RYNEBZX0HTMQQ0BY0J","17","O","18013062O102","2067372011")</f>
        <v>0</v>
      </c>
      <c r="H2568" s="48">
        <f>[1]!BexGetData("DP_2","DL719O2RYNGN1RZRS91K7M4TV","17","O","18013062O102","2067372011")</f>
        <v>0</v>
      </c>
      <c r="I2568" s="48">
        <f>[1]!BexGetData("DP_2","DL719O2RYNIY3MZ1QVCEEWBN7","17","O","18013062O102","2067372011")</f>
        <v>0</v>
      </c>
    </row>
    <row r="2569" spans="1:9" x14ac:dyDescent="0.2">
      <c r="A2569" s="46" t="s">
        <v>32</v>
      </c>
      <c r="B2569" s="46" t="s">
        <v>32</v>
      </c>
      <c r="C2569" s="46" t="s">
        <v>144</v>
      </c>
      <c r="D2569" s="46" t="s">
        <v>144</v>
      </c>
      <c r="E2569" s="46" t="s">
        <v>32</v>
      </c>
      <c r="F2569" s="47">
        <f>[1]!BexGetData("DP_2","DL719O2RYNC0Y217V0FVT1R77","17","O","18045023O103","2067334011")</f>
        <v>0</v>
      </c>
      <c r="G2569" s="48">
        <f>[1]!BexGetData("DP_2","DL719O2RYNEBZX0HTMQQ0BY0J","17","O","18045023O103","2067334011")</f>
        <v>0</v>
      </c>
      <c r="H2569" s="48">
        <f>[1]!BexGetData("DP_2","DL719O2RYNGN1RZRS91K7M4TV","17","O","18045023O103","2067334011")</f>
        <v>0</v>
      </c>
      <c r="I2569" s="48">
        <f>[1]!BexGetData("DP_2","DL719O2RYNIY3MZ1QVCEEWBN7","17","O","18045023O103","2067334011")</f>
        <v>0</v>
      </c>
    </row>
    <row r="2570" spans="1:9" x14ac:dyDescent="0.2">
      <c r="A2570" s="46" t="s">
        <v>32</v>
      </c>
      <c r="B2570" s="46" t="s">
        <v>32</v>
      </c>
      <c r="C2570" s="46" t="s">
        <v>32</v>
      </c>
      <c r="D2570" s="46" t="s">
        <v>32</v>
      </c>
      <c r="E2570" s="46" t="s">
        <v>32</v>
      </c>
      <c r="F2570" s="47">
        <f>[1]!BexGetData("DP_2","DL719O2RYNC0Y217V0FVT1R77","17","O","18045023O103","2067371011")</f>
        <v>0</v>
      </c>
      <c r="G2570" s="48">
        <f>[1]!BexGetData("DP_2","DL719O2RYNEBZX0HTMQQ0BY0J","17","O","18045023O103","2067371011")</f>
        <v>0</v>
      </c>
      <c r="H2570" s="48">
        <f>[1]!BexGetData("DP_2","DL719O2RYNGN1RZRS91K7M4TV","17","O","18045023O103","2067371011")</f>
        <v>0</v>
      </c>
      <c r="I2570" s="48">
        <f>[1]!BexGetData("DP_2","DL719O2RYNIY3MZ1QVCEEWBN7","17","O","18045023O103","2067371011")</f>
        <v>0</v>
      </c>
    </row>
    <row r="2571" spans="1:9" x14ac:dyDescent="0.2">
      <c r="A2571" s="46" t="s">
        <v>32</v>
      </c>
      <c r="B2571" s="46" t="s">
        <v>32</v>
      </c>
      <c r="C2571" s="46" t="s">
        <v>32</v>
      </c>
      <c r="D2571" s="46" t="s">
        <v>32</v>
      </c>
      <c r="E2571" s="46" t="s">
        <v>32</v>
      </c>
      <c r="F2571" s="47">
        <f>[1]!BexGetData("DP_2","DL719O2RYNC0Y217V0FVT1R77","17","O","18045023O103","2067372011")</f>
        <v>0</v>
      </c>
      <c r="G2571" s="48">
        <f>[1]!BexGetData("DP_2","DL719O2RYNEBZX0HTMQQ0BY0J","17","O","18045023O103","2067372011")</f>
        <v>0</v>
      </c>
      <c r="H2571" s="48">
        <f>[1]!BexGetData("DP_2","DL719O2RYNGN1RZRS91K7M4TV","17","O","18045023O103","2067372011")</f>
        <v>0</v>
      </c>
      <c r="I2571" s="48">
        <f>[1]!BexGetData("DP_2","DL719O2RYNIY3MZ1QVCEEWBN7","17","O","18045023O103","2067372011")</f>
        <v>0</v>
      </c>
    </row>
    <row r="2572" spans="1:9" x14ac:dyDescent="0.2">
      <c r="A2572" s="46" t="s">
        <v>32</v>
      </c>
      <c r="B2572" s="46" t="s">
        <v>32</v>
      </c>
      <c r="C2572" s="46" t="s">
        <v>32</v>
      </c>
      <c r="D2572" s="46" t="s">
        <v>32</v>
      </c>
      <c r="E2572" s="46" t="s">
        <v>32</v>
      </c>
      <c r="F2572" s="47">
        <f>[1]!BexGetData("DP_2","DL719O2RYNC0Y217V0FVT1R77","17","O","18045023O103","2067375011")</f>
        <v>0</v>
      </c>
      <c r="G2572" s="48">
        <f>[1]!BexGetData("DP_2","DL719O2RYNEBZX0HTMQQ0BY0J","17","O","18045023O103","2067375011")</f>
        <v>0</v>
      </c>
      <c r="H2572" s="48">
        <f>[1]!BexGetData("DP_2","DL719O2RYNGN1RZRS91K7M4TV","17","O","18045023O103","2067375011")</f>
        <v>0</v>
      </c>
      <c r="I2572" s="48">
        <f>[1]!BexGetData("DP_2","DL719O2RYNIY3MZ1QVCEEWBN7","17","O","18045023O103","2067375011")</f>
        <v>0</v>
      </c>
    </row>
    <row r="2573" spans="1:9" x14ac:dyDescent="0.2">
      <c r="A2573" s="46" t="s">
        <v>32</v>
      </c>
      <c r="B2573" s="46" t="s">
        <v>32</v>
      </c>
      <c r="C2573" s="46" t="s">
        <v>145</v>
      </c>
      <c r="D2573" s="46" t="s">
        <v>145</v>
      </c>
      <c r="E2573" s="46" t="s">
        <v>32</v>
      </c>
      <c r="F2573" s="47">
        <f>[1]!BexGetData("DP_2","DL719O2RYNC0Y217V0FVT1R77","17","O","22013062O102","2067113011")</f>
        <v>46130.77</v>
      </c>
      <c r="G2573" s="48">
        <f>[1]!BexGetData("DP_2","DL719O2RYNEBZX0HTMQQ0BY0J","17","O","22013062O102","2067113011")</f>
        <v>46130.77</v>
      </c>
      <c r="H2573" s="48">
        <f>[1]!BexGetData("DP_2","DL719O2RYNGN1RZRS91K7M4TV","17","O","22013062O102","2067113011")</f>
        <v>46130.77</v>
      </c>
      <c r="I2573" s="48">
        <f>[1]!BexGetData("DP_2","DL719O2RYNIY3MZ1QVCEEWBN7","17","O","22013062O102","2067113011")</f>
        <v>0</v>
      </c>
    </row>
    <row r="2574" spans="1:9" x14ac:dyDescent="0.2">
      <c r="A2574" s="46" t="s">
        <v>32</v>
      </c>
      <c r="B2574" s="46" t="s">
        <v>32</v>
      </c>
      <c r="C2574" s="46" t="s">
        <v>32</v>
      </c>
      <c r="D2574" s="46" t="s">
        <v>32</v>
      </c>
      <c r="E2574" s="46" t="s">
        <v>32</v>
      </c>
      <c r="F2574" s="47">
        <f>[1]!BexGetData("DP_2","DL719O2RYNC0Y217V0FVT1R77","17","O","22013062O102","2067113021")</f>
        <v>239237.85</v>
      </c>
      <c r="G2574" s="48">
        <f>[1]!BexGetData("DP_2","DL719O2RYNEBZX0HTMQQ0BY0J","17","O","22013062O102","2067113021")</f>
        <v>239237.85</v>
      </c>
      <c r="H2574" s="48">
        <f>[1]!BexGetData("DP_2","DL719O2RYNGN1RZRS91K7M4TV","17","O","22013062O102","2067113021")</f>
        <v>239237.85</v>
      </c>
      <c r="I2574" s="48">
        <f>[1]!BexGetData("DP_2","DL719O2RYNIY3MZ1QVCEEWBN7","17","O","22013062O102","2067113021")</f>
        <v>0</v>
      </c>
    </row>
    <row r="2575" spans="1:9" x14ac:dyDescent="0.2">
      <c r="A2575" s="46" t="s">
        <v>32</v>
      </c>
      <c r="B2575" s="46" t="s">
        <v>32</v>
      </c>
      <c r="C2575" s="46" t="s">
        <v>32</v>
      </c>
      <c r="D2575" s="46" t="s">
        <v>32</v>
      </c>
      <c r="E2575" s="46" t="s">
        <v>32</v>
      </c>
      <c r="F2575" s="47">
        <f>[1]!BexGetData("DP_2","DL719O2RYNC0Y217V0FVT1R77","17","O","22013062O102","2067131011")</f>
        <v>1411.28</v>
      </c>
      <c r="G2575" s="48">
        <f>[1]!BexGetData("DP_2","DL719O2RYNEBZX0HTMQQ0BY0J","17","O","22013062O102","2067131011")</f>
        <v>1411.28</v>
      </c>
      <c r="H2575" s="48">
        <f>[1]!BexGetData("DP_2","DL719O2RYNGN1RZRS91K7M4TV","17","O","22013062O102","2067131011")</f>
        <v>1411.28</v>
      </c>
      <c r="I2575" s="48">
        <f>[1]!BexGetData("DP_2","DL719O2RYNIY3MZ1QVCEEWBN7","17","O","22013062O102","2067131011")</f>
        <v>0</v>
      </c>
    </row>
    <row r="2576" spans="1:9" x14ac:dyDescent="0.2">
      <c r="A2576" s="46" t="s">
        <v>32</v>
      </c>
      <c r="B2576" s="46" t="s">
        <v>32</v>
      </c>
      <c r="C2576" s="46" t="s">
        <v>32</v>
      </c>
      <c r="D2576" s="46" t="s">
        <v>32</v>
      </c>
      <c r="E2576" s="46" t="s">
        <v>32</v>
      </c>
      <c r="F2576" s="47">
        <f>[1]!BexGetData("DP_2","DL719O2RYNC0Y217V0FVT1R77","17","O","22013062O102","2067131021")</f>
        <v>5123.68</v>
      </c>
      <c r="G2576" s="48">
        <f>[1]!BexGetData("DP_2","DL719O2RYNEBZX0HTMQQ0BY0J","17","O","22013062O102","2067131021")</f>
        <v>5123.68</v>
      </c>
      <c r="H2576" s="48">
        <f>[1]!BexGetData("DP_2","DL719O2RYNGN1RZRS91K7M4TV","17","O","22013062O102","2067131021")</f>
        <v>5123.68</v>
      </c>
      <c r="I2576" s="48">
        <f>[1]!BexGetData("DP_2","DL719O2RYNIY3MZ1QVCEEWBN7","17","O","22013062O102","2067131021")</f>
        <v>0</v>
      </c>
    </row>
    <row r="2577" spans="1:9" x14ac:dyDescent="0.2">
      <c r="A2577" s="46" t="s">
        <v>32</v>
      </c>
      <c r="B2577" s="46" t="s">
        <v>32</v>
      </c>
      <c r="C2577" s="46" t="s">
        <v>32</v>
      </c>
      <c r="D2577" s="46" t="s">
        <v>32</v>
      </c>
      <c r="E2577" s="46" t="s">
        <v>32</v>
      </c>
      <c r="F2577" s="47">
        <f>[1]!BexGetData("DP_2","DL719O2RYNC0Y217V0FVT1R77","17","O","22013062O102","2067132011")</f>
        <v>7538.78</v>
      </c>
      <c r="G2577" s="48">
        <f>[1]!BexGetData("DP_2","DL719O2RYNEBZX0HTMQQ0BY0J","17","O","22013062O102","2067132011")</f>
        <v>7538.78</v>
      </c>
      <c r="H2577" s="48">
        <f>[1]!BexGetData("DP_2","DL719O2RYNGN1RZRS91K7M4TV","17","O","22013062O102","2067132011")</f>
        <v>7538.78</v>
      </c>
      <c r="I2577" s="48">
        <f>[1]!BexGetData("DP_2","DL719O2RYNIY3MZ1QVCEEWBN7","17","O","22013062O102","2067132011")</f>
        <v>0</v>
      </c>
    </row>
    <row r="2578" spans="1:9" x14ac:dyDescent="0.2">
      <c r="A2578" s="46" t="s">
        <v>32</v>
      </c>
      <c r="B2578" s="46" t="s">
        <v>32</v>
      </c>
      <c r="C2578" s="46" t="s">
        <v>32</v>
      </c>
      <c r="D2578" s="46" t="s">
        <v>32</v>
      </c>
      <c r="E2578" s="46" t="s">
        <v>32</v>
      </c>
      <c r="F2578" s="47">
        <f>[1]!BexGetData("DP_2","DL719O2RYNC0Y217V0FVT1R77","17","O","22013062O102","2067132021")</f>
        <v>61221.66</v>
      </c>
      <c r="G2578" s="48">
        <f>[1]!BexGetData("DP_2","DL719O2RYNEBZX0HTMQQ0BY0J","17","O","22013062O102","2067132021")</f>
        <v>61221.66</v>
      </c>
      <c r="H2578" s="48">
        <f>[1]!BexGetData("DP_2","DL719O2RYNGN1RZRS91K7M4TV","17","O","22013062O102","2067132021")</f>
        <v>61221.66</v>
      </c>
      <c r="I2578" s="48">
        <f>[1]!BexGetData("DP_2","DL719O2RYNIY3MZ1QVCEEWBN7","17","O","22013062O102","2067132021")</f>
        <v>0</v>
      </c>
    </row>
    <row r="2579" spans="1:9" x14ac:dyDescent="0.2">
      <c r="A2579" s="46" t="s">
        <v>32</v>
      </c>
      <c r="B2579" s="46" t="s">
        <v>32</v>
      </c>
      <c r="C2579" s="46" t="s">
        <v>32</v>
      </c>
      <c r="D2579" s="46" t="s">
        <v>32</v>
      </c>
      <c r="E2579" s="46" t="s">
        <v>32</v>
      </c>
      <c r="F2579" s="47">
        <f>[1]!BexGetData("DP_2","DL719O2RYNC0Y217V0FVT1R77","17","O","22013062O102","2067134011")</f>
        <v>370563.8</v>
      </c>
      <c r="G2579" s="48">
        <f>[1]!BexGetData("DP_2","DL719O2RYNEBZX0HTMQQ0BY0J","17","O","22013062O102","2067134011")</f>
        <v>370563.8</v>
      </c>
      <c r="H2579" s="48">
        <f>[1]!BexGetData("DP_2","DL719O2RYNGN1RZRS91K7M4TV","17","O","22013062O102","2067134011")</f>
        <v>376209</v>
      </c>
      <c r="I2579" s="48">
        <f>[1]!BexGetData("DP_2","DL719O2RYNIY3MZ1QVCEEWBN7","17","O","22013062O102","2067134011")</f>
        <v>0</v>
      </c>
    </row>
    <row r="2580" spans="1:9" x14ac:dyDescent="0.2">
      <c r="A2580" s="46" t="s">
        <v>32</v>
      </c>
      <c r="B2580" s="46" t="s">
        <v>32</v>
      </c>
      <c r="C2580" s="46" t="s">
        <v>32</v>
      </c>
      <c r="D2580" s="46" t="s">
        <v>32</v>
      </c>
      <c r="E2580" s="46" t="s">
        <v>32</v>
      </c>
      <c r="F2580" s="47">
        <f>[1]!BexGetData("DP_2","DL719O2RYNC0Y217V0FVT1R77","17","O","22013062O102","2067134021")</f>
        <v>463949.83</v>
      </c>
      <c r="G2580" s="48">
        <f>[1]!BexGetData("DP_2","DL719O2RYNEBZX0HTMQQ0BY0J","17","O","22013062O102","2067134021")</f>
        <v>463949.83</v>
      </c>
      <c r="H2580" s="48">
        <f>[1]!BexGetData("DP_2","DL719O2RYNGN1RZRS91K7M4TV","17","O","22013062O102","2067134021")</f>
        <v>463949.83</v>
      </c>
      <c r="I2580" s="48">
        <f>[1]!BexGetData("DP_2","DL719O2RYNIY3MZ1QVCEEWBN7","17","O","22013062O102","2067134021")</f>
        <v>0</v>
      </c>
    </row>
    <row r="2581" spans="1:9" x14ac:dyDescent="0.2">
      <c r="A2581" s="46" t="s">
        <v>32</v>
      </c>
      <c r="B2581" s="46" t="s">
        <v>32</v>
      </c>
      <c r="C2581" s="46" t="s">
        <v>32</v>
      </c>
      <c r="D2581" s="46" t="s">
        <v>32</v>
      </c>
      <c r="E2581" s="46" t="s">
        <v>32</v>
      </c>
      <c r="F2581" s="47">
        <f>[1]!BexGetData("DP_2","DL719O2RYNC0Y217V0FVT1R77","17","O","22013062O102","2067141011")</f>
        <v>50169.53</v>
      </c>
      <c r="G2581" s="48">
        <f>[1]!BexGetData("DP_2","DL719O2RYNEBZX0HTMQQ0BY0J","17","O","22013062O102","2067141011")</f>
        <v>50169.53</v>
      </c>
      <c r="H2581" s="48">
        <f>[1]!BexGetData("DP_2","DL719O2RYNGN1RZRS91K7M4TV","17","O","22013062O102","2067141011")</f>
        <v>50169.53</v>
      </c>
      <c r="I2581" s="48">
        <f>[1]!BexGetData("DP_2","DL719O2RYNIY3MZ1QVCEEWBN7","17","O","22013062O102","2067141011")</f>
        <v>0</v>
      </c>
    </row>
    <row r="2582" spans="1:9" x14ac:dyDescent="0.2">
      <c r="A2582" s="46" t="s">
        <v>32</v>
      </c>
      <c r="B2582" s="46" t="s">
        <v>32</v>
      </c>
      <c r="C2582" s="46" t="s">
        <v>32</v>
      </c>
      <c r="D2582" s="46" t="s">
        <v>32</v>
      </c>
      <c r="E2582" s="46" t="s">
        <v>32</v>
      </c>
      <c r="F2582" s="47">
        <f>[1]!BexGetData("DP_2","DL719O2RYNC0Y217V0FVT1R77","17","O","22013062O102","2067141021")</f>
        <v>14903.46</v>
      </c>
      <c r="G2582" s="48">
        <f>[1]!BexGetData("DP_2","DL719O2RYNEBZX0HTMQQ0BY0J","17","O","22013062O102","2067141021")</f>
        <v>14903.46</v>
      </c>
      <c r="H2582" s="48">
        <f>[1]!BexGetData("DP_2","DL719O2RYNGN1RZRS91K7M4TV","17","O","22013062O102","2067141021")</f>
        <v>14903.46</v>
      </c>
      <c r="I2582" s="48">
        <f>[1]!BexGetData("DP_2","DL719O2RYNIY3MZ1QVCEEWBN7","17","O","22013062O102","2067141021")</f>
        <v>0</v>
      </c>
    </row>
    <row r="2583" spans="1:9" x14ac:dyDescent="0.2">
      <c r="A2583" s="46" t="s">
        <v>32</v>
      </c>
      <c r="B2583" s="46" t="s">
        <v>32</v>
      </c>
      <c r="C2583" s="46" t="s">
        <v>32</v>
      </c>
      <c r="D2583" s="46" t="s">
        <v>32</v>
      </c>
      <c r="E2583" s="46" t="s">
        <v>32</v>
      </c>
      <c r="F2583" s="47">
        <f>[1]!BexGetData("DP_2","DL719O2RYNC0Y217V0FVT1R77","17","O","22013062O102","2067143011")</f>
        <v>6977.75</v>
      </c>
      <c r="G2583" s="48">
        <f>[1]!BexGetData("DP_2","DL719O2RYNEBZX0HTMQQ0BY0J","17","O","22013062O102","2067143011")</f>
        <v>6977.75</v>
      </c>
      <c r="H2583" s="48">
        <f>[1]!BexGetData("DP_2","DL719O2RYNGN1RZRS91K7M4TV","17","O","22013062O102","2067143011")</f>
        <v>6977.75</v>
      </c>
      <c r="I2583" s="48">
        <f>[1]!BexGetData("DP_2","DL719O2RYNIY3MZ1QVCEEWBN7","17","O","22013062O102","2067143011")</f>
        <v>0</v>
      </c>
    </row>
    <row r="2584" spans="1:9" x14ac:dyDescent="0.2">
      <c r="A2584" s="46" t="s">
        <v>32</v>
      </c>
      <c r="B2584" s="46" t="s">
        <v>32</v>
      </c>
      <c r="C2584" s="46" t="s">
        <v>32</v>
      </c>
      <c r="D2584" s="46" t="s">
        <v>32</v>
      </c>
      <c r="E2584" s="46" t="s">
        <v>32</v>
      </c>
      <c r="F2584" s="47">
        <f>[1]!BexGetData("DP_2","DL719O2RYNC0Y217V0FVT1R77","17","O","22013062O102","2067151011")</f>
        <v>34065.24</v>
      </c>
      <c r="G2584" s="48">
        <f>[1]!BexGetData("DP_2","DL719O2RYNEBZX0HTMQQ0BY0J","17","O","22013062O102","2067151011")</f>
        <v>34065.24</v>
      </c>
      <c r="H2584" s="48">
        <f>[1]!BexGetData("DP_2","DL719O2RYNGN1RZRS91K7M4TV","17","O","22013062O102","2067151011")</f>
        <v>34065.24</v>
      </c>
      <c r="I2584" s="48">
        <f>[1]!BexGetData("DP_2","DL719O2RYNIY3MZ1QVCEEWBN7","17","O","22013062O102","2067151011")</f>
        <v>0</v>
      </c>
    </row>
    <row r="2585" spans="1:9" x14ac:dyDescent="0.2">
      <c r="A2585" s="46" t="s">
        <v>32</v>
      </c>
      <c r="B2585" s="46" t="s">
        <v>32</v>
      </c>
      <c r="C2585" s="46" t="s">
        <v>32</v>
      </c>
      <c r="D2585" s="46" t="s">
        <v>32</v>
      </c>
      <c r="E2585" s="46" t="s">
        <v>32</v>
      </c>
      <c r="F2585" s="47">
        <f>[1]!BexGetData("DP_2","DL719O2RYNC0Y217V0FVT1R77","17","O","22013062O102","2067154011")</f>
        <v>80895.62</v>
      </c>
      <c r="G2585" s="48">
        <f>[1]!BexGetData("DP_2","DL719O2RYNEBZX0HTMQQ0BY0J","17","O","22013062O102","2067154011")</f>
        <v>80895.62</v>
      </c>
      <c r="H2585" s="48">
        <f>[1]!BexGetData("DP_2","DL719O2RYNGN1RZRS91K7M4TV","17","O","22013062O102","2067154011")</f>
        <v>80895.62</v>
      </c>
      <c r="I2585" s="48">
        <f>[1]!BexGetData("DP_2","DL719O2RYNIY3MZ1QVCEEWBN7","17","O","22013062O102","2067154011")</f>
        <v>0</v>
      </c>
    </row>
    <row r="2586" spans="1:9" x14ac:dyDescent="0.2">
      <c r="A2586" s="46" t="s">
        <v>32</v>
      </c>
      <c r="B2586" s="46" t="s">
        <v>32</v>
      </c>
      <c r="C2586" s="46" t="s">
        <v>32</v>
      </c>
      <c r="D2586" s="46" t="s">
        <v>32</v>
      </c>
      <c r="E2586" s="46" t="s">
        <v>32</v>
      </c>
      <c r="F2586" s="47">
        <f>[1]!BexGetData("DP_2","DL719O2RYNC0Y217V0FVT1R77","17","O","22013062O102","2067211011")</f>
        <v>43635.45</v>
      </c>
      <c r="G2586" s="48">
        <f>[1]!BexGetData("DP_2","DL719O2RYNEBZX0HTMQQ0BY0J","17","O","22013062O102","2067211011")</f>
        <v>43635.45</v>
      </c>
      <c r="H2586" s="48">
        <f>[1]!BexGetData("DP_2","DL719O2RYNGN1RZRS91K7M4TV","17","O","22013062O102","2067211011")</f>
        <v>43635.45</v>
      </c>
      <c r="I2586" s="48">
        <f>[1]!BexGetData("DP_2","DL719O2RYNIY3MZ1QVCEEWBN7","17","O","22013062O102","2067211011")</f>
        <v>0</v>
      </c>
    </row>
    <row r="2587" spans="1:9" x14ac:dyDescent="0.2">
      <c r="A2587" s="46" t="s">
        <v>32</v>
      </c>
      <c r="B2587" s="46" t="s">
        <v>32</v>
      </c>
      <c r="C2587" s="46" t="s">
        <v>32</v>
      </c>
      <c r="D2587" s="46" t="s">
        <v>32</v>
      </c>
      <c r="E2587" s="46" t="s">
        <v>32</v>
      </c>
      <c r="F2587" s="47">
        <f>[1]!BexGetData("DP_2","DL719O2RYNC0Y217V0FVT1R77","17","O","22013062O102","2067211021")</f>
        <v>11482.26</v>
      </c>
      <c r="G2587" s="48">
        <f>[1]!BexGetData("DP_2","DL719O2RYNEBZX0HTMQQ0BY0J","17","O","22013062O102","2067211021")</f>
        <v>11482.26</v>
      </c>
      <c r="H2587" s="48">
        <f>[1]!BexGetData("DP_2","DL719O2RYNGN1RZRS91K7M4TV","17","O","22013062O102","2067211021")</f>
        <v>11482.26</v>
      </c>
      <c r="I2587" s="48">
        <f>[1]!BexGetData("DP_2","DL719O2RYNIY3MZ1QVCEEWBN7","17","O","22013062O102","2067211021")</f>
        <v>0</v>
      </c>
    </row>
    <row r="2588" spans="1:9" x14ac:dyDescent="0.2">
      <c r="A2588" s="46" t="s">
        <v>32</v>
      </c>
      <c r="B2588" s="46" t="s">
        <v>32</v>
      </c>
      <c r="C2588" s="46" t="s">
        <v>32</v>
      </c>
      <c r="D2588" s="46" t="s">
        <v>32</v>
      </c>
      <c r="E2588" s="46" t="s">
        <v>32</v>
      </c>
      <c r="F2588" s="47">
        <f>[1]!BexGetData("DP_2","DL719O2RYNC0Y217V0FVT1R77","17","O","22013062O102","2067214011")</f>
        <v>13795.15</v>
      </c>
      <c r="G2588" s="48">
        <f>[1]!BexGetData("DP_2","DL719O2RYNEBZX0HTMQQ0BY0J","17","O","22013062O102","2067214011")</f>
        <v>13795.15</v>
      </c>
      <c r="H2588" s="48">
        <f>[1]!BexGetData("DP_2","DL719O2RYNGN1RZRS91K7M4TV","17","O","22013062O102","2067214011")</f>
        <v>13795.15</v>
      </c>
      <c r="I2588" s="48">
        <f>[1]!BexGetData("DP_2","DL719O2RYNIY3MZ1QVCEEWBN7","17","O","22013062O102","2067214011")</f>
        <v>0</v>
      </c>
    </row>
    <row r="2589" spans="1:9" x14ac:dyDescent="0.2">
      <c r="A2589" s="46" t="s">
        <v>32</v>
      </c>
      <c r="B2589" s="46" t="s">
        <v>32</v>
      </c>
      <c r="C2589" s="46" t="s">
        <v>32</v>
      </c>
      <c r="D2589" s="46" t="s">
        <v>32</v>
      </c>
      <c r="E2589" s="46" t="s">
        <v>32</v>
      </c>
      <c r="F2589" s="47">
        <f>[1]!BexGetData("DP_2","DL719O2RYNC0Y217V0FVT1R77","17","O","22013062O102","2067214021")</f>
        <v>119.12</v>
      </c>
      <c r="G2589" s="48">
        <f>[1]!BexGetData("DP_2","DL719O2RYNEBZX0HTMQQ0BY0J","17","O","22013062O102","2067214021")</f>
        <v>119.12</v>
      </c>
      <c r="H2589" s="48">
        <f>[1]!BexGetData("DP_2","DL719O2RYNGN1RZRS91K7M4TV","17","O","22013062O102","2067214021")</f>
        <v>119.12</v>
      </c>
      <c r="I2589" s="48">
        <f>[1]!BexGetData("DP_2","DL719O2RYNIY3MZ1QVCEEWBN7","17","O","22013062O102","2067214021")</f>
        <v>0</v>
      </c>
    </row>
    <row r="2590" spans="1:9" x14ac:dyDescent="0.2">
      <c r="A2590" s="46" t="s">
        <v>32</v>
      </c>
      <c r="B2590" s="46" t="s">
        <v>32</v>
      </c>
      <c r="C2590" s="46" t="s">
        <v>32</v>
      </c>
      <c r="D2590" s="46" t="s">
        <v>32</v>
      </c>
      <c r="E2590" s="46" t="s">
        <v>32</v>
      </c>
      <c r="F2590" s="47">
        <f>[1]!BexGetData("DP_2","DL719O2RYNC0Y217V0FVT1R77","17","O","22013062O102","2067216011")</f>
        <v>62913.41</v>
      </c>
      <c r="G2590" s="48">
        <f>[1]!BexGetData("DP_2","DL719O2RYNEBZX0HTMQQ0BY0J","17","O","22013062O102","2067216011")</f>
        <v>62913.41</v>
      </c>
      <c r="H2590" s="48">
        <f>[1]!BexGetData("DP_2","DL719O2RYNGN1RZRS91K7M4TV","17","O","22013062O102","2067216011")</f>
        <v>62913.41</v>
      </c>
      <c r="I2590" s="48">
        <f>[1]!BexGetData("DP_2","DL719O2RYNIY3MZ1QVCEEWBN7","17","O","22013062O102","2067216011")</f>
        <v>0</v>
      </c>
    </row>
    <row r="2591" spans="1:9" x14ac:dyDescent="0.2">
      <c r="A2591" s="46" t="s">
        <v>32</v>
      </c>
      <c r="B2591" s="46" t="s">
        <v>32</v>
      </c>
      <c r="C2591" s="46" t="s">
        <v>32</v>
      </c>
      <c r="D2591" s="46" t="s">
        <v>32</v>
      </c>
      <c r="E2591" s="46" t="s">
        <v>32</v>
      </c>
      <c r="F2591" s="47">
        <f>[1]!BexGetData("DP_2","DL719O2RYNC0Y217V0FVT1R77","17","O","22013062O102","2067221011")</f>
        <v>18888.400000000001</v>
      </c>
      <c r="G2591" s="48">
        <f>[1]!BexGetData("DP_2","DL719O2RYNEBZX0HTMQQ0BY0J","17","O","22013062O102","2067221011")</f>
        <v>18888.400000000001</v>
      </c>
      <c r="H2591" s="48">
        <f>[1]!BexGetData("DP_2","DL719O2RYNGN1RZRS91K7M4TV","17","O","22013062O102","2067221011")</f>
        <v>18888.400000000001</v>
      </c>
      <c r="I2591" s="48">
        <f>[1]!BexGetData("DP_2","DL719O2RYNIY3MZ1QVCEEWBN7","17","O","22013062O102","2067221011")</f>
        <v>0</v>
      </c>
    </row>
    <row r="2592" spans="1:9" x14ac:dyDescent="0.2">
      <c r="A2592" s="46" t="s">
        <v>32</v>
      </c>
      <c r="B2592" s="46" t="s">
        <v>32</v>
      </c>
      <c r="C2592" s="46" t="s">
        <v>32</v>
      </c>
      <c r="D2592" s="46" t="s">
        <v>32</v>
      </c>
      <c r="E2592" s="46" t="s">
        <v>32</v>
      </c>
      <c r="F2592" s="47">
        <f>[1]!BexGetData("DP_2","DL719O2RYNC0Y217V0FVT1R77","17","O","22013062O102","2067221021")</f>
        <v>10700</v>
      </c>
      <c r="G2592" s="48">
        <f>[1]!BexGetData("DP_2","DL719O2RYNEBZX0HTMQQ0BY0J","17","O","22013062O102","2067221021")</f>
        <v>10700</v>
      </c>
      <c r="H2592" s="48">
        <f>[1]!BexGetData("DP_2","DL719O2RYNGN1RZRS91K7M4TV","17","O","22013062O102","2067221021")</f>
        <v>10700</v>
      </c>
      <c r="I2592" s="48">
        <f>[1]!BexGetData("DP_2","DL719O2RYNIY3MZ1QVCEEWBN7","17","O","22013062O102","2067221021")</f>
        <v>0</v>
      </c>
    </row>
    <row r="2593" spans="1:9" x14ac:dyDescent="0.2">
      <c r="A2593" s="46" t="s">
        <v>32</v>
      </c>
      <c r="B2593" s="46" t="s">
        <v>32</v>
      </c>
      <c r="C2593" s="46" t="s">
        <v>32</v>
      </c>
      <c r="D2593" s="46" t="s">
        <v>32</v>
      </c>
      <c r="E2593" s="46" t="s">
        <v>32</v>
      </c>
      <c r="F2593" s="47">
        <f>[1]!BexGetData("DP_2","DL719O2RYNC0Y217V0FVT1R77","17","O","22013062O102","2067249011")</f>
        <v>530</v>
      </c>
      <c r="G2593" s="48">
        <f>[1]!BexGetData("DP_2","DL719O2RYNEBZX0HTMQQ0BY0J","17","O","22013062O102","2067249011")</f>
        <v>530</v>
      </c>
      <c r="H2593" s="48">
        <f>[1]!BexGetData("DP_2","DL719O2RYNGN1RZRS91K7M4TV","17","O","22013062O102","2067249011")</f>
        <v>530</v>
      </c>
      <c r="I2593" s="48">
        <f>[1]!BexGetData("DP_2","DL719O2RYNIY3MZ1QVCEEWBN7","17","O","22013062O102","2067249011")</f>
        <v>0</v>
      </c>
    </row>
    <row r="2594" spans="1:9" x14ac:dyDescent="0.2">
      <c r="A2594" s="46" t="s">
        <v>32</v>
      </c>
      <c r="B2594" s="46" t="s">
        <v>32</v>
      </c>
      <c r="C2594" s="46" t="s">
        <v>32</v>
      </c>
      <c r="D2594" s="46" t="s">
        <v>32</v>
      </c>
      <c r="E2594" s="46" t="s">
        <v>32</v>
      </c>
      <c r="F2594" s="47">
        <f>[1]!BexGetData("DP_2","DL719O2RYNC0Y217V0FVT1R77","17","O","22013062O102","2067311011")</f>
        <v>7085.72</v>
      </c>
      <c r="G2594" s="48">
        <f>[1]!BexGetData("DP_2","DL719O2RYNEBZX0HTMQQ0BY0J","17","O","22013062O102","2067311011")</f>
        <v>7085.72</v>
      </c>
      <c r="H2594" s="48">
        <f>[1]!BexGetData("DP_2","DL719O2RYNGN1RZRS91K7M4TV","17","O","22013062O102","2067311011")</f>
        <v>7085.72</v>
      </c>
      <c r="I2594" s="48">
        <f>[1]!BexGetData("DP_2","DL719O2RYNIY3MZ1QVCEEWBN7","17","O","22013062O102","2067311011")</f>
        <v>0</v>
      </c>
    </row>
    <row r="2595" spans="1:9" x14ac:dyDescent="0.2">
      <c r="A2595" s="46" t="s">
        <v>32</v>
      </c>
      <c r="B2595" s="46" t="s">
        <v>32</v>
      </c>
      <c r="C2595" s="46" t="s">
        <v>32</v>
      </c>
      <c r="D2595" s="46" t="s">
        <v>32</v>
      </c>
      <c r="E2595" s="46" t="s">
        <v>32</v>
      </c>
      <c r="F2595" s="47">
        <f>[1]!BexGetData("DP_2","DL719O2RYNC0Y217V0FVT1R77","17","O","22013062O102","2067313011")</f>
        <v>3640</v>
      </c>
      <c r="G2595" s="48">
        <f>[1]!BexGetData("DP_2","DL719O2RYNEBZX0HTMQQ0BY0J","17","O","22013062O102","2067313011")</f>
        <v>3640</v>
      </c>
      <c r="H2595" s="48">
        <f>[1]!BexGetData("DP_2","DL719O2RYNGN1RZRS91K7M4TV","17","O","22013062O102","2067313011")</f>
        <v>3640</v>
      </c>
      <c r="I2595" s="48">
        <f>[1]!BexGetData("DP_2","DL719O2RYNIY3MZ1QVCEEWBN7","17","O","22013062O102","2067313011")</f>
        <v>0</v>
      </c>
    </row>
    <row r="2596" spans="1:9" x14ac:dyDescent="0.2">
      <c r="A2596" s="46" t="s">
        <v>32</v>
      </c>
      <c r="B2596" s="46" t="s">
        <v>32</v>
      </c>
      <c r="C2596" s="46" t="s">
        <v>32</v>
      </c>
      <c r="D2596" s="46" t="s">
        <v>32</v>
      </c>
      <c r="E2596" s="46" t="s">
        <v>32</v>
      </c>
      <c r="F2596" s="47">
        <f>[1]!BexGetData("DP_2","DL719O2RYNC0Y217V0FVT1R77","17","O","22013062O102","2067314011")</f>
        <v>8525.11</v>
      </c>
      <c r="G2596" s="48">
        <f>[1]!BexGetData("DP_2","DL719O2RYNEBZX0HTMQQ0BY0J","17","O","22013062O102","2067314011")</f>
        <v>8525.11</v>
      </c>
      <c r="H2596" s="48">
        <f>[1]!BexGetData("DP_2","DL719O2RYNGN1RZRS91K7M4TV","17","O","22013062O102","2067314011")</f>
        <v>8525.11</v>
      </c>
      <c r="I2596" s="48">
        <f>[1]!BexGetData("DP_2","DL719O2RYNIY3MZ1QVCEEWBN7","17","O","22013062O102","2067314011")</f>
        <v>0</v>
      </c>
    </row>
    <row r="2597" spans="1:9" x14ac:dyDescent="0.2">
      <c r="A2597" s="46" t="s">
        <v>32</v>
      </c>
      <c r="B2597" s="46" t="s">
        <v>32</v>
      </c>
      <c r="C2597" s="46" t="s">
        <v>32</v>
      </c>
      <c r="D2597" s="46" t="s">
        <v>32</v>
      </c>
      <c r="E2597" s="46" t="s">
        <v>32</v>
      </c>
      <c r="F2597" s="47">
        <f>[1]!BexGetData("DP_2","DL719O2RYNC0Y217V0FVT1R77","17","O","22013062O102","2067322011")</f>
        <v>316680</v>
      </c>
      <c r="G2597" s="48">
        <f>[1]!BexGetData("DP_2","DL719O2RYNEBZX0HTMQQ0BY0J","17","O","22013062O102","2067322011")</f>
        <v>316680</v>
      </c>
      <c r="H2597" s="48">
        <f>[1]!BexGetData("DP_2","DL719O2RYNGN1RZRS91K7M4TV","17","O","22013062O102","2067322011")</f>
        <v>305080</v>
      </c>
      <c r="I2597" s="48">
        <f>[1]!BexGetData("DP_2","DL719O2RYNIY3MZ1QVCEEWBN7","17","O","22013062O102","2067322011")</f>
        <v>0</v>
      </c>
    </row>
    <row r="2598" spans="1:9" x14ac:dyDescent="0.2">
      <c r="A2598" s="46" t="s">
        <v>32</v>
      </c>
      <c r="B2598" s="46" t="s">
        <v>32</v>
      </c>
      <c r="C2598" s="46" t="s">
        <v>32</v>
      </c>
      <c r="D2598" s="46" t="s">
        <v>32</v>
      </c>
      <c r="E2598" s="46" t="s">
        <v>32</v>
      </c>
      <c r="F2598" s="47">
        <f>[1]!BexGetData("DP_2","DL719O2RYNC0Y217V0FVT1R77","17","O","22013062O102","2067329011")</f>
        <v>705.28</v>
      </c>
      <c r="G2598" s="48">
        <f>[1]!BexGetData("DP_2","DL719O2RYNEBZX0HTMQQ0BY0J","17","O","22013062O102","2067329011")</f>
        <v>705.28</v>
      </c>
      <c r="H2598" s="48">
        <f>[1]!BexGetData("DP_2","DL719O2RYNGN1RZRS91K7M4TV","17","O","22013062O102","2067329011")</f>
        <v>705.28</v>
      </c>
      <c r="I2598" s="48">
        <f>[1]!BexGetData("DP_2","DL719O2RYNIY3MZ1QVCEEWBN7","17","O","22013062O102","2067329011")</f>
        <v>0</v>
      </c>
    </row>
    <row r="2599" spans="1:9" x14ac:dyDescent="0.2">
      <c r="A2599" s="46" t="s">
        <v>32</v>
      </c>
      <c r="B2599" s="46" t="s">
        <v>32</v>
      </c>
      <c r="C2599" s="46" t="s">
        <v>32</v>
      </c>
      <c r="D2599" s="46" t="s">
        <v>32</v>
      </c>
      <c r="E2599" s="46" t="s">
        <v>32</v>
      </c>
      <c r="F2599" s="47">
        <f>[1]!BexGetData("DP_2","DL719O2RYNC0Y217V0FVT1R77","17","O","22013062O102","2067336011")</f>
        <v>9891.0300000000007</v>
      </c>
      <c r="G2599" s="48">
        <f>[1]!BexGetData("DP_2","DL719O2RYNEBZX0HTMQQ0BY0J","17","O","22013062O102","2067336011")</f>
        <v>9891.0300000000007</v>
      </c>
      <c r="H2599" s="48">
        <f>[1]!BexGetData("DP_2","DL719O2RYNGN1RZRS91K7M4TV","17","O","22013062O102","2067336011")</f>
        <v>7571.03</v>
      </c>
      <c r="I2599" s="48">
        <f>[1]!BexGetData("DP_2","DL719O2RYNIY3MZ1QVCEEWBN7","17","O","22013062O102","2067336011")</f>
        <v>0</v>
      </c>
    </row>
    <row r="2600" spans="1:9" x14ac:dyDescent="0.2">
      <c r="A2600" s="46" t="s">
        <v>32</v>
      </c>
      <c r="B2600" s="46" t="s">
        <v>32</v>
      </c>
      <c r="C2600" s="46" t="s">
        <v>146</v>
      </c>
      <c r="D2600" s="46" t="s">
        <v>146</v>
      </c>
      <c r="E2600" s="46" t="s">
        <v>32</v>
      </c>
      <c r="F2600" s="47">
        <f>[1]!BexGetData("DP_2","DL719O2RYNC0Y217V0FVT1R77","17","O","38045011O101","2067113011")</f>
        <v>0</v>
      </c>
      <c r="G2600" s="48">
        <f>[1]!BexGetData("DP_2","DL719O2RYNEBZX0HTMQQ0BY0J","17","O","38045011O101","2067113011")</f>
        <v>0</v>
      </c>
      <c r="H2600" s="48">
        <f>[1]!BexGetData("DP_2","DL719O2RYNGN1RZRS91K7M4TV","17","O","38045011O101","2067113011")</f>
        <v>0</v>
      </c>
      <c r="I2600" s="48">
        <f>[1]!BexGetData("DP_2","DL719O2RYNIY3MZ1QVCEEWBN7","17","O","38045011O101","2067113011")</f>
        <v>0</v>
      </c>
    </row>
    <row r="2601" spans="1:9" x14ac:dyDescent="0.2">
      <c r="A2601" s="46" t="s">
        <v>32</v>
      </c>
      <c r="B2601" s="46" t="s">
        <v>32</v>
      </c>
      <c r="C2601" s="46" t="s">
        <v>32</v>
      </c>
      <c r="D2601" s="46" t="s">
        <v>32</v>
      </c>
      <c r="E2601" s="46" t="s">
        <v>32</v>
      </c>
      <c r="F2601" s="47">
        <f>[1]!BexGetData("DP_2","DL719O2RYNC0Y217V0FVT1R77","17","O","38045011O101","2067113021")</f>
        <v>283216.11</v>
      </c>
      <c r="G2601" s="48">
        <f>[1]!BexGetData("DP_2","DL719O2RYNEBZX0HTMQQ0BY0J","17","O","38045011O101","2067113021")</f>
        <v>283216.11</v>
      </c>
      <c r="H2601" s="48">
        <f>[1]!BexGetData("DP_2","DL719O2RYNGN1RZRS91K7M4TV","17","O","38045011O101","2067113021")</f>
        <v>283216.11</v>
      </c>
      <c r="I2601" s="48">
        <f>[1]!BexGetData("DP_2","DL719O2RYNIY3MZ1QVCEEWBN7","17","O","38045011O101","2067113021")</f>
        <v>0</v>
      </c>
    </row>
    <row r="2602" spans="1:9" x14ac:dyDescent="0.2">
      <c r="A2602" s="46" t="s">
        <v>32</v>
      </c>
      <c r="B2602" s="46" t="s">
        <v>32</v>
      </c>
      <c r="C2602" s="46" t="s">
        <v>32</v>
      </c>
      <c r="D2602" s="46" t="s">
        <v>32</v>
      </c>
      <c r="E2602" s="46" t="s">
        <v>32</v>
      </c>
      <c r="F2602" s="47">
        <f>[1]!BexGetData("DP_2","DL719O2RYNC0Y217V0FVT1R77","17","O","38045011O101","2067122011")</f>
        <v>0</v>
      </c>
      <c r="G2602" s="48">
        <f>[1]!BexGetData("DP_2","DL719O2RYNEBZX0HTMQQ0BY0J","17","O","38045011O101","2067122011")</f>
        <v>0</v>
      </c>
      <c r="H2602" s="48">
        <f>[1]!BexGetData("DP_2","DL719O2RYNGN1RZRS91K7M4TV","17","O","38045011O101","2067122011")</f>
        <v>0</v>
      </c>
      <c r="I2602" s="48">
        <f>[1]!BexGetData("DP_2","DL719O2RYNIY3MZ1QVCEEWBN7","17","O","38045011O101","2067122011")</f>
        <v>0</v>
      </c>
    </row>
    <row r="2603" spans="1:9" x14ac:dyDescent="0.2">
      <c r="A2603" s="46" t="s">
        <v>32</v>
      </c>
      <c r="B2603" s="46" t="s">
        <v>32</v>
      </c>
      <c r="C2603" s="46" t="s">
        <v>32</v>
      </c>
      <c r="D2603" s="46" t="s">
        <v>32</v>
      </c>
      <c r="E2603" s="46" t="s">
        <v>32</v>
      </c>
      <c r="F2603" s="47">
        <f>[1]!BexGetData("DP_2","DL719O2RYNC0Y217V0FVT1R77","17","O","38045011O101","2067131011")</f>
        <v>0</v>
      </c>
      <c r="G2603" s="48">
        <f>[1]!BexGetData("DP_2","DL719O2RYNEBZX0HTMQQ0BY0J","17","O","38045011O101","2067131011")</f>
        <v>0</v>
      </c>
      <c r="H2603" s="48">
        <f>[1]!BexGetData("DP_2","DL719O2RYNGN1RZRS91K7M4TV","17","O","38045011O101","2067131011")</f>
        <v>0</v>
      </c>
      <c r="I2603" s="48">
        <f>[1]!BexGetData("DP_2","DL719O2RYNIY3MZ1QVCEEWBN7","17","O","38045011O101","2067131011")</f>
        <v>0</v>
      </c>
    </row>
    <row r="2604" spans="1:9" x14ac:dyDescent="0.2">
      <c r="A2604" s="46" t="s">
        <v>32</v>
      </c>
      <c r="B2604" s="46" t="s">
        <v>32</v>
      </c>
      <c r="C2604" s="46" t="s">
        <v>32</v>
      </c>
      <c r="D2604" s="46" t="s">
        <v>32</v>
      </c>
      <c r="E2604" s="46" t="s">
        <v>32</v>
      </c>
      <c r="F2604" s="47">
        <f>[1]!BexGetData("DP_2","DL719O2RYNC0Y217V0FVT1R77","17","O","38045011O101","2067131021")</f>
        <v>3089.28</v>
      </c>
      <c r="G2604" s="48">
        <f>[1]!BexGetData("DP_2","DL719O2RYNEBZX0HTMQQ0BY0J","17","O","38045011O101","2067131021")</f>
        <v>3089.28</v>
      </c>
      <c r="H2604" s="48">
        <f>[1]!BexGetData("DP_2","DL719O2RYNGN1RZRS91K7M4TV","17","O","38045011O101","2067131021")</f>
        <v>3089.28</v>
      </c>
      <c r="I2604" s="48">
        <f>[1]!BexGetData("DP_2","DL719O2RYNIY3MZ1QVCEEWBN7","17","O","38045011O101","2067131021")</f>
        <v>0</v>
      </c>
    </row>
    <row r="2605" spans="1:9" x14ac:dyDescent="0.2">
      <c r="A2605" s="46" t="s">
        <v>32</v>
      </c>
      <c r="B2605" s="46" t="s">
        <v>32</v>
      </c>
      <c r="C2605" s="46" t="s">
        <v>32</v>
      </c>
      <c r="D2605" s="46" t="s">
        <v>32</v>
      </c>
      <c r="E2605" s="46" t="s">
        <v>32</v>
      </c>
      <c r="F2605" s="47">
        <f>[1]!BexGetData("DP_2","DL719O2RYNC0Y217V0FVT1R77","17","O","38045011O101","2067132011")</f>
        <v>8963.7000000000007</v>
      </c>
      <c r="G2605" s="48">
        <f>[1]!BexGetData("DP_2","DL719O2RYNEBZX0HTMQQ0BY0J","17","O","38045011O101","2067132011")</f>
        <v>8963.7000000000007</v>
      </c>
      <c r="H2605" s="48">
        <f>[1]!BexGetData("DP_2","DL719O2RYNGN1RZRS91K7M4TV","17","O","38045011O101","2067132011")</f>
        <v>8963.7000000000007</v>
      </c>
      <c r="I2605" s="48">
        <f>[1]!BexGetData("DP_2","DL719O2RYNIY3MZ1QVCEEWBN7","17","O","38045011O101","2067132011")</f>
        <v>0</v>
      </c>
    </row>
    <row r="2606" spans="1:9" x14ac:dyDescent="0.2">
      <c r="A2606" s="46" t="s">
        <v>32</v>
      </c>
      <c r="B2606" s="46" t="s">
        <v>32</v>
      </c>
      <c r="C2606" s="46" t="s">
        <v>32</v>
      </c>
      <c r="D2606" s="46" t="s">
        <v>32</v>
      </c>
      <c r="E2606" s="46" t="s">
        <v>32</v>
      </c>
      <c r="F2606" s="47">
        <f>[1]!BexGetData("DP_2","DL719O2RYNC0Y217V0FVT1R77","17","O","38045011O101","2067132021")</f>
        <v>59011.5</v>
      </c>
      <c r="G2606" s="48">
        <f>[1]!BexGetData("DP_2","DL719O2RYNEBZX0HTMQQ0BY0J","17","O","38045011O101","2067132021")</f>
        <v>59011.5</v>
      </c>
      <c r="H2606" s="48">
        <f>[1]!BexGetData("DP_2","DL719O2RYNGN1RZRS91K7M4TV","17","O","38045011O101","2067132021")</f>
        <v>59011.5</v>
      </c>
      <c r="I2606" s="48">
        <f>[1]!BexGetData("DP_2","DL719O2RYNIY3MZ1QVCEEWBN7","17","O","38045011O101","2067132021")</f>
        <v>0</v>
      </c>
    </row>
    <row r="2607" spans="1:9" x14ac:dyDescent="0.2">
      <c r="A2607" s="46" t="s">
        <v>32</v>
      </c>
      <c r="B2607" s="46" t="s">
        <v>32</v>
      </c>
      <c r="C2607" s="46" t="s">
        <v>32</v>
      </c>
      <c r="D2607" s="46" t="s">
        <v>32</v>
      </c>
      <c r="E2607" s="46" t="s">
        <v>32</v>
      </c>
      <c r="F2607" s="47">
        <f>[1]!BexGetData("DP_2","DL719O2RYNC0Y217V0FVT1R77","17","O","38045011O101","2067134011")</f>
        <v>930400.15</v>
      </c>
      <c r="G2607" s="48">
        <f>[1]!BexGetData("DP_2","DL719O2RYNEBZX0HTMQQ0BY0J","17","O","38045011O101","2067134011")</f>
        <v>930400.15</v>
      </c>
      <c r="H2607" s="48">
        <f>[1]!BexGetData("DP_2","DL719O2RYNGN1RZRS91K7M4TV","17","O","38045011O101","2067134011")</f>
        <v>944573.95</v>
      </c>
      <c r="I2607" s="48">
        <f>[1]!BexGetData("DP_2","DL719O2RYNIY3MZ1QVCEEWBN7","17","O","38045011O101","2067134011")</f>
        <v>0</v>
      </c>
    </row>
    <row r="2608" spans="1:9" x14ac:dyDescent="0.2">
      <c r="A2608" s="46" t="s">
        <v>32</v>
      </c>
      <c r="B2608" s="46" t="s">
        <v>32</v>
      </c>
      <c r="C2608" s="46" t="s">
        <v>32</v>
      </c>
      <c r="D2608" s="46" t="s">
        <v>32</v>
      </c>
      <c r="E2608" s="46" t="s">
        <v>32</v>
      </c>
      <c r="F2608" s="47">
        <f>[1]!BexGetData("DP_2","DL719O2RYNC0Y217V0FVT1R77","17","O","38045011O101","2067134021")</f>
        <v>651374.71</v>
      </c>
      <c r="G2608" s="48">
        <f>[1]!BexGetData("DP_2","DL719O2RYNEBZX0HTMQQ0BY0J","17","O","38045011O101","2067134021")</f>
        <v>651374.71</v>
      </c>
      <c r="H2608" s="48">
        <f>[1]!BexGetData("DP_2","DL719O2RYNGN1RZRS91K7M4TV","17","O","38045011O101","2067134021")</f>
        <v>651374.71</v>
      </c>
      <c r="I2608" s="48">
        <f>[1]!BexGetData("DP_2","DL719O2RYNIY3MZ1QVCEEWBN7","17","O","38045011O101","2067134021")</f>
        <v>0</v>
      </c>
    </row>
    <row r="2609" spans="1:9" x14ac:dyDescent="0.2">
      <c r="A2609" s="46" t="s">
        <v>32</v>
      </c>
      <c r="B2609" s="46" t="s">
        <v>32</v>
      </c>
      <c r="C2609" s="46" t="s">
        <v>32</v>
      </c>
      <c r="D2609" s="46" t="s">
        <v>32</v>
      </c>
      <c r="E2609" s="46" t="s">
        <v>32</v>
      </c>
      <c r="F2609" s="47">
        <f>[1]!BexGetData("DP_2","DL719O2RYNC0Y217V0FVT1R77","17","O","38045011O101","2067141011")</f>
        <v>50295.42</v>
      </c>
      <c r="G2609" s="48">
        <f>[1]!BexGetData("DP_2","DL719O2RYNEBZX0HTMQQ0BY0J","17","O","38045011O101","2067141011")</f>
        <v>50295.42</v>
      </c>
      <c r="H2609" s="48">
        <f>[1]!BexGetData("DP_2","DL719O2RYNGN1RZRS91K7M4TV","17","O","38045011O101","2067141011")</f>
        <v>50295.42</v>
      </c>
      <c r="I2609" s="48">
        <f>[1]!BexGetData("DP_2","DL719O2RYNIY3MZ1QVCEEWBN7","17","O","38045011O101","2067141011")</f>
        <v>0</v>
      </c>
    </row>
    <row r="2610" spans="1:9" x14ac:dyDescent="0.2">
      <c r="A2610" s="46" t="s">
        <v>32</v>
      </c>
      <c r="B2610" s="46" t="s">
        <v>32</v>
      </c>
      <c r="C2610" s="46" t="s">
        <v>32</v>
      </c>
      <c r="D2610" s="46" t="s">
        <v>32</v>
      </c>
      <c r="E2610" s="46" t="s">
        <v>32</v>
      </c>
      <c r="F2610" s="47">
        <f>[1]!BexGetData("DP_2","DL719O2RYNC0Y217V0FVT1R77","17","O","38045011O101","2067141021")</f>
        <v>15876.73</v>
      </c>
      <c r="G2610" s="48">
        <f>[1]!BexGetData("DP_2","DL719O2RYNEBZX0HTMQQ0BY0J","17","O","38045011O101","2067141021")</f>
        <v>15876.73</v>
      </c>
      <c r="H2610" s="48">
        <f>[1]!BexGetData("DP_2","DL719O2RYNGN1RZRS91K7M4TV","17","O","38045011O101","2067141021")</f>
        <v>15876.73</v>
      </c>
      <c r="I2610" s="48">
        <f>[1]!BexGetData("DP_2","DL719O2RYNIY3MZ1QVCEEWBN7","17","O","38045011O101","2067141021")</f>
        <v>0</v>
      </c>
    </row>
    <row r="2611" spans="1:9" x14ac:dyDescent="0.2">
      <c r="A2611" s="46" t="s">
        <v>32</v>
      </c>
      <c r="B2611" s="46" t="s">
        <v>32</v>
      </c>
      <c r="C2611" s="46" t="s">
        <v>32</v>
      </c>
      <c r="D2611" s="46" t="s">
        <v>32</v>
      </c>
      <c r="E2611" s="46" t="s">
        <v>32</v>
      </c>
      <c r="F2611" s="47">
        <f>[1]!BexGetData("DP_2","DL719O2RYNC0Y217V0FVT1R77","17","O","38045011O101","2067143011")</f>
        <v>7427.68</v>
      </c>
      <c r="G2611" s="48">
        <f>[1]!BexGetData("DP_2","DL719O2RYNEBZX0HTMQQ0BY0J","17","O","38045011O101","2067143011")</f>
        <v>7427.68</v>
      </c>
      <c r="H2611" s="48">
        <f>[1]!BexGetData("DP_2","DL719O2RYNGN1RZRS91K7M4TV","17","O","38045011O101","2067143011")</f>
        <v>7427.68</v>
      </c>
      <c r="I2611" s="48">
        <f>[1]!BexGetData("DP_2","DL719O2RYNIY3MZ1QVCEEWBN7","17","O","38045011O101","2067143011")</f>
        <v>0</v>
      </c>
    </row>
    <row r="2612" spans="1:9" x14ac:dyDescent="0.2">
      <c r="A2612" s="46" t="s">
        <v>32</v>
      </c>
      <c r="B2612" s="46" t="s">
        <v>32</v>
      </c>
      <c r="C2612" s="46" t="s">
        <v>32</v>
      </c>
      <c r="D2612" s="46" t="s">
        <v>32</v>
      </c>
      <c r="E2612" s="46" t="s">
        <v>32</v>
      </c>
      <c r="F2612" s="47">
        <f>[1]!BexGetData("DP_2","DL719O2RYNC0Y217V0FVT1R77","17","O","38045011O101","2067151011")</f>
        <v>33989.160000000003</v>
      </c>
      <c r="G2612" s="48">
        <f>[1]!BexGetData("DP_2","DL719O2RYNEBZX0HTMQQ0BY0J","17","O","38045011O101","2067151011")</f>
        <v>33989.160000000003</v>
      </c>
      <c r="H2612" s="48">
        <f>[1]!BexGetData("DP_2","DL719O2RYNGN1RZRS91K7M4TV","17","O","38045011O101","2067151011")</f>
        <v>33989.160000000003</v>
      </c>
      <c r="I2612" s="48">
        <f>[1]!BexGetData("DP_2","DL719O2RYNIY3MZ1QVCEEWBN7","17","O","38045011O101","2067151011")</f>
        <v>0</v>
      </c>
    </row>
    <row r="2613" spans="1:9" x14ac:dyDescent="0.2">
      <c r="A2613" s="46" t="s">
        <v>32</v>
      </c>
      <c r="B2613" s="46" t="s">
        <v>32</v>
      </c>
      <c r="C2613" s="46" t="s">
        <v>32</v>
      </c>
      <c r="D2613" s="46" t="s">
        <v>32</v>
      </c>
      <c r="E2613" s="46" t="s">
        <v>32</v>
      </c>
      <c r="F2613" s="47">
        <f>[1]!BexGetData("DP_2","DL719O2RYNC0Y217V0FVT1R77","17","O","38045011O101","2067154011")</f>
        <v>62882.95</v>
      </c>
      <c r="G2613" s="48">
        <f>[1]!BexGetData("DP_2","DL719O2RYNEBZX0HTMQQ0BY0J","17","O","38045011O101","2067154011")</f>
        <v>62882.95</v>
      </c>
      <c r="H2613" s="48">
        <f>[1]!BexGetData("DP_2","DL719O2RYNGN1RZRS91K7M4TV","17","O","38045011O101","2067154011")</f>
        <v>62882.95</v>
      </c>
      <c r="I2613" s="48">
        <f>[1]!BexGetData("DP_2","DL719O2RYNIY3MZ1QVCEEWBN7","17","O","38045011O101","2067154011")</f>
        <v>0</v>
      </c>
    </row>
    <row r="2614" spans="1:9" x14ac:dyDescent="0.2">
      <c r="A2614" s="46" t="s">
        <v>32</v>
      </c>
      <c r="B2614" s="46" t="s">
        <v>32</v>
      </c>
      <c r="C2614" s="46" t="s">
        <v>32</v>
      </c>
      <c r="D2614" s="46" t="s">
        <v>32</v>
      </c>
      <c r="E2614" s="46" t="s">
        <v>32</v>
      </c>
      <c r="F2614" s="47">
        <f>[1]!BexGetData("DP_2","DL719O2RYNC0Y217V0FVT1R77","17","O","38045011O101","2067211011")</f>
        <v>11875.34</v>
      </c>
      <c r="G2614" s="48">
        <f>[1]!BexGetData("DP_2","DL719O2RYNEBZX0HTMQQ0BY0J","17","O","38045011O101","2067211011")</f>
        <v>11875.34</v>
      </c>
      <c r="H2614" s="48">
        <f>[1]!BexGetData("DP_2","DL719O2RYNGN1RZRS91K7M4TV","17","O","38045011O101","2067211011")</f>
        <v>11875.34</v>
      </c>
      <c r="I2614" s="48">
        <f>[1]!BexGetData("DP_2","DL719O2RYNIY3MZ1QVCEEWBN7","17","O","38045011O101","2067211011")</f>
        <v>0</v>
      </c>
    </row>
    <row r="2615" spans="1:9" x14ac:dyDescent="0.2">
      <c r="A2615" s="46" t="s">
        <v>32</v>
      </c>
      <c r="B2615" s="46" t="s">
        <v>32</v>
      </c>
      <c r="C2615" s="46" t="s">
        <v>32</v>
      </c>
      <c r="D2615" s="46" t="s">
        <v>32</v>
      </c>
      <c r="E2615" s="46" t="s">
        <v>32</v>
      </c>
      <c r="F2615" s="47">
        <f>[1]!BexGetData("DP_2","DL719O2RYNC0Y217V0FVT1R77","17","O","38045011O101","2067211021")</f>
        <v>10254.950000000001</v>
      </c>
      <c r="G2615" s="48">
        <f>[1]!BexGetData("DP_2","DL719O2RYNEBZX0HTMQQ0BY0J","17","O","38045011O101","2067211021")</f>
        <v>10254.950000000001</v>
      </c>
      <c r="H2615" s="48">
        <f>[1]!BexGetData("DP_2","DL719O2RYNGN1RZRS91K7M4TV","17","O","38045011O101","2067211021")</f>
        <v>10254.950000000001</v>
      </c>
      <c r="I2615" s="48">
        <f>[1]!BexGetData("DP_2","DL719O2RYNIY3MZ1QVCEEWBN7","17","O","38045011O101","2067211021")</f>
        <v>0</v>
      </c>
    </row>
    <row r="2616" spans="1:9" x14ac:dyDescent="0.2">
      <c r="A2616" s="46" t="s">
        <v>32</v>
      </c>
      <c r="B2616" s="46" t="s">
        <v>32</v>
      </c>
      <c r="C2616" s="46" t="s">
        <v>32</v>
      </c>
      <c r="D2616" s="46" t="s">
        <v>32</v>
      </c>
      <c r="E2616" s="46" t="s">
        <v>32</v>
      </c>
      <c r="F2616" s="47">
        <f>[1]!BexGetData("DP_2","DL719O2RYNC0Y217V0FVT1R77","17","O","38045011O101","2067212021")</f>
        <v>8914.5400000000009</v>
      </c>
      <c r="G2616" s="48">
        <f>[1]!BexGetData("DP_2","DL719O2RYNEBZX0HTMQQ0BY0J","17","O","38045011O101","2067212021")</f>
        <v>8914.5400000000009</v>
      </c>
      <c r="H2616" s="48">
        <f>[1]!BexGetData("DP_2","DL719O2RYNGN1RZRS91K7M4TV","17","O","38045011O101","2067212021")</f>
        <v>8914.5400000000009</v>
      </c>
      <c r="I2616" s="48">
        <f>[1]!BexGetData("DP_2","DL719O2RYNIY3MZ1QVCEEWBN7","17","O","38045011O101","2067212021")</f>
        <v>0</v>
      </c>
    </row>
    <row r="2617" spans="1:9" x14ac:dyDescent="0.2">
      <c r="A2617" s="46" t="s">
        <v>32</v>
      </c>
      <c r="B2617" s="46" t="s">
        <v>32</v>
      </c>
      <c r="C2617" s="46" t="s">
        <v>32</v>
      </c>
      <c r="D2617" s="46" t="s">
        <v>32</v>
      </c>
      <c r="E2617" s="46" t="s">
        <v>32</v>
      </c>
      <c r="F2617" s="47">
        <f>[1]!BexGetData("DP_2","DL719O2RYNC0Y217V0FVT1R77","17","O","38045011O101","2067214011")</f>
        <v>38161.68</v>
      </c>
      <c r="G2617" s="48">
        <f>[1]!BexGetData("DP_2","DL719O2RYNEBZX0HTMQQ0BY0J","17","O","38045011O101","2067214011")</f>
        <v>38161.68</v>
      </c>
      <c r="H2617" s="48">
        <f>[1]!BexGetData("DP_2","DL719O2RYNGN1RZRS91K7M4TV","17","O","38045011O101","2067214011")</f>
        <v>464</v>
      </c>
      <c r="I2617" s="48">
        <f>[1]!BexGetData("DP_2","DL719O2RYNIY3MZ1QVCEEWBN7","17","O","38045011O101","2067214011")</f>
        <v>0</v>
      </c>
    </row>
    <row r="2618" spans="1:9" x14ac:dyDescent="0.2">
      <c r="A2618" s="46" t="s">
        <v>32</v>
      </c>
      <c r="B2618" s="46" t="s">
        <v>32</v>
      </c>
      <c r="C2618" s="46" t="s">
        <v>32</v>
      </c>
      <c r="D2618" s="46" t="s">
        <v>32</v>
      </c>
      <c r="E2618" s="46" t="s">
        <v>32</v>
      </c>
      <c r="F2618" s="47">
        <f>[1]!BexGetData("DP_2","DL719O2RYNC0Y217V0FVT1R77","17","O","38045011O101","2067214021")</f>
        <v>0</v>
      </c>
      <c r="G2618" s="48">
        <f>[1]!BexGetData("DP_2","DL719O2RYNEBZX0HTMQQ0BY0J","17","O","38045011O101","2067214021")</f>
        <v>0</v>
      </c>
      <c r="H2618" s="48">
        <f>[1]!BexGetData("DP_2","DL719O2RYNGN1RZRS91K7M4TV","17","O","38045011O101","2067214021")</f>
        <v>0</v>
      </c>
      <c r="I2618" s="48">
        <f>[1]!BexGetData("DP_2","DL719O2RYNIY3MZ1QVCEEWBN7","17","O","38045011O101","2067214021")</f>
        <v>0</v>
      </c>
    </row>
    <row r="2619" spans="1:9" x14ac:dyDescent="0.2">
      <c r="A2619" s="46" t="s">
        <v>32</v>
      </c>
      <c r="B2619" s="46" t="s">
        <v>32</v>
      </c>
      <c r="C2619" s="46" t="s">
        <v>32</v>
      </c>
      <c r="D2619" s="46" t="s">
        <v>32</v>
      </c>
      <c r="E2619" s="46" t="s">
        <v>32</v>
      </c>
      <c r="F2619" s="47">
        <f>[1]!BexGetData("DP_2","DL719O2RYNC0Y217V0FVT1R77","17","O","38045011O101","2067214031")</f>
        <v>119.99</v>
      </c>
      <c r="G2619" s="48">
        <f>[1]!BexGetData("DP_2","DL719O2RYNEBZX0HTMQQ0BY0J","17","O","38045011O101","2067214031")</f>
        <v>119.99</v>
      </c>
      <c r="H2619" s="48">
        <f>[1]!BexGetData("DP_2","DL719O2RYNGN1RZRS91K7M4TV","17","O","38045011O101","2067214031")</f>
        <v>119.99</v>
      </c>
      <c r="I2619" s="48">
        <f>[1]!BexGetData("DP_2","DL719O2RYNIY3MZ1QVCEEWBN7","17","O","38045011O101","2067214031")</f>
        <v>0</v>
      </c>
    </row>
    <row r="2620" spans="1:9" x14ac:dyDescent="0.2">
      <c r="A2620" s="46" t="s">
        <v>32</v>
      </c>
      <c r="B2620" s="46" t="s">
        <v>32</v>
      </c>
      <c r="C2620" s="46" t="s">
        <v>32</v>
      </c>
      <c r="D2620" s="46" t="s">
        <v>32</v>
      </c>
      <c r="E2620" s="46" t="s">
        <v>32</v>
      </c>
      <c r="F2620" s="47">
        <f>[1]!BexGetData("DP_2","DL719O2RYNC0Y217V0FVT1R77","17","O","38045011O101","2067215021")</f>
        <v>0</v>
      </c>
      <c r="G2620" s="48">
        <f>[1]!BexGetData("DP_2","DL719O2RYNEBZX0HTMQQ0BY0J","17","O","38045011O101","2067215021")</f>
        <v>0</v>
      </c>
      <c r="H2620" s="48">
        <f>[1]!BexGetData("DP_2","DL719O2RYNGN1RZRS91K7M4TV","17","O","38045011O101","2067215021")</f>
        <v>0</v>
      </c>
      <c r="I2620" s="48">
        <f>[1]!BexGetData("DP_2","DL719O2RYNIY3MZ1QVCEEWBN7","17","O","38045011O101","2067215021")</f>
        <v>0</v>
      </c>
    </row>
    <row r="2621" spans="1:9" x14ac:dyDescent="0.2">
      <c r="A2621" s="46" t="s">
        <v>32</v>
      </c>
      <c r="B2621" s="46" t="s">
        <v>32</v>
      </c>
      <c r="C2621" s="46" t="s">
        <v>32</v>
      </c>
      <c r="D2621" s="46" t="s">
        <v>32</v>
      </c>
      <c r="E2621" s="46" t="s">
        <v>32</v>
      </c>
      <c r="F2621" s="47">
        <f>[1]!BexGetData("DP_2","DL719O2RYNC0Y217V0FVT1R77","17","O","38045011O101","2067216011")</f>
        <v>821.4</v>
      </c>
      <c r="G2621" s="48">
        <f>[1]!BexGetData("DP_2","DL719O2RYNEBZX0HTMQQ0BY0J","17","O","38045011O101","2067216011")</f>
        <v>821.4</v>
      </c>
      <c r="H2621" s="48">
        <f>[1]!BexGetData("DP_2","DL719O2RYNGN1RZRS91K7M4TV","17","O","38045011O101","2067216011")</f>
        <v>821.4</v>
      </c>
      <c r="I2621" s="48">
        <f>[1]!BexGetData("DP_2","DL719O2RYNIY3MZ1QVCEEWBN7","17","O","38045011O101","2067216011")</f>
        <v>0</v>
      </c>
    </row>
    <row r="2622" spans="1:9" x14ac:dyDescent="0.2">
      <c r="A2622" s="46" t="s">
        <v>32</v>
      </c>
      <c r="B2622" s="46" t="s">
        <v>32</v>
      </c>
      <c r="C2622" s="46" t="s">
        <v>32</v>
      </c>
      <c r="D2622" s="46" t="s">
        <v>32</v>
      </c>
      <c r="E2622" s="46" t="s">
        <v>32</v>
      </c>
      <c r="F2622" s="47">
        <f>[1]!BexGetData("DP_2","DL719O2RYNC0Y217V0FVT1R77","17","O","38045011O101","2067217011")</f>
        <v>92.8</v>
      </c>
      <c r="G2622" s="48">
        <f>[1]!BexGetData("DP_2","DL719O2RYNEBZX0HTMQQ0BY0J","17","O","38045011O101","2067217011")</f>
        <v>92.8</v>
      </c>
      <c r="H2622" s="48">
        <f>[1]!BexGetData("DP_2","DL719O2RYNGN1RZRS91K7M4TV","17","O","38045011O101","2067217011")</f>
        <v>92.8</v>
      </c>
      <c r="I2622" s="48">
        <f>[1]!BexGetData("DP_2","DL719O2RYNIY3MZ1QVCEEWBN7","17","O","38045011O101","2067217011")</f>
        <v>0</v>
      </c>
    </row>
    <row r="2623" spans="1:9" x14ac:dyDescent="0.2">
      <c r="A2623" s="46" t="s">
        <v>32</v>
      </c>
      <c r="B2623" s="46" t="s">
        <v>32</v>
      </c>
      <c r="C2623" s="46" t="s">
        <v>32</v>
      </c>
      <c r="D2623" s="46" t="s">
        <v>32</v>
      </c>
      <c r="E2623" s="46" t="s">
        <v>32</v>
      </c>
      <c r="F2623" s="47">
        <f>[1]!BexGetData("DP_2","DL719O2RYNC0Y217V0FVT1R77","17","O","38045011O101","2067221011")</f>
        <v>0</v>
      </c>
      <c r="G2623" s="48">
        <f>[1]!BexGetData("DP_2","DL719O2RYNEBZX0HTMQQ0BY0J","17","O","38045011O101","2067221011")</f>
        <v>0</v>
      </c>
      <c r="H2623" s="48">
        <f>[1]!BexGetData("DP_2","DL719O2RYNGN1RZRS91K7M4TV","17","O","38045011O101","2067221011")</f>
        <v>0</v>
      </c>
      <c r="I2623" s="48">
        <f>[1]!BexGetData("DP_2","DL719O2RYNIY3MZ1QVCEEWBN7","17","O","38045011O101","2067221011")</f>
        <v>0</v>
      </c>
    </row>
    <row r="2624" spans="1:9" x14ac:dyDescent="0.2">
      <c r="A2624" s="46" t="s">
        <v>32</v>
      </c>
      <c r="B2624" s="46" t="s">
        <v>32</v>
      </c>
      <c r="C2624" s="46" t="s">
        <v>32</v>
      </c>
      <c r="D2624" s="46" t="s">
        <v>32</v>
      </c>
      <c r="E2624" s="46" t="s">
        <v>32</v>
      </c>
      <c r="F2624" s="47">
        <f>[1]!BexGetData("DP_2","DL719O2RYNC0Y217V0FVT1R77","17","O","38045011O101","2067221021")</f>
        <v>0</v>
      </c>
      <c r="G2624" s="48">
        <f>[1]!BexGetData("DP_2","DL719O2RYNEBZX0HTMQQ0BY0J","17","O","38045011O101","2067221021")</f>
        <v>0</v>
      </c>
      <c r="H2624" s="48">
        <f>[1]!BexGetData("DP_2","DL719O2RYNGN1RZRS91K7M4TV","17","O","38045011O101","2067221021")</f>
        <v>0</v>
      </c>
      <c r="I2624" s="48">
        <f>[1]!BexGetData("DP_2","DL719O2RYNIY3MZ1QVCEEWBN7","17","O","38045011O101","2067221021")</f>
        <v>0</v>
      </c>
    </row>
    <row r="2625" spans="1:9" x14ac:dyDescent="0.2">
      <c r="A2625" s="46" t="s">
        <v>32</v>
      </c>
      <c r="B2625" s="46" t="s">
        <v>32</v>
      </c>
      <c r="C2625" s="46" t="s">
        <v>32</v>
      </c>
      <c r="D2625" s="46" t="s">
        <v>32</v>
      </c>
      <c r="E2625" s="46" t="s">
        <v>32</v>
      </c>
      <c r="F2625" s="47">
        <f>[1]!BexGetData("DP_2","DL719O2RYNC0Y217V0FVT1R77","17","O","38045011O101","2067241011")</f>
        <v>440.01</v>
      </c>
      <c r="G2625" s="48">
        <f>[1]!BexGetData("DP_2","DL719O2RYNEBZX0HTMQQ0BY0J","17","O","38045011O101","2067241011")</f>
        <v>440.01</v>
      </c>
      <c r="H2625" s="48">
        <f>[1]!BexGetData("DP_2","DL719O2RYNGN1RZRS91K7M4TV","17","O","38045011O101","2067241011")</f>
        <v>440.01</v>
      </c>
      <c r="I2625" s="48">
        <f>[1]!BexGetData("DP_2","DL719O2RYNIY3MZ1QVCEEWBN7","17","O","38045011O101","2067241011")</f>
        <v>0</v>
      </c>
    </row>
    <row r="2626" spans="1:9" x14ac:dyDescent="0.2">
      <c r="A2626" s="46" t="s">
        <v>32</v>
      </c>
      <c r="B2626" s="46" t="s">
        <v>32</v>
      </c>
      <c r="C2626" s="46" t="s">
        <v>32</v>
      </c>
      <c r="D2626" s="46" t="s">
        <v>32</v>
      </c>
      <c r="E2626" s="46" t="s">
        <v>32</v>
      </c>
      <c r="F2626" s="47">
        <f>[1]!BexGetData("DP_2","DL719O2RYNC0Y217V0FVT1R77","17","O","38045011O101","2067242011")</f>
        <v>170</v>
      </c>
      <c r="G2626" s="48">
        <f>[1]!BexGetData("DP_2","DL719O2RYNEBZX0HTMQQ0BY0J","17","O","38045011O101","2067242011")</f>
        <v>170</v>
      </c>
      <c r="H2626" s="48">
        <f>[1]!BexGetData("DP_2","DL719O2RYNGN1RZRS91K7M4TV","17","O","38045011O101","2067242011")</f>
        <v>170</v>
      </c>
      <c r="I2626" s="48">
        <f>[1]!BexGetData("DP_2","DL719O2RYNIY3MZ1QVCEEWBN7","17","O","38045011O101","2067242011")</f>
        <v>0</v>
      </c>
    </row>
    <row r="2627" spans="1:9" x14ac:dyDescent="0.2">
      <c r="A2627" s="46" t="s">
        <v>32</v>
      </c>
      <c r="B2627" s="46" t="s">
        <v>32</v>
      </c>
      <c r="C2627" s="46" t="s">
        <v>32</v>
      </c>
      <c r="D2627" s="46" t="s">
        <v>32</v>
      </c>
      <c r="E2627" s="46" t="s">
        <v>32</v>
      </c>
      <c r="F2627" s="47">
        <f>[1]!BexGetData("DP_2","DL719O2RYNC0Y217V0FVT1R77","17","O","38045011O101","2067246011")</f>
        <v>17827.02</v>
      </c>
      <c r="G2627" s="48">
        <f>[1]!BexGetData("DP_2","DL719O2RYNEBZX0HTMQQ0BY0J","17","O","38045011O101","2067246011")</f>
        <v>17827.02</v>
      </c>
      <c r="H2627" s="48">
        <f>[1]!BexGetData("DP_2","DL719O2RYNGN1RZRS91K7M4TV","17","O","38045011O101","2067246011")</f>
        <v>891.02</v>
      </c>
      <c r="I2627" s="48">
        <f>[1]!BexGetData("DP_2","DL719O2RYNIY3MZ1QVCEEWBN7","17","O","38045011O101","2067246011")</f>
        <v>0</v>
      </c>
    </row>
    <row r="2628" spans="1:9" x14ac:dyDescent="0.2">
      <c r="A2628" s="46" t="s">
        <v>32</v>
      </c>
      <c r="B2628" s="46" t="s">
        <v>32</v>
      </c>
      <c r="C2628" s="46" t="s">
        <v>32</v>
      </c>
      <c r="D2628" s="46" t="s">
        <v>32</v>
      </c>
      <c r="E2628" s="46" t="s">
        <v>32</v>
      </c>
      <c r="F2628" s="47">
        <f>[1]!BexGetData("DP_2","DL719O2RYNC0Y217V0FVT1R77","17","O","38045011O101","2067247011")</f>
        <v>551</v>
      </c>
      <c r="G2628" s="48">
        <f>[1]!BexGetData("DP_2","DL719O2RYNEBZX0HTMQQ0BY0J","17","O","38045011O101","2067247011")</f>
        <v>551</v>
      </c>
      <c r="H2628" s="48">
        <f>[1]!BexGetData("DP_2","DL719O2RYNGN1RZRS91K7M4TV","17","O","38045011O101","2067247011")</f>
        <v>551</v>
      </c>
      <c r="I2628" s="48">
        <f>[1]!BexGetData("DP_2","DL719O2RYNIY3MZ1QVCEEWBN7","17","O","38045011O101","2067247011")</f>
        <v>0</v>
      </c>
    </row>
    <row r="2629" spans="1:9" x14ac:dyDescent="0.2">
      <c r="A2629" s="46" t="s">
        <v>32</v>
      </c>
      <c r="B2629" s="46" t="s">
        <v>32</v>
      </c>
      <c r="C2629" s="46" t="s">
        <v>32</v>
      </c>
      <c r="D2629" s="46" t="s">
        <v>32</v>
      </c>
      <c r="E2629" s="46" t="s">
        <v>32</v>
      </c>
      <c r="F2629" s="47">
        <f>[1]!BexGetData("DP_2","DL719O2RYNC0Y217V0FVT1R77","17","O","38045011O101","2067249011")</f>
        <v>6455.45</v>
      </c>
      <c r="G2629" s="48">
        <f>[1]!BexGetData("DP_2","DL719O2RYNEBZX0HTMQQ0BY0J","17","O","38045011O101","2067249011")</f>
        <v>6455.45</v>
      </c>
      <c r="H2629" s="48">
        <f>[1]!BexGetData("DP_2","DL719O2RYNGN1RZRS91K7M4TV","17","O","38045011O101","2067249011")</f>
        <v>2900.05</v>
      </c>
      <c r="I2629" s="48">
        <f>[1]!BexGetData("DP_2","DL719O2RYNIY3MZ1QVCEEWBN7","17","O","38045011O101","2067249011")</f>
        <v>0</v>
      </c>
    </row>
    <row r="2630" spans="1:9" x14ac:dyDescent="0.2">
      <c r="A2630" s="46" t="s">
        <v>32</v>
      </c>
      <c r="B2630" s="46" t="s">
        <v>32</v>
      </c>
      <c r="C2630" s="46" t="s">
        <v>32</v>
      </c>
      <c r="D2630" s="46" t="s">
        <v>32</v>
      </c>
      <c r="E2630" s="46" t="s">
        <v>32</v>
      </c>
      <c r="F2630" s="47">
        <f>[1]!BexGetData("DP_2","DL719O2RYNC0Y217V0FVT1R77","17","O","38045011O101","2067254021")</f>
        <v>110.26</v>
      </c>
      <c r="G2630" s="48">
        <f>[1]!BexGetData("DP_2","DL719O2RYNEBZX0HTMQQ0BY0J","17","O","38045011O101","2067254021")</f>
        <v>110.26</v>
      </c>
      <c r="H2630" s="48">
        <f>[1]!BexGetData("DP_2","DL719O2RYNGN1RZRS91K7M4TV","17","O","38045011O101","2067254021")</f>
        <v>110.26</v>
      </c>
      <c r="I2630" s="48">
        <f>[1]!BexGetData("DP_2","DL719O2RYNIY3MZ1QVCEEWBN7","17","O","38045011O101","2067254021")</f>
        <v>0</v>
      </c>
    </row>
    <row r="2631" spans="1:9" x14ac:dyDescent="0.2">
      <c r="A2631" s="46" t="s">
        <v>32</v>
      </c>
      <c r="B2631" s="46" t="s">
        <v>32</v>
      </c>
      <c r="C2631" s="46" t="s">
        <v>32</v>
      </c>
      <c r="D2631" s="46" t="s">
        <v>32</v>
      </c>
      <c r="E2631" s="46" t="s">
        <v>32</v>
      </c>
      <c r="F2631" s="47">
        <f>[1]!BexGetData("DP_2","DL719O2RYNC0Y217V0FVT1R77","17","O","38045011O101","2067256011")</f>
        <v>1357.2</v>
      </c>
      <c r="G2631" s="48">
        <f>[1]!BexGetData("DP_2","DL719O2RYNEBZX0HTMQQ0BY0J","17","O","38045011O101","2067256011")</f>
        <v>1357.2</v>
      </c>
      <c r="H2631" s="48">
        <f>[1]!BexGetData("DP_2","DL719O2RYNGN1RZRS91K7M4TV","17","O","38045011O101","2067256011")</f>
        <v>0</v>
      </c>
      <c r="I2631" s="48">
        <f>[1]!BexGetData("DP_2","DL719O2RYNIY3MZ1QVCEEWBN7","17","O","38045011O101","2067256011")</f>
        <v>0</v>
      </c>
    </row>
    <row r="2632" spans="1:9" x14ac:dyDescent="0.2">
      <c r="A2632" s="46" t="s">
        <v>32</v>
      </c>
      <c r="B2632" s="46" t="s">
        <v>32</v>
      </c>
      <c r="C2632" s="46" t="s">
        <v>32</v>
      </c>
      <c r="D2632" s="46" t="s">
        <v>32</v>
      </c>
      <c r="E2632" s="46" t="s">
        <v>32</v>
      </c>
      <c r="F2632" s="47">
        <f>[1]!BexGetData("DP_2","DL719O2RYNC0Y217V0FVT1R77","17","O","38045011O101","2067259011")</f>
        <v>0</v>
      </c>
      <c r="G2632" s="48">
        <f>[1]!BexGetData("DP_2","DL719O2RYNEBZX0HTMQQ0BY0J","17","O","38045011O101","2067259011")</f>
        <v>0</v>
      </c>
      <c r="H2632" s="48">
        <f>[1]!BexGetData("DP_2","DL719O2RYNGN1RZRS91K7M4TV","17","O","38045011O101","2067259011")</f>
        <v>0</v>
      </c>
      <c r="I2632" s="48">
        <f>[1]!BexGetData("DP_2","DL719O2RYNIY3MZ1QVCEEWBN7","17","O","38045011O101","2067259011")</f>
        <v>0</v>
      </c>
    </row>
    <row r="2633" spans="1:9" x14ac:dyDescent="0.2">
      <c r="A2633" s="46" t="s">
        <v>32</v>
      </c>
      <c r="B2633" s="46" t="s">
        <v>32</v>
      </c>
      <c r="C2633" s="46" t="s">
        <v>32</v>
      </c>
      <c r="D2633" s="46" t="s">
        <v>32</v>
      </c>
      <c r="E2633" s="46" t="s">
        <v>32</v>
      </c>
      <c r="F2633" s="47">
        <f>[1]!BexGetData("DP_2","DL719O2RYNC0Y217V0FVT1R77","17","O","38045011O101","2067261011")</f>
        <v>0</v>
      </c>
      <c r="G2633" s="48">
        <f>[1]!BexGetData("DP_2","DL719O2RYNEBZX0HTMQQ0BY0J","17","O","38045011O101","2067261011")</f>
        <v>0</v>
      </c>
      <c r="H2633" s="48">
        <f>[1]!BexGetData("DP_2","DL719O2RYNGN1RZRS91K7M4TV","17","O","38045011O101","2067261011")</f>
        <v>0</v>
      </c>
      <c r="I2633" s="48">
        <f>[1]!BexGetData("DP_2","DL719O2RYNIY3MZ1QVCEEWBN7","17","O","38045011O101","2067261011")</f>
        <v>0</v>
      </c>
    </row>
    <row r="2634" spans="1:9" x14ac:dyDescent="0.2">
      <c r="A2634" s="46" t="s">
        <v>32</v>
      </c>
      <c r="B2634" s="46" t="s">
        <v>32</v>
      </c>
      <c r="C2634" s="46" t="s">
        <v>32</v>
      </c>
      <c r="D2634" s="46" t="s">
        <v>32</v>
      </c>
      <c r="E2634" s="46" t="s">
        <v>32</v>
      </c>
      <c r="F2634" s="47">
        <f>[1]!BexGetData("DP_2","DL719O2RYNC0Y217V0FVT1R77","17","O","38045011O101","2067272011")</f>
        <v>90.07</v>
      </c>
      <c r="G2634" s="48">
        <f>[1]!BexGetData("DP_2","DL719O2RYNEBZX0HTMQQ0BY0J","17","O","38045011O101","2067272011")</f>
        <v>90.07</v>
      </c>
      <c r="H2634" s="48">
        <f>[1]!BexGetData("DP_2","DL719O2RYNGN1RZRS91K7M4TV","17","O","38045011O101","2067272011")</f>
        <v>90.07</v>
      </c>
      <c r="I2634" s="48">
        <f>[1]!BexGetData("DP_2","DL719O2RYNIY3MZ1QVCEEWBN7","17","O","38045011O101","2067272011")</f>
        <v>0</v>
      </c>
    </row>
    <row r="2635" spans="1:9" x14ac:dyDescent="0.2">
      <c r="A2635" s="46" t="s">
        <v>32</v>
      </c>
      <c r="B2635" s="46" t="s">
        <v>32</v>
      </c>
      <c r="C2635" s="46" t="s">
        <v>32</v>
      </c>
      <c r="D2635" s="46" t="s">
        <v>32</v>
      </c>
      <c r="E2635" s="46" t="s">
        <v>32</v>
      </c>
      <c r="F2635" s="47">
        <f>[1]!BexGetData("DP_2","DL719O2RYNC0Y217V0FVT1R77","17","O","38045011O101","2067291011")</f>
        <v>114.99</v>
      </c>
      <c r="G2635" s="48">
        <f>[1]!BexGetData("DP_2","DL719O2RYNEBZX0HTMQQ0BY0J","17","O","38045011O101","2067291011")</f>
        <v>114.99</v>
      </c>
      <c r="H2635" s="48">
        <f>[1]!BexGetData("DP_2","DL719O2RYNGN1RZRS91K7M4TV","17","O","38045011O101","2067291011")</f>
        <v>114.99</v>
      </c>
      <c r="I2635" s="48">
        <f>[1]!BexGetData("DP_2","DL719O2RYNIY3MZ1QVCEEWBN7","17","O","38045011O101","2067291011")</f>
        <v>0</v>
      </c>
    </row>
    <row r="2636" spans="1:9" x14ac:dyDescent="0.2">
      <c r="A2636" s="46" t="s">
        <v>32</v>
      </c>
      <c r="B2636" s="46" t="s">
        <v>32</v>
      </c>
      <c r="C2636" s="46" t="s">
        <v>32</v>
      </c>
      <c r="D2636" s="46" t="s">
        <v>32</v>
      </c>
      <c r="E2636" s="46" t="s">
        <v>32</v>
      </c>
      <c r="F2636" s="47">
        <f>[1]!BexGetData("DP_2","DL719O2RYNC0Y217V0FVT1R77","17","O","38045011O101","2067294011")</f>
        <v>4854.6000000000004</v>
      </c>
      <c r="G2636" s="48">
        <f>[1]!BexGetData("DP_2","DL719O2RYNEBZX0HTMQQ0BY0J","17","O","38045011O101","2067294011")</f>
        <v>4854.6000000000004</v>
      </c>
      <c r="H2636" s="48">
        <f>[1]!BexGetData("DP_2","DL719O2RYNGN1RZRS91K7M4TV","17","O","38045011O101","2067294011")</f>
        <v>4854.6000000000004</v>
      </c>
      <c r="I2636" s="48">
        <f>[1]!BexGetData("DP_2","DL719O2RYNIY3MZ1QVCEEWBN7","17","O","38045011O101","2067294011")</f>
        <v>0</v>
      </c>
    </row>
    <row r="2637" spans="1:9" x14ac:dyDescent="0.2">
      <c r="A2637" s="46" t="s">
        <v>32</v>
      </c>
      <c r="B2637" s="46" t="s">
        <v>32</v>
      </c>
      <c r="C2637" s="46" t="s">
        <v>32</v>
      </c>
      <c r="D2637" s="46" t="s">
        <v>32</v>
      </c>
      <c r="E2637" s="46" t="s">
        <v>32</v>
      </c>
      <c r="F2637" s="47">
        <f>[1]!BexGetData("DP_2","DL719O2RYNC0Y217V0FVT1R77","17","O","38045011O101","2067298041")</f>
        <v>0</v>
      </c>
      <c r="G2637" s="48">
        <f>[1]!BexGetData("DP_2","DL719O2RYNEBZX0HTMQQ0BY0J","17","O","38045011O101","2067298041")</f>
        <v>0</v>
      </c>
      <c r="H2637" s="48">
        <f>[1]!BexGetData("DP_2","DL719O2RYNGN1RZRS91K7M4TV","17","O","38045011O101","2067298041")</f>
        <v>0</v>
      </c>
      <c r="I2637" s="48">
        <f>[1]!BexGetData("DP_2","DL719O2RYNIY3MZ1QVCEEWBN7","17","O","38045011O101","2067298041")</f>
        <v>0</v>
      </c>
    </row>
    <row r="2638" spans="1:9" x14ac:dyDescent="0.2">
      <c r="A2638" s="46" t="s">
        <v>32</v>
      </c>
      <c r="B2638" s="46" t="s">
        <v>32</v>
      </c>
      <c r="C2638" s="46" t="s">
        <v>32</v>
      </c>
      <c r="D2638" s="46" t="s">
        <v>32</v>
      </c>
      <c r="E2638" s="46" t="s">
        <v>32</v>
      </c>
      <c r="F2638" s="47">
        <f>[1]!BexGetData("DP_2","DL719O2RYNC0Y217V0FVT1R77","17","O","38045011O101","2067314011")</f>
        <v>10137.26</v>
      </c>
      <c r="G2638" s="48">
        <f>[1]!BexGetData("DP_2","DL719O2RYNEBZX0HTMQQ0BY0J","17","O","38045011O101","2067314011")</f>
        <v>10137.26</v>
      </c>
      <c r="H2638" s="48">
        <f>[1]!BexGetData("DP_2","DL719O2RYNGN1RZRS91K7M4TV","17","O","38045011O101","2067314011")</f>
        <v>10137.26</v>
      </c>
      <c r="I2638" s="48">
        <f>[1]!BexGetData("DP_2","DL719O2RYNIY3MZ1QVCEEWBN7","17","O","38045011O101","2067314011")</f>
        <v>0</v>
      </c>
    </row>
    <row r="2639" spans="1:9" x14ac:dyDescent="0.2">
      <c r="A2639" s="46" t="s">
        <v>32</v>
      </c>
      <c r="B2639" s="46" t="s">
        <v>32</v>
      </c>
      <c r="C2639" s="46" t="s">
        <v>32</v>
      </c>
      <c r="D2639" s="46" t="s">
        <v>32</v>
      </c>
      <c r="E2639" s="46" t="s">
        <v>32</v>
      </c>
      <c r="F2639" s="47">
        <f>[1]!BexGetData("DP_2","DL719O2RYNC0Y217V0FVT1R77","17","O","38045011O101","2067317011")</f>
        <v>19056.560000000001</v>
      </c>
      <c r="G2639" s="48">
        <f>[1]!BexGetData("DP_2","DL719O2RYNEBZX0HTMQQ0BY0J","17","O","38045011O101","2067317011")</f>
        <v>19056.560000000001</v>
      </c>
      <c r="H2639" s="48">
        <f>[1]!BexGetData("DP_2","DL719O2RYNGN1RZRS91K7M4TV","17","O","38045011O101","2067317011")</f>
        <v>19056.560000000001</v>
      </c>
      <c r="I2639" s="48">
        <f>[1]!BexGetData("DP_2","DL719O2RYNIY3MZ1QVCEEWBN7","17","O","38045011O101","2067317011")</f>
        <v>0</v>
      </c>
    </row>
    <row r="2640" spans="1:9" x14ac:dyDescent="0.2">
      <c r="A2640" s="46" t="s">
        <v>32</v>
      </c>
      <c r="B2640" s="46" t="s">
        <v>32</v>
      </c>
      <c r="C2640" s="46" t="s">
        <v>32</v>
      </c>
      <c r="D2640" s="46" t="s">
        <v>32</v>
      </c>
      <c r="E2640" s="46" t="s">
        <v>32</v>
      </c>
      <c r="F2640" s="47">
        <f>[1]!BexGetData("DP_2","DL719O2RYNC0Y217V0FVT1R77","17","O","38045011O101","2067323011")</f>
        <v>0</v>
      </c>
      <c r="G2640" s="48">
        <f>[1]!BexGetData("DP_2","DL719O2RYNEBZX0HTMQQ0BY0J","17","O","38045011O101","2067323011")</f>
        <v>0</v>
      </c>
      <c r="H2640" s="48">
        <f>[1]!BexGetData("DP_2","DL719O2RYNGN1RZRS91K7M4TV","17","O","38045011O101","2067323011")</f>
        <v>0</v>
      </c>
      <c r="I2640" s="48">
        <f>[1]!BexGetData("DP_2","DL719O2RYNIY3MZ1QVCEEWBN7","17","O","38045011O101","2067323011")</f>
        <v>0</v>
      </c>
    </row>
    <row r="2641" spans="1:9" x14ac:dyDescent="0.2">
      <c r="A2641" s="46" t="s">
        <v>32</v>
      </c>
      <c r="B2641" s="46" t="s">
        <v>32</v>
      </c>
      <c r="C2641" s="46" t="s">
        <v>32</v>
      </c>
      <c r="D2641" s="46" t="s">
        <v>32</v>
      </c>
      <c r="E2641" s="46" t="s">
        <v>32</v>
      </c>
      <c r="F2641" s="47">
        <f>[1]!BexGetData("DP_2","DL719O2RYNC0Y217V0FVT1R77","17","O","38045011O101","2067332011")</f>
        <v>9287864.8000000007</v>
      </c>
      <c r="G2641" s="48">
        <f>[1]!BexGetData("DP_2","DL719O2RYNEBZX0HTMQQ0BY0J","17","O","38045011O101","2067332011")</f>
        <v>9287864.8000000007</v>
      </c>
      <c r="H2641" s="48">
        <f>[1]!BexGetData("DP_2","DL719O2RYNGN1RZRS91K7M4TV","17","O","38045011O101","2067332011")</f>
        <v>9287864.8000000007</v>
      </c>
      <c r="I2641" s="48">
        <f>[1]!BexGetData("DP_2","DL719O2RYNIY3MZ1QVCEEWBN7","17","O","38045011O101","2067332011")</f>
        <v>0</v>
      </c>
    </row>
    <row r="2642" spans="1:9" x14ac:dyDescent="0.2">
      <c r="A2642" s="46" t="s">
        <v>32</v>
      </c>
      <c r="B2642" s="46" t="s">
        <v>32</v>
      </c>
      <c r="C2642" s="46" t="s">
        <v>32</v>
      </c>
      <c r="D2642" s="46" t="s">
        <v>32</v>
      </c>
      <c r="E2642" s="46" t="s">
        <v>32</v>
      </c>
      <c r="F2642" s="47">
        <f>[1]!BexGetData("DP_2","DL719O2RYNC0Y217V0FVT1R77","17","O","38045011O101","2067334011")</f>
        <v>0</v>
      </c>
      <c r="G2642" s="48">
        <f>[1]!BexGetData("DP_2","DL719O2RYNEBZX0HTMQQ0BY0J","17","O","38045011O101","2067334011")</f>
        <v>0</v>
      </c>
      <c r="H2642" s="48">
        <f>[1]!BexGetData("DP_2","DL719O2RYNGN1RZRS91K7M4TV","17","O","38045011O101","2067334011")</f>
        <v>0</v>
      </c>
      <c r="I2642" s="48">
        <f>[1]!BexGetData("DP_2","DL719O2RYNIY3MZ1QVCEEWBN7","17","O","38045011O101","2067334011")</f>
        <v>0</v>
      </c>
    </row>
    <row r="2643" spans="1:9" x14ac:dyDescent="0.2">
      <c r="A2643" s="46" t="s">
        <v>32</v>
      </c>
      <c r="B2643" s="46" t="s">
        <v>32</v>
      </c>
      <c r="C2643" s="46" t="s">
        <v>32</v>
      </c>
      <c r="D2643" s="46" t="s">
        <v>32</v>
      </c>
      <c r="E2643" s="46" t="s">
        <v>32</v>
      </c>
      <c r="F2643" s="47">
        <f>[1]!BexGetData("DP_2","DL719O2RYNC0Y217V0FVT1R77","17","O","38045011O101","2067336011")</f>
        <v>23217.31</v>
      </c>
      <c r="G2643" s="48">
        <f>[1]!BexGetData("DP_2","DL719O2RYNEBZX0HTMQQ0BY0J","17","O","38045011O101","2067336011")</f>
        <v>23217.31</v>
      </c>
      <c r="H2643" s="48">
        <f>[1]!BexGetData("DP_2","DL719O2RYNGN1RZRS91K7M4TV","17","O","38045011O101","2067336011")</f>
        <v>1612.57</v>
      </c>
      <c r="I2643" s="48">
        <f>[1]!BexGetData("DP_2","DL719O2RYNIY3MZ1QVCEEWBN7","17","O","38045011O101","2067336011")</f>
        <v>0</v>
      </c>
    </row>
    <row r="2644" spans="1:9" x14ac:dyDescent="0.2">
      <c r="A2644" s="46" t="s">
        <v>32</v>
      </c>
      <c r="B2644" s="46" t="s">
        <v>32</v>
      </c>
      <c r="C2644" s="46" t="s">
        <v>32</v>
      </c>
      <c r="D2644" s="46" t="s">
        <v>32</v>
      </c>
      <c r="E2644" s="46" t="s">
        <v>32</v>
      </c>
      <c r="F2644" s="47">
        <f>[1]!BexGetData("DP_2","DL719O2RYNC0Y217V0FVT1R77","17","O","38045011O101","2067351011")</f>
        <v>31134.400000000001</v>
      </c>
      <c r="G2644" s="48">
        <f>[1]!BexGetData("DP_2","DL719O2RYNEBZX0HTMQQ0BY0J","17","O","38045011O101","2067351011")</f>
        <v>31134.400000000001</v>
      </c>
      <c r="H2644" s="48">
        <f>[1]!BexGetData("DP_2","DL719O2RYNGN1RZRS91K7M4TV","17","O","38045011O101","2067351011")</f>
        <v>31134.400000000001</v>
      </c>
      <c r="I2644" s="48">
        <f>[1]!BexGetData("DP_2","DL719O2RYNIY3MZ1QVCEEWBN7","17","O","38045011O101","2067351011")</f>
        <v>0</v>
      </c>
    </row>
    <row r="2645" spans="1:9" x14ac:dyDescent="0.2">
      <c r="A2645" s="46" t="s">
        <v>32</v>
      </c>
      <c r="B2645" s="46" t="s">
        <v>32</v>
      </c>
      <c r="C2645" s="46" t="s">
        <v>32</v>
      </c>
      <c r="D2645" s="46" t="s">
        <v>32</v>
      </c>
      <c r="E2645" s="46" t="s">
        <v>32</v>
      </c>
      <c r="F2645" s="47">
        <f>[1]!BexGetData("DP_2","DL719O2RYNC0Y217V0FVT1R77","17","O","38045011O101","2067375021")</f>
        <v>0</v>
      </c>
      <c r="G2645" s="48">
        <f>[1]!BexGetData("DP_2","DL719O2RYNEBZX0HTMQQ0BY0J","17","O","38045011O101","2067375021")</f>
        <v>0</v>
      </c>
      <c r="H2645" s="48">
        <f>[1]!BexGetData("DP_2","DL719O2RYNGN1RZRS91K7M4TV","17","O","38045011O101","2067375021")</f>
        <v>0</v>
      </c>
      <c r="I2645" s="48">
        <f>[1]!BexGetData("DP_2","DL719O2RYNIY3MZ1QVCEEWBN7","17","O","38045011O101","2067375021")</f>
        <v>0</v>
      </c>
    </row>
    <row r="2646" spans="1:9" x14ac:dyDescent="0.2">
      <c r="A2646" s="46" t="s">
        <v>32</v>
      </c>
      <c r="B2646" s="46" t="s">
        <v>32</v>
      </c>
      <c r="C2646" s="46" t="s">
        <v>32</v>
      </c>
      <c r="D2646" s="46" t="s">
        <v>32</v>
      </c>
      <c r="E2646" s="46" t="s">
        <v>32</v>
      </c>
      <c r="F2646" s="47">
        <f>[1]!BexGetData("DP_2","DL719O2RYNC0Y217V0FVT1R77","17","O","38045011O101","2067515012")</f>
        <v>355646.08</v>
      </c>
      <c r="G2646" s="48">
        <f>[1]!BexGetData("DP_2","DL719O2RYNEBZX0HTMQQ0BY0J","17","O","38045011O101","2067515012")</f>
        <v>355646.08</v>
      </c>
      <c r="H2646" s="48">
        <f>[1]!BexGetData("DP_2","DL719O2RYNGN1RZRS91K7M4TV","17","O","38045011O101","2067515012")</f>
        <v>355646.08</v>
      </c>
      <c r="I2646" s="48">
        <f>[1]!BexGetData("DP_2","DL719O2RYNIY3MZ1QVCEEWBN7","17","O","38045011O101","2067515012")</f>
        <v>0</v>
      </c>
    </row>
    <row r="2647" spans="1:9" x14ac:dyDescent="0.2">
      <c r="A2647" s="46" t="s">
        <v>32</v>
      </c>
      <c r="B2647" s="46" t="s">
        <v>32</v>
      </c>
      <c r="C2647" s="46" t="s">
        <v>32</v>
      </c>
      <c r="D2647" s="46" t="s">
        <v>32</v>
      </c>
      <c r="E2647" s="46" t="s">
        <v>32</v>
      </c>
      <c r="F2647" s="47">
        <f>[1]!BexGetData("DP_2","DL719O2RYNC0Y217V0FVT1R77","17","O","38045011O101","2067565012")</f>
        <v>328299.06</v>
      </c>
      <c r="G2647" s="48">
        <f>[1]!BexGetData("DP_2","DL719O2RYNEBZX0HTMQQ0BY0J","17","O","38045011O101","2067565012")</f>
        <v>328299.06</v>
      </c>
      <c r="H2647" s="48">
        <f>[1]!BexGetData("DP_2","DL719O2RYNGN1RZRS91K7M4TV","17","O","38045011O101","2067565012")</f>
        <v>328299.06</v>
      </c>
      <c r="I2647" s="48">
        <f>[1]!BexGetData("DP_2","DL719O2RYNIY3MZ1QVCEEWBN7","17","O","38045011O101","2067565012")</f>
        <v>0</v>
      </c>
    </row>
    <row r="2648" spans="1:9" x14ac:dyDescent="0.2">
      <c r="A2648" s="46" t="s">
        <v>32</v>
      </c>
      <c r="B2648" s="46" t="s">
        <v>32</v>
      </c>
      <c r="C2648" s="46" t="s">
        <v>32</v>
      </c>
      <c r="D2648" s="46" t="s">
        <v>32</v>
      </c>
      <c r="E2648" s="46" t="s">
        <v>32</v>
      </c>
      <c r="F2648" s="47">
        <f>[1]!BexGetData("DP_2","DL719O2RYNC0Y217V0FVT1R77","17","O","38045011O101","2067597012")</f>
        <v>254075.84</v>
      </c>
      <c r="G2648" s="48">
        <f>[1]!BexGetData("DP_2","DL719O2RYNEBZX0HTMQQ0BY0J","17","O","38045011O101","2067597012")</f>
        <v>254075.84</v>
      </c>
      <c r="H2648" s="48">
        <f>[1]!BexGetData("DP_2","DL719O2RYNGN1RZRS91K7M4TV","17","O","38045011O101","2067597012")</f>
        <v>0</v>
      </c>
      <c r="I2648" s="48">
        <f>[1]!BexGetData("DP_2","DL719O2RYNIY3MZ1QVCEEWBN7","17","O","38045011O101","2067597012")</f>
        <v>0</v>
      </c>
    </row>
    <row r="2649" spans="1:9" x14ac:dyDescent="0.2">
      <c r="A2649" s="46" t="s">
        <v>32</v>
      </c>
      <c r="B2649" s="46" t="s">
        <v>147</v>
      </c>
      <c r="C2649" s="46" t="s">
        <v>148</v>
      </c>
      <c r="D2649" s="46" t="s">
        <v>149</v>
      </c>
      <c r="E2649" s="46" t="s">
        <v>32</v>
      </c>
      <c r="F2649" s="47">
        <f>[1]!BexGetData("DP_2","DL719O2RYNC0Y217V0FVT1R77","17","R","1.AF.INGRESO","2067341011")</f>
        <v>0.41</v>
      </c>
      <c r="G2649" s="48">
        <f>[1]!BexGetData("DP_2","DL719O2RYNEBZX0HTMQQ0BY0J","17","R","1.AF.INGRESO","2067341011")</f>
        <v>0.41</v>
      </c>
      <c r="H2649" s="48">
        <f>[1]!BexGetData("DP_2","DL719O2RYNGN1RZRS91K7M4TV","17","R","1.AF.INGRESO","2067341011")</f>
        <v>0.41</v>
      </c>
      <c r="I2649" s="48">
        <f>[1]!BexGetData("DP_2","DL719O2RYNIY3MZ1QVCEEWBN7","17","R","1.AF.INGRESO","2067341011")</f>
        <v>0</v>
      </c>
    </row>
    <row r="2650" spans="1:9" x14ac:dyDescent="0.2">
      <c r="A2650" s="50" t="s">
        <v>79</v>
      </c>
      <c r="B2650" s="50" t="s">
        <v>32</v>
      </c>
      <c r="C2650" s="50" t="s">
        <v>32</v>
      </c>
      <c r="D2650" s="50" t="s">
        <v>32</v>
      </c>
      <c r="E2650" s="50" t="s">
        <v>32</v>
      </c>
      <c r="F2650" s="51">
        <f>[1]!BexGetData("DP_2","DL719O2RYNC0Y217V0FVT1R77","SUMME","SUMME","SUMME","SUMME")</f>
        <v>1203713303.5699999</v>
      </c>
      <c r="G2650" s="52">
        <f>[1]!BexGetData("DP_2","DL719O2RYNEBZX0HTMQQ0BY0J","SUMME","SUMME","SUMME","SUMME")</f>
        <v>1178557941.74</v>
      </c>
      <c r="H2650" s="52">
        <f>[1]!BexGetData("DP_2","DL719O2RYNGN1RZRS91K7M4TV","SUMME","SUMME","SUMME","SUMME")</f>
        <v>1137075432.5699999</v>
      </c>
      <c r="I2650" s="52">
        <f>[1]!BexGetData("DP_2","DL719O2RYNIY3MZ1QVCEEWBN7","SUMME","SUMME","SUMME","SUMME")</f>
        <v>25155361.829998299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D M f 2 t 8 f P z 1 9 f f L q 7 O U b / J G m u + P t 9 P S n 8 3 p a T I s q v U 5 n e d M W y 4 p + p h d Z 0 1 b p e T 7 L 6 6 w s f p D N 8 H 2 d F 8 s 2 v 6 i r 5 v F d H 9 L j Z 6 + + f P H m 9 M X T 3 1 + 7 / / 3 P X j z 7 8 u j B v Z 2 d M d F r v H u w 9 / D x 3 X i j x 2 9 + / 6 f H b 4 5 f v v r y J 8 + e n r 4 i x F + / + v 1 f / 9 6 d D 1 8 c f 3 F 6 9 P T l 7 0 + D 4 V 9 p e D / x 1 e n r N z S i s y / o r 1 e / 9 + / / e z 9 / / f v z H 2 d f P v n O i y + O f u r Z F y c n x y d n j + / q B / z F m 9 / 7 T X r 3 6 P H r r 7 4 4 f v L 8 9 O j 3 f n z X / P r 4 7 P X v / / r N q 6 9 O 3 n z 1 6 h R t j n / v s 9 f 4 + f L L 1 2 d v j n Z 2 d g 6 I 4 v z 7 4 5 N v H / / k 8 9 / / V G D J H w q Y / 8 A v L 7 5 8 e v r 7 S 8 / 8 + V d f f M W f v 3 x + + p O n 2 o K 6 f n 3 0 F Q 1 J f m M E X 7 5 6 / e I N J s 3 9 8 Z j Q e v P 7 P / / J 5 4 Q E 4 W v + e P z t V 7 / P 7 3 9 8 8 u b s J x n d b 5 + d S l d K X v x K R D x 9 8 y V w 5 4 d m T T 5 4 / P r 3 f / P 7 v D z 6 v Q g a / 0 J / U 2 8 e y e T v x 6 D o q 6 N j / I 1 f 6 O / T 5 2 + + O n u 6 y z T U P / a 4 d w H 0 7 c d 3 9 T d 8 Q j D 0 O 3 p b f / M A 2 L 8 E g k + Z p 6 d n T z 2 0 9 Y P H J 1 8 S + 7 x 4 d S S f m r / w 8 Z v j s x e v f / / f 6 / d 5 h v c / P 3 v 9 5 i U E R H 7 B 3 8 d v 3 r w 6 E / o I y X 7 / 1 6 f P T 0 / A v t 5 n g H h m P g N 5 e R Z 5 0 i 2 J n z 0 / / h z z 4 / 4 w F D f f + H / q F J i v v L 8 e 0 7 9 v f n 9 l L p I O 9 5 d 8 8 7 r z n f n b f E t E B k 7 6 l x L 4 + P n p 8 T N C + v X L o 7 3 H d 7 2 / 7 D c n 3 + a 5 e / n l C S D z z 8 c y C 0 d P f 6 8 X P / X i 3 s n + 6 y 9 P v v 1 0 / y e / e v 3 0 O w e f v 9 n 5 i S e P 7 2 o L 9 P b 5 H m k O e n Z I f x w w b v T J 4 z f f / s 4 b R e f z f f z y h m e T B e i L 4 9 9 b / k K P 7 o / H X 5 y 9 8 D 6 3 f 4 D w r 8 0 E 0 C h P X y v t X 4 M n m P D 4 7 f F r o j P 3 9 H u / e f 3 t Z 8 + P f p / H d 8 2 v + O y L p / Y z / h W f P f + c f v m 9 + T P + l Z Q N S d D J 6 e v X v / 8 X N N N M G c M W 9 p M v T r 9 4 c v q q 2 4 6 w e E V U Z 9 y e n h L 7 P f / 9 6 Z 2 A q d C E G E t Y 0 f 1 B + t h X V z H d t f P s q x c n v / / x q 9 P j D 9 J e G D 7 / d D r s 3 g 9 P h + 3 8 n O g w n 3 Q / 0 m I / V C 2 2 t / v / D j X 2 n d e f H r / 6 v e 9 9 8 f r b v 9 e 3 f / L b z 0 9 P H + 4 9 + b 2 + u / M T Q 2 o s v f / / d j X 2 e 0 f U 2 O / z / 3 4 1 B n / i O T l x n 3 / T W m z v h 6 f F f u 4 8 M a X c j 5 T Y D 1 W J 7 T 7 8 f 4 c S s 7 7 Y k 5 d f n v 1 e 9 z 7 / 6 t 4 X p 0 + / + P w 7 g 7 7 Y g / 8 3 K b H f O 6 L E / j / q i 3 F Q d P L 8 w z w x / L T a a / 9 n Q 3 v h t / 8 3 a C 0 h 1 Y + U 1 g 9 V a R m 9 9 H O s s 6 z j 9 c X v c / z g 1 X d f f H p 8 8 v r 3 e v F 7 f z q o s 3 b + 3 6 S z / n 8 U P 4 o g f q D f h Z 9 W Z 9 3 / 2 d d Z O z + H O u t H j t b P e 5 3 1 4 u X v 8 9 W 9 F 7 / P y 5 e / z 0 / u 7 H 3 6 + w z q r N 0 f 6 S w W s 5 8 V n f X s 9 / k g l R U J F X d / 9 h X X 3 s + d 4 g K 9 f q S 3 f q h 6 S 5 P e P + e K 6 / d 6 8 l P P n n / 7 x X d f / t 4 H x 7 / 3 q 9 3 9 0 6 c P d 1 / + 5 K u v B h X X p / 9 f V F y / z / / 7 F d f O s 7 P X J y 9 P X 3 2 Q 5 s J P q 7 M e / m z o r H h 6 6 + d G d z m S / b 9 f e f 3 / S n n 9 v 8 3 p + s 6 9 n 9 y / v 7 / 7 7 f 3 j z 5 9 9 + X s d D 2 b o / 1 + f 3 P q 9 / 7 + q u 7 5 6 8 f T 1 7 3 / y 5 h v U X p / + 8 L T X s 5 8 j 7 e W I 9 i P 9 9 f N Z f 7 3 6 7 u 7 J G X n h x / e + + + z 5 6 9 P B o D H 9 f 1 X Q + P 8 j / S V B 0 N m L b 0 x 7 7 d 7 7 4 W m v 3 Z 8 T 7 e V I 9 i P d 9 f N a d 3 3 1 7 Z 9 6 + O W b 1 w 8 O v j z + i Z / 6 y d P B u H H v / 0 2 6 6 7 Z x 4 + / 9 / 3 7 d x W 7 E N 6 a 4 f n Y S X X H F t f N z o r i U X j / S W j + f t d b r z 3 f 3 v / h q 7 9 W T p 1 9 9 + h P 3 v j 2 4 t J j e + 3 + T 1 v r / n c f 1 1 Y u T b 0 x z 7 f 4 Q N d f P p c v F N P u R 9 v r 5 r L 1 e / e T D F 9 / d e X 7 v J 7 4 8 f v r p 6 f 1 B 7 b X 7 / y r t 9 f 8 n n + v k i y / e / P 5 n b 0 6 / + C D 1 F V l n 3 P / / u x L z S f c j L f Z D 1 W J 7 / y 9 T Y 6 8 / f / 3 m 4 f 2 v 9 r 5 6 8 / n D + 9 / + i e G 0 1 3 7 6 / 6 r g 8 b Z u 2 P 8 X F N n L r 3 7 / L 0 6 P X 5 N S + i B N h p 9 W h + 3 9 8 H T Y z s + N D v O p 9 i M l 9 k N V Y v 9 v 0 2 F n J 5 9 + + 8 3 J y 9 / 7 y y 9 P d 4 6 P z w Z 1 2 K f / b 9 d g / x 9 1 x T g o e v n q y 2 9 M f e 3 u / K y o r / 8 X q S 9 H s h / p r p + f u u v p i 8 + / 2 v v J e w + + + 5 3 P f 6 9 v f 3 q 6 v 7 P 3 n a + G d d f u / f 8 3 6 a 7 / H 4 W R 3 g L w m 9 3 9 L + / 9 x J v v n J 3 t f v r l T 2 x S Z v j V 1 2 E Y a P C 3 h J a / d y + 0 / O H l x x j b D 1 N m D C K q v T Y Q 7 W u q M / 3 t 5 0 K N Y Z q C v 3 8 I S m 1 n U K n t D C s 1 a 1 R + G E r N / 8 s p M v z s Z c J 6 P D D g f u 3 9 v y q E 1 F + h s P R X 6 C n 8 + v 9 S T c U u w + v T b y 5 b v 3 P v Z 0 M b 4 b e f 6 w S X I 9 X X V E c / 8 q 7 + P + 5 d a W T 4 x a f P n 3 9 + / 8 k X X / 3 E T 9 x / + O J 0 U D U 9 / H + R Y v r / k 3 c l g v j V k 2 f f m N L a / S F m t n 4 u l R f T 7 E f a 6 + e 1 9 v r y 2 y 8 + f / b s + O H 9 3 + v 3 f v b 5 5 4 O O 1 e 7 + j 7 Q X y 9 n P g v Z 6 Q 7 R 4 8 Y 0 p r 5 0 H P x v K C 7 / 9 v 0 B p K a l + p L N + X u u s 5 6 f f / a n 9 0 5 1 7 z / Z f v P z J p 1 8 M e l w H P 9 J Z L G Y f o r P u 8 r / U C b B 5 x Z 9 T L 6 d O g d 0 i u c X a x m v 4 e / 9 e L 3 / i p 3 5 y 7 + S n 9 n + v z 3 + v 3 4 f y k d J A 2 t H g j 1 7 W e b N e r f O m r d J Z n v 7 G y e k F f V I 1 6 f G q r i b Z r E q / f K V v o X k s 9 / X t s 6 d P T 1 + A m v o b x s D z d f S a p t P 8 / v j l 8 a t T y W Q 9 f X X 2 / P n r N y Q C R 8 9 p 2 O 6 v x 9 8 + f v 3 0 9 N n x V 8 / f P P 3 y 5 C u G G X 5 C P P T y x f E X T P k n x 6 9 P n 4 L Y b 5 5 / + f m X w S d W z d p P T r 7 8 4 u X Z 0 / A 1 1 d d 3 O + T + x q j / + 5 y c P n 3 y x d P v n v 7 E F z / 5 U w f H X 4 P 6 U d I 7 n 3 k D 6 Z 9 9 G O l F X P + / Q + q f 2 t / 7 q R d P X z 7 7 6 u T l k 6 d n e 3 1 S H y 9 W Z Z F N i 2 q Z N 0 M 8 7 T I o P + L p Q U L / 5 K v n P 3 V / 5 6 c e / j 6 v f u L V q 6 8 2 E z p K 5 f 3 b U P n n F / u + 3 n n x + c H x d 0 / O X v 5 e X 3 3 6 6 e 4 X f a p u v c p n 6 6 l Q 9 c 4 Q / 9 6 / D W V / f v P v 6 9 1 n + 1 9 9 8 e L L v f u f f v f 5 7 / X k 9 A Z K R 8 n 8 6 W 3 I / P O M g f c + f f P 5 7 3 P 6 U 8 9 / r 9 c / t f P 7 P P / 0 B v 2 7 n X p E j t L Y h V a D N P 7 5 R + P f 5 + z e 8 a d P 7 u 8 8 2 / 3 8 5 K v f Z 6 M 7 E S X q Q Y e o T I C f Z w z 7 1 d 7 v / R N f 7 H / 7 y R d n v 8 / Z z u f f f f D l t 7 8 8 O M Z K f Z e Y T / P L f H l B P t h v n N z f T 5 9 l 0 z Z K 0 4 e 3 Y d S f p z r X 0 P r F 8 Y v 9 k 4 M H r / b v / c S L L 3 + v i B / s 0 f r T n R i Z d 3 d + R O Y b y f z l 3 p O f e P F T 3 z n + z s s 3 9 / a + i v j A l s x R E n c j u p / P 2 u H l 8 y 9 / 6 s n Z p 0 9 P f + / f + / f m v E e X l K c / n d f T Y j A 8 9 t Y 1 f s S v g / z 6 1 c 7 J T / 3 E V 2 9 + 6 s l P n n 3 7 X i S U M E S O U v h W w d r P M 7 Z 9 d X / v w U / t v P n 8 + N O 9 1 y 9 + 7 4 g X 9 j K D + A 8 x 7 a 0 i s 5 / n T P s T T 5 8 + f / H w 2 9 / 9 6 v f a e c p r 0 H E S R + n b j c 9 + P m v Y V 9 / 9 i a + O X + / / 1 M v X 9 w / 2 P o 0 4 s 6 / y Y t n m F / U g t / 4 o D O t T 9 f W X z z 7 / 4 j u f f + f + 6 Y M X v M Y 4 S N U o S b t R 1 / 8 H G f Q u / 3 s i i f d n x y f 4 c f z m l S w J 8 i 9 K u 5 1 n X 7 0 4 + f 1 p G M e O n L o 4 J I v 2 l O C n l R P 9 R L 5 6 I 3 1 a 5 3 + T V w q Y s T W 8 n 4 3 V H l m V E X K Y Y b 7 P e H d e f o W l z t / / 7 B s a 8 d 7 / 6 0 f M M 3 x 8 c v b N j P f / / T O M 8 T 5 / + e r L z 3 8 + D f j k 9 V d P n v 1 8 G T B k + B k t P H 7 1 Z P e b G f L / R 4 S Y m P q b G e / / + 6 d Y z N J X L 3 6 + j N e x 9 N 4 3 M + T / 9 7 O 0 G / K 9 n y 9 D Z q 5 + d v b z h q t l v P T 9 / 7 8 G f P b 6 5 O X p q w h H 4 5 v f 5 / T 4 1 T c z 3 P + 3 8 P P G 4 d I 3 / z 8 T 3 8 H h v v j q i + 8 + P f 5 9 f p 6 M 9 i k F t s 9 e f f n F z 6 P h v v m G 3 K v / 1 w + W O P n / d 4 z 8 1 Y u n r 3 / / k z e R 4 b I V e n r 6 8 p s Z 7 8 + F E X q / 8 f 7 / N 8 W x a c T P T v 5 / G R D e P O T / 3 w U M g 0 N + 8 t V r d T S / i Q H v / L 9 / w H a O / 3 / m Y m 0 Y M v L f l A R / e v r N j P j / A 5 P 8 7 I t X p 6 9 f / v / M 9 b h x v F g c + f / d k A d i p J 8 8 f v X i z c + D w b K j 9 e o b U s / / L / K z Y t N K H 2 N 5 8 O f D W G G F n v 7 / 0 7 n a N N r / / / l V P 6 9 C h Q H 1 9 O w b W i X 7 / 8 B I / / 8 X 4 M f 8 x a 9 e v / n y C 2 Q 5 v o m x 7 v y / e q z H L 3 / / L 5 / 9 / v L l N z H a / 1 f P r P D w l 9 / Q W s n / S 4 Z 6 8 s U X b 3 7 / s z e n X w y M 9 + X n p 9 / Q g P 9 f w s k b B g z b c 3 I G S 7 v / z Q z 5 / y N z f P L 5 N + Q h / 7 9 / i i U g O H l 1 9 s 0 M + P 8 l b v K N E / z l 5 9 / M e P / f P 8 H / P / U f b 6 W 1 / v 8 V D d 1 q y P / / S k P e K M f f l N 7 6 f / 9 4 3 R T / / y v q 3 T R k G u 8 3 l 8 H 5 f / 9 4 x b / 8 8 v U 3 M 9 7 / 9 5 t i x 9 L 3 v 5 k h / 3 9 k i r 9 8 8 g 1 5 H / / v n 2 I e 7 5 u z / / + P N 7 B K 3 5 h Z + v / I B J 9 8 U z m A / 4 + M 9 8 3 / 3 y a Y F P E X p 8 e v v 3 p 1 G r P C r 7 7 4 / e k z g v 7 z Z s y S 2 X p 5 + v N o l p 8 e v z l 9 8 / + v J e 6 N 4 3 3 + 5 e e v f 5 / / f 7 l a G 8 f 7 O e U A P n / 5 x f / f 8 g A b x 4 y F w p f f Y A j x / 4 V 5 l j G f H L / 5 + T P k p 6 S 6 n r 3 6 8 o t v Z s T / 7 2 B s t k C v T 0 + G P K 7 n 3 1 C G + u d m f u / y v y e n z 2 X g / I u 0 2 z 1 6 + p 3 X n x 6 / + r 3 v f f H q 9 / 6 9 X v 7 E T / 3 k 3 s l P 7 f 9 e n / 9 e v w / Z Y t N E 2 + 7 x M K O P a b t 3 9 P j F V 1 / 8 / q 9 P j p + f A m 3 3 B 3 / + 8 t X p C S b c / v 7 4 9 I u X 3 z 5 + f f a a S f n 8 9 C d P n + O 3 k 6 + + + I p / e X 7 8 + e e v j g B f f n v 8 g q L X V y C t / O J T c P e b o u D v d f Y U L + C H 0 P A G w r 3 e + 3 3 O 7 h 1 / + u T + z r P d z 0 + + + n 3 + v 0 a 4 g 5 8 r w r 3 6 q Z 9 8 9 f y n 7 u / 8 1 M P f 5 9 V P v H r 1 1 f / X C L f / c 0 a 4 3 + f k 9 O m T L 5 5 + 9 / Q n v v j J n z o 4 / v 8 a 4 f Z + r g j 3 e v f Z / l d f v P h y 7 / 6 n 3 3 3 + e z 0 5 / f 8 a 4 T 7 9 o R P u q 7 3 f + y e + 2 P / 2 k y + / 2 j n 5 q Z / 4 6 s 1 P P f n J s 2 / f + 2 B R B Q 6 G Q m y 1 v j k a 7 d 7 7 u S P S 3 p O f e P F T 3 z n + z s s 3 9 / a + 2 v t / M 5 F + + N b S E O n V d 3 / i q + P X + z / 1 8 v X 9 g 7 1 P P 9 h a / m w S 6 e d O 3 F 4 + / / K n n p x 9 + v T 0 9 / 6 9 f + + f f P r F z x a R M G 7 7 + w e T 6 4 e v 1 i 1 P 3 d 9 7 8 F M 7 b z 4 / / n T v 9 Y v f + 9 O f L X J 9 E z z 1 c + Y 0 v N 5 5 8 f n B 8 X d P z l 7 + X l 9 9 + u n u B / P U D 9 v 2 3 f + h E 8 5 w 1 4 v j F / s n B w 9 e 7 d / 7 i R d f / l 4 f 7 G 3 9 b H K X I c Q P n 0 g / 8 f T p 8 x c P v / 3 d r 3 6 v n a c P X 3 y w Z / W z S a S f O 0 5 6 / e W z z 7 / 4 z u f f u X / 6 4 M X n n / / E / 5 u J 9 O C H T i Q b T n / 6 5 v P f 5 / S n n v 9 e r 3 9 q 5 / d 5 / v 9 m Z f 5 z R q N X P 7 W / 9 1 M v n r 5 8 9 t X J y y d P z z 7 Y 0 / x h 6 / K f O x f 9 i 7 P f 5 2 z n 8 + 8 + + P L b X x 4 c H 3 9 w k u t n k b k e / u z S 6 C 7 / + / T V 2 X P G 7 O W r l 2 / O T l 8 L 7 V 6 + + v L l 6 S v 5 G y / r A + s C I D 9 5 / P w r H v n d b u M N L + / t f s j L e 5 2 X 3 + v l e x / w 8 r 0 P G f P + B 7 3 8 I Q T b 9 w n G D C e / v R 8 Q n 3 B f E 8 j u j k 8 D c P r X g f E B p N j d C U i x + / U Q + A A W 2 t 3 Z / w Y Q u P 8 h C H z 6 I S 8 / 8 L F 3 F u j F 7 / X m y 5 / 4 q e + e n N z / 8 r v P n p 1 + v V E d f A h i D z + c r L u h m H w 9 G B / C G 7 v f A G / s f Y C W 2 f 0 Q t b z 3 4 b K 9 v / P h M O 5 / A z A e h j D e j x D 0 s k / F o 6 d 5 0 x b L K v 0 8 a 9 o q f Z b P 8 j o r i x 9 k s y q 9 T l / l x b L N L + q q + X p o B h z r x P G 7 b 3 b 3 v 7 z 3 E 2 + + c 3 a 2 + + m X P / G 1 Y A e M 9 D X J G P D T 1 4 G x i / 9 H x / j 6 J 1 6 / f H L 6 8 u A n P 3 + 2 / / L F 8 d 7 X g z 1 A v w 9 W Z 4 A d 2 E t a O P 7 9 v z j Z + R o y D V C B X i B Q b 1 4 x s N / / J 4 Q 8 X w e k b 0 K O j p / + 5 J e U Y z x + 8 e X X A + a b l A 8 G F p i Y n Q d 3 d / b u 7 u 0 g A v 0 6 w H y b c r S 3 e 3 e X g X 2 a 7 t 5 7 d G / 3 0 e 7 D r w c 1 M D Y / a w K + 2 3 G y P W K k e / c e 3 d 9 7 h O F 9 H a i B S H 3 g f A V W 8 7 1 U J V 6 + 0 V z e t b H I T x 6 / E l j 8 y 0 + + O P 7 i a O f s 9 3 9 2 9 v q E G h M c / g S t K O 4 R 4 8 m / P f 7 J l 8 e v X l N 4 Q + G d + f X x 6 7 P P X + A D / v n 4 y 5 d v j p 6 8 e X w X P x 8 / / / K 7 R y x V + A V / / f 6 n v / c b w D O / P v 7 2 2 e f f P u J x 8 2 / 8 t z T S j 6 Q Z t X / z e 7 / h Q I 9 / + / 2 f n 7 6 A V + H 9 x a 9 q I / 3 V t P L / f P z t V 7 + P a c W / 2 U b u r 8 c / q S 1 + 0 n w C B W 7 / e P z t 0 + c v f / / j n z w + 4 w D v i 9 e f / / 4 v O B 4 8 + / L J d 1 4 Q J R 0 d 9 R M e + s k X L y 0 x + A + Z o N h U v P 7 9 T 7 7 8 4 i X 9 8 / T 0 9 9 + 9 e T Z e b 5 y N 0 5 / w Z u P L 4 9 / 7 i 8 5 0 2 I / c j B g a 4 h N H 9 K M v 1 s t i W q y K K v 0 y e 5 d N s / Q 7 6 3 / 0 L 6 7 z H 5 h 5 C G Z n / / + 1 0 2 N p 2 5 8 f R 4 v N E / T y 9 3 / 2 + 5 w e v 7 p 5 a l 7 e f m p E M Q d T Y z + 6 a W p + q J J x d P r T e T 0 l T q i E 6 l 9 7 I i A n Q s b O P F j t F a f 9 7 3 X 6 + z x F 4 u I b 1 F K g t I T D w Q T s 7 N 6 l / 0 W m g V / Y 3 b u 3 2 1 N c 9 4 x h f P D / X Q X 2 8 v W b F 5 / / / k + P 3 0 R E J K B U V 0 z u 8 r / f P n 7 x F K l P N r n 6 x + P X b w j c 0 e M 3 l M j 7 / X / i q 9 N X v w 9 w 9 v 5 6 f P b i 5 V d v v i C x R P b X / S E 5 t + d n r 3 l A J 1 + 9 + r 1 + C r + 8 f g X 0 g M 3 B 9 s 7 u N r J J + t F j U r 1 n P 8 l t v n p J 6 c P X r 3 / / L + i f 4 8 9 P L Z T X X 3 3 B 6 b 3 f / 9 W X 3 3 0 N z g k / c N + f f P n 8 q y 9 e h E 3 M Z 4 + / I o r / / s c n b 8 5 + 8 p T f A 2 T / M 2 2 I j 1 / 8 / i f f J k b 8 / b 9 8 I T 2 Q E 9 r 9 y G 9 D b 7 7 m z H H n I 2 r z + s 2 r r 0 7 s S 9 w m / M h v w y / t B m 0 E z u t v 0 9 w 9 / Z L S p 6 c v 3 o A + b 4 6 Z L p 2 P j 5 V c 4 c d E Z W k N m L u / v z L I h o g p b C j v 7 e m f H q D X Z 0 9 / / 7 M X t D L P 5 O 5 + Z l p R q h g f P j v 7 v T H 6 / o c G v H v T N P M / M 6 0 i 0 I I P H 2 O w m I U X n 0 t K + v S 7 d q 7 P X p C r d f a U f 3 3 9 4 s s 3 l B V + 8 / u w X B 4 T k X 4 f m o 9 X Z w j U / D / R B z P p 3 V e n x P e v S T U Q h 3 7 1 n H 5 + c f x 7 / / 6 M h f z C f / 8 + 5 u / f h 9 + Q h u T S P X u G f l 7 9 B L O 5 y E 8 / l F G 5 4 h + / / 0 + e n X 7 X N u a / f v 8 3 a k L O X j y j u X 3 i B 1 b 2 o 8 e f n 7 7 4 6 s U Z + Z U b o k X b 5 j G l v p + T l H 1 x 9 i Z 9 1 x S P l k X 5 2 U d t v c 4 / Q j 8 s P m d f s r K y v 9 O w X r / 6 / V / / 3 s x V N L K f P H t 6 C p 0 f + 5 D U P Y U I L 3 9 / L J 7 g 1 8 e W h k / P v h A 7 8 X s / R 3 b + C 6 v K a E g n J 8 c n Z 0 6 P 4 a d q R x L p 4 y f P O Z g 2 v 9 J M i q y 8 + e o V T / j x 7 6 1 r D r I 8 w F G Q L g 0 Q V / z k c 2 O H 5 Q 8 F z H 8 w u 8 C D c 4 x u l y v c C s a L L 6 n r 1 0 d f 0 Z D k N 0 b w 5 a v X L 9 h R d n + A Y 0 k P / u T z I y R U 7 B + P n c J h 1 j s 7 l a 5 + 8 v T V a 6 I v f o V W f P O l y S 3 R y / r B Y 1 7 W O P q 9 C B r / Q n 9 T b x 7 J 5 O / H v N 5 x d I y / 8 Q v 9 r U s 7 T E P 9 Y 4 9 7 F 0 D f J p 5 X k N 9 m G P q d L p t 8 O w B g / x I I P m W e n p r w h t H W D x 6 f f P n i K R m s I / n U / I W P 3 x y f v X j 9 + / 9 e v w 9 L x + e k 7 F + C 1 + Q X / H 3 8 5 s 2 r M 6 G P 6 m j y D U 5 P w I j e Z 4 B 4 Z j 4 D e X k W e d I t i c k o f Y 7 5 c X 8 Y i p t v / D 9 1 C s x X 3 l / + u t T O N 7 U u R c t n x 8 8 I 6 d c v s c 7 o / W W / O W E / 8 v X L L 0 9 Y 7 e G n L t M d P X 3 + Y P f h l 3 u v f p 8 X X 3 3 7 5 P f + y W f f + X 2 + e v 7 s y c O X P 2 l W 6 b i 3 z / e O U j w 7 a b p 7 w L j R J 4 / f f P s 7 b x S d z / f x y x u e T R Y g 0 m L y l 6 o 0 / e P x F 2 c v v M / t H y D 8 a z M B N M r T 1 0 r 7 1 + A J J j x + e / y a 6 M w 9 / d 5 v X n / 7 2 f O j 3 4 e c C v 0 V n 3 3 x 1 H 7 G v + K z 5 5 / T L 7 8 3 f 8 a / k r I h C T p h R 4 F m m i l j 2 M J + 8 s X p F 0 9 O X 3 X b E R a v i O q M 2 1 M y o m f P Y W M D p k I T Y i x h R f e H O E 1 W X c V 0 1 8 6 z r 1 6 c / P 7 H r 0 6 P P 0 h 7 Y f j 8 0 + m w e z 8 8 H b b z c 6 L D f N L 9 S I v 9 U L U Y 8 t T / r 1 J j v 9 e 3 P / / J L 3 6 v p 7 / P g y + + 8 2 r / 0 1 d D a i y 9 / / 9 2 N f Z 7 R 9 T Y 7 / N N q 7 F v X o 3 B n 3 h O T t z n 3 7 Q W 2 / v h a b G f O 0 9 M K f c j J f Z D V W J Y z P h / l R J 7 8 5 L m 7 s u D Z 6 c / d f K T P / n 5 v U F f 7 M H / m 5 T Y 7 x 1 R Y v 8 f 9 c U 4 K D p 5 / m G e G H 5 a 7 b X / s 6 G 9 8 N v / G 7 S W k O p H S u u H q r S M X v p / i 8 7 6 8 s l P / t T D k 5 9 6 8 f T L n / z u v e + 8 G N R Z O / 9 v 0 l n / P 4 o f R R A / 0 O / C T 6 u z 7 v / s 6 6 y d n 0 O d 9 S N H 6 + e 9 z n p 5 7 / d 6 / n z / y a d v j n + f J 9 9 + 8 2 x Q Z + 3 + S G e x m P 2 s 6 K x n v 8 8 H q a x I q L j 7 s 6 + 4 9 n 7 u F B f o 9 S O 9 9 U P V W 5 r 0 / n + P 4 n r 9 e / / U y w f f / e 5 P / t T T 4 8 + / / e m T Q c X 1 6 f 8 X F d f v 8 / 9 + x b X z 7 O z 1 y c v T V x + k u f D T 6 q y H P x s 6 K 5 7 e + r n R X Y 5 k P 1 J e P 1 T l 9 f 8 2 p + u L n a / 2 j + / t 7 u 5 9 9 e X z 7 / 7 E o O 5 K / 1 + f 3 P q 9 / 7 + q u 7 5 6 8 f T 1 7 3 / y 5 h v U X p / + 8 L T X s 5 8 j 7 e W I 9 i P 9 9 f N a f 9 2 / 9 / r b 9 5 7 + 1 P 3 v P H 3 w 4 N N X D w b 1 1 / + r g s b / H + k v C Y L O X n x j 2 m v 3 3 g 9 P e + 3 + n G g v R 7 I f 6 a 6 f 1 7 r r 5 U 8 + f P D d n / z i J w 5 + 7 5 2 f + O 6 9 B 4 + H 4 s a 9 / z f p r t v G j b / 3 / / t 1 F 7 s R 3 5 j i + t l J d M U V 1 8 7 P i e J S e v 1 I a / 2 8 1 l r f e f n 6 4 f G b v d P X O 9 9 + 8 v K 7 P z X o c d 1 L / 1 + l t / 5 / 5 3 N 9 9 e L k G 9 N d W A f + Y e m u n 0 u n i 2 n 2 I / 3 1 8 1 p / / c Q X v / d X B 1 / 8 P g + / / M 6 9 T 4 9 P B v U X 4 p D / 9 2 i v / z 9 5 X S d f f P H m 9 z 9 7 c / r F B 6 m v y E r j / v / f l Z h P u h 9 p s R + q F t v 7 f 5 k a + + K n f m J n / 8 3 e T z w 9 2 / u J B 6 d f v R p 0 w / b / v + m G / X 9 B k b 3 8 6 v f / 4 v T 4 N S m l D 9 J k + G l 1 2 N 4 P T 4 f t / N z o M J 9 q P 1 J i P 1 Q l 9 v 8 y H f b i + c P 7 3 / 5 9 n r z 8 9 o u D L z 4 9 + / w 7 g z r s 0 / + 3 a 7 D / j 7 p i H B S 9 f P X l N 6 a + d v 9 / r 7 4 c y X 6 k u 3 5 e 6 6 7 X n z 7 Z + + 7 9 5 y f f e X W w u / f d Q d 2 1 e / / / T b r r / 0 d h p L c E / J P f v v f s / v G X v 8 9 P P f z i + c 5 P b V J m + N X X Y R h o 8 L e E l r 9 3 L 7 T 8 4 e X 2 G d s P U 2 Y M I q q 9 N h D t a 6 o z / e 3 n Q o 1 h m o K / f w h K b W d Q q e 0 M K z V r V H 4 Y S s 3 / y y k y / O y p s B 4 P D L h f e / + v C i H 1 V y g s / R V 6 C r / + v 1 R T s c v w + v S b y 9 b v 3 P v Z 0 E b 4 7 e c 6 w e V I 9 T X V 0 f + n v a v 3 U U T / P / e u X v x e D 0 5 + 7 + d f 3 v t 9 9 t 5 8 / v L h T w 6 q p o f / L 1 J M / 3 / y r k Q Q v 3 r y 7 B t T W r s / P B f q 5 1 R 5 M c 1 + p L 1 + X m u v V 6 d f f P 5 7 n T 5 8 s 3 / / / v M v v x j M z e / u / 0 h 7 s Z z 9 L G i v N 0 S L F 9 + Y 8 t p 5 8 L O h v P D b / w u U l p L q R z r r 5 7 X O + u L 1 2 U 8 8 / + r k 9 z r 7 / N X u E 0 Q Y A x 7 X w Y 9 0 F o v Z h + i s u / w v d Q J s X v H n 1 M u p U 2 C 3 S G 6 x t v E a f v r i / s u f + O 4 X B 6 f P T 3 Z / 6 p h s j j S Q d j T 4 o 5 d 1 3 q x X 6 7 x p q 3 S W p 7 9 x c n p B n 1 R N e r y q q 0 k 2 q 9 I v z V t o H s t 9 f f v s 6 d P T F 6 C m / o Y x 8 H w d v a b p N L 8 / f n n 8 6 l Q y W U 9 f n T 1 / / v o N i c D R c x q 2 + + v x t 4 9 f P z 1 9 d v z V 8 z d P v z z 5 i m G G n x A P v X x x / A V T / s n x 6 9 O n I P a b 5 1 9 + / m X w i V W z 9 p O T L 7 9 4 e f Y 0 f E 3 1 9 d 0 O u b 8 x 6 j 8 4 / e p k 7 8 X v / e q r B 6 f f f v p 7 f e d r U D 9 K e r e c s o H 0 z z 6 M 9 C K u / 9 8 h 9 c G n Z 7 / P 6 b O H T x 6 + + f y 7 r 7 5 6 0 i f 1 8 W J V F t m 0 q J Z 5 M 8 T T L o P y I 5 4 e J P T v 8 + D 3 + o l P f 6 + v X j 7 7 z s m n + / c 2 E z p K 5 f 3 b U P n n G f s + f P n d B 7 u / 9 3 d P 7 + 8 + f / V 7 P f 3 J P l W 3 X u W z 9 V S o e m e I f + / f h r I / z / n 3 + N u / 1 5 u n L x / 8 3 r / X i y 8 / p Y z S D Z S O k v n T 2 5 D 5 5 x k D P 3 n 4 8 N n L z 7 / z 7 Z 2 H P / H F y e / 9 7 A b 9 u 5 1 6 R I 7 S 2 I V W P 6 K x a X i y 8 / v s 7 T 7 4 y Z 1 n P / l m 9 9 W D B x v d i S h R D z p E Z Q L 8 f C X m 6 y + + P P m p T 7 / z k 9 / + y W / f / / y n + s R 8 m l / m y w v y w X 7 j 5 P 5 + + i y b t l G a P r w N o / 4 8 1 7 l P f 6 8 n x 1 / + x N m 9 J / d + 7 + 9 + 5 y c i U Y h H 6 0 9 3 Y m T e 3 f k R m W 8 k 8 + m T n / q 9 d 7 7 9 5 o u f + I m d J 7 / P T i T c s G S O k r g b 0 f 1 8 1 g 7 P f v L p / S 9 3 P n / 5 / P e 5 / + l P / F 4 R L / f 0 p / N 6 W g y G x 7 u 3 i t F + n v P r s 3 t f f u f k 4 f 1 P P z 3 Z e 3 V y H I n Z D J G j F L 5 V s P b z j G 2 / f f o T p 0 + + c + / 1 t z 8 9 3 v 3 O v Y h z + z K D + A 8 x 7 a 0 i s 5 / n T P v 5 i 9 1 X P / X q 9 c P d 3 + v B F / t v I p G a k D h K 3 2 5 8 d i s N e 0 u 6 / n + N V c 8 + f b b z 4 v j Z k + + + P v n 8 9 3 4 a C R h e 5 c W y z S / q Q W 7 9 U R g W o e r v c + + L n 9 r 9 i Z 8 8 O T 3 9 7 p M X k R D B U j V K 0 m 7 U 9 f 9 B B r 3 L / 5 5 I 4 v 3 Z 8 Q l + H L 9 5 J U u C / I v S b u f Z V y 9 O f n 8 a x r E j p y 4 O y a I 9 J f h p 5 U Q / k a / e S J / W + d / k l Q J m b A 3 v Z 2 O 1 R 1 Z l h B x m m O 8 z 3 p 2 X X 2 G p 8 / c / + 4 Z G v P f / + h H z D B + f n H 0 z 4 / 1 / / w x j v M 9 f v v r y 8 5 9 P A z 5 5 / d W T Z z 9 f B g w Z f k Y L j 1 8 9 2 f 1 m h v z / E S E m p v 5 m x v v / / i k W s / T V i 5 8 v 4 3 U s v f f N D P n / / S z t h n z v 5 8 u Q m a u f n f 2 8 4 W o Z L 3 3 / / 6 8 B n 7 0 + e X n 6 K s L R + O b 3 O T 1 + 9 c 0 M 9 / 8 t / L x x u P T N / 8 / E d 3 C 4 L 7 7 6 4 r t P j 3 + f n y e j f U q B 7 b N X X 3 7 x 8 2 i 4 b 7 4 h 9 + r / 9 Y M l T v 7 / H S N / 9 e L p 6 9 / / 5 E 1 k u G y F n p 6 + / G b G + / 8 W I z Q 8 3 v / / p j g 2 j f j Z y f 8 v A 8 K b h / z / u 4 B h c M h P v n q t j u Y 3 M e C d / / c P 2 M 7 x / 8 9 c r A 1 D R v 6 b k u B P T 7 + Z E f 9 / Y J K f f f H q 9 P X L / 5 + 5 H j e O F 4 s j / 7 8 b 8 k C M 9 J P H r 1 6 8 + X k w W H a 0 X n 1 D 6 v n / R X 5 W b F r p Y y w P / n w Y K 6 z Q 0 x + G c / X / r t H + / 8 + v + n k V K g y o p 2 f f 0 C r Z / w d G + v + / A D / m L 3 7 1 + s 2 X X y D L 8 U 2 M d e f / 1 W M 9 f v n 7 f / n s 9 5 c v v 4 n R / r 9 6 Z o W H v / y G 1 k r + X z L U k y + + e P P 7 n 7 0 5 / W J g v C 8 / P / 2 G B v z / E k 7 e M G D Y n p M z W N r 9 b 2 b I / x + Z 4 5 P P v y E P + f / 9 U y w B w c m r s 2 9 m w P 8 v c Z N v n O A v P / 9 m x v v / / g n + / 6 n / e C u t 9 f + v V P O t h v z / r z T k j X L 8 T e m t / / e P 1 0 3 x / 7 + i 3 k 1 D p v F + c x m c / / e P V / z L L 1 9 / M + P 9 f 7 8 p d i x 9 / 5 s Z 8 v 9 H p v j L J 9 + Q 9 / H / / i n m 8 b 4 5 + / k 1 3 m / O L P 1 / Z c D f V A 7 g / y P j f f P / t w k m R f z F 6 f H r r 1 6 d x q z w q y 9 + f / q M o P + 8 G b N k t l 6 e / j y a 5 a f H b 0 7 f / P 9 r i X v j e J 9 / + f n r 3 + f / X 6 7 W x v F + T j m A z 1 9 + 8 f + 3 P M D G M W O h 8 O U 3 G E L 8 f 2 G e Z c w n x 2 9 + / g z 5 K a m u Z 6 + + / O K b G f H / O x i b L d D r 0 5 M h j + v 5 N 5 S h f s / 5 / Y Z G e 5 f / P T l 9 L g P n X 6 T d 7 t H T 5 w 9 2 H 3 6 5 9 + r 3 e f H t 0 5 8 4 f f K d e 6 + / / e n x 7 n f u k Y t p m m j b P R 5 m 9 D F t 9 4 4 e v / j q i 9 / / 9 c n x 8 1 O g g D 9 e v j o 9 Y c S + e P n t 4 9 d n r 5 l q z 0 9 / 8 v Q 5 f j v 5 6 o u v + J f n x 5 9 / / u o I o O S 3 x y 8 o U H 0 F K s o v P m v s 7 n 9 T v P F 7 n T 3 F C / g h 9 L q J S E 9 / r y f H X / 7 E 2 b 0 n 9 3 7 v 7 3 7 n J 1 7 9 v 5 l I 3 5 g A v T e R n t 3 7 8 j s n D + 9 / + u n J 3 q u T 4 y f / b y b S v Z 8 z I h 1 / + / d 6 8 / T l g 9 / 7 9 3 r x 5 a e / z 4 s P F j d 0 7 v 6 w 9 I J + t b 9 / k 5 T 7 9 O e M c M 9 + 8 u n 9 L 3 c + f / n 8 9 7 n / 6 U / 8 X v c + l H B D 3 I V h 2 9 8 / l F q 7 e z 9 n 5 H p w + t X J 3 o v f + 9 V X D 0 6 / / f T 3 + s 6 H k u u H z W c / d 4 Q 7 f f J T v / f O t 9 9 8 8 R M / s f P k 9 9 n 5 Y M L 9 b G q x 3 Z 8 z I j 1 5 + P D Z y 8 + / 8 + 2 d h z / x x c n v / e z / x U R 6 8 H N G o 5 O d 3 2 d v 9 8 F P 7 j z 7 y T e 7 r x 4 8 + F A a / b A l 8 O D n j H A P X 3 7 3 w e 7 v / d 3 T + 7 v P X / 1 e T 3 / y / 2 u E u / 9 z R r j P X + y + + q l X r x / u / l 4 P v t h / 8 8 G E + 1 m U y t 2 f O y K d v P 7 i y 5 O f + v Q 7 P / n t n / z 2 / c 9 / 6 v / F R H r 4 c 0 a j T 1 / c f / k T 3 / 3 i 4 P T 5 y e 5 P H X 9 w u P P D l s C f O 7 t 4 9 u m z n R f H z 5 5 8 9 / X J 5 7 / 3 0 / 8 3 2 8 X d n z t P / u D T s 9 / n 9 N n D J w / f f P 7 d V 1 9 9 c J z 4 w + a u n 7 v Y 8 e D 3 e f B 7 / c S n v 9 d X L 5 9 9 5 + T T / Q 8 O g X 7 Y h P u 5 S 9 + c / T 7 3 v v i p 3 Z / 4 y Z P T 0 + 8 + e f H B r t j P p l j + L P u r d / n f p 6 / O n j N q L 1 + 9 f H N 2 + l q I 9 / L V l y 9 P X 8 n f e F k f Z J Q A 5 C e P n 3 / F Q 7 / b b b z h 5 b 3 d D 3 l 5 7 0 N e v v c B L 9 / 7 k D H v f 9 D L H 0 K w f Z 9 g z H H y 2 / s B 8 Q n 3 N Y H s 7 v g 0 A K t / H R g f Q I r d n Y A U u 1 8 P g Q 9 g o d 2 d / W 8 A g f s f g s C n H / L y A x 9 7 q 0 m / + L 1 P f 5 + H b 1 6 / e v X g 4 O z 3 P t h 9 9 v V G d f A h i D 3 8 c L L u h m L y 9 W B 8 C G / s f g O 8 s f c B W m b 3 Q 9 T y 3 o f L 9 v 7 O h 8 O 4 / w 3 A e B j C e D 9 C 0 M s + F Y + e 5 k 1 b L K v 0 8 6 x p q / R Z P s v r r C x + k M 2 q 9 D p 9 l R f L N r + o q y Z 9 l S 2 q d O / g 6 6 E b c K 5 z c O 7 / 5 L f v P b t / / O X v 8 1 M P v 3 i + 8 1 N f C 3 b A U F + T n A F f f R 0 Y u / h / b 4 z f / f b D 3 / v Z p y 9 P H 7 x + c n x 6 8 N W X + 5 8 + e f D 1 Y M f p 9 + F q D b A D u 0 k L y L / / F y c 7 X 0 O 2 A S r Q D w T q z S s G 9 v v / B L 7 / / b 8 m U N + Y H B 0 / / c k v n 3 / 5 U 8 c v v v x 6 w H z j 8 s H A A m O z s 3 t 3 d + / u 3 s 7 u p 1 8 P m G 9 d j n b 2 7 + 7 c Y 2 D p 7 o N H + N / X U P e A G p i d n 2 V R 5 x 4 D t 9 s j S r r 7 6 a P 9 / U f 3 H n 6 t c e w G w v W B 8 x b Y 0 f d S n n j 5 R g N 6 1 0 Y n P 3 n 8 S m D x L z / 5 4 v i L o 5 2 z 3 / / Z 2 e s T a k x w + B O 0 o k h I z C n / 9 v g n X x 6 / e k 0 B z x l 9 p L 8 + f n 3 2 + Q t 8 w D 8 f f / n y z d G T N 4 / v 4 u f j 5 1 9 + 9 4 j V D 3 7 B X 7 / / 6 e / N 2 S T z 6 + N v n 3 3 + 7 S M e N / / G f 0 s j / U i a U f s 3 v / c b j v 3 4 t 9 / / + e k L + B n e X / y q N t J f T S v / z 8 f f f v X 7 m F b 8 m 2 3 k / n r 8 k 9 r i J 8 0 n U O X 2 j 8 f f P n 3 + 8 v c / / s n j M w 7 5 v n j 9 + e / / g i P E s y + f f O c F U d L R U T / h o Z 9 8 8 d I S g / + Q C Y p N x e v f / + T L L 1 7 S P 0 9 P W T f d M B u v N 8 7 G 6 U 9 4 s / H l 8 e / 9 R W c 6 7 E d u R g w N 8 Y k j + t E X 6 2 U x L V Z F l X 6 Z v c u m W f q d 9 T / 6 F 9 f 5 D 8 w 8 B L O z / / / a 6 b G 0 7 c + P o 8 X m C X r 5 + z / 7 f U 6 R x 7 1 p a l 7 e f m p I F z 3 o T I 3 9 6 K a p + a F K x t H p T + f 1 l D i h E q p / 7 Y m A n A g Z O / N g t V e c 9 r / X 6 e / z F K m M b 1 B L g d I S I A c T Q F a C / h e Z B n 5 h d + / e b k 9 x 3 T O G 5 c H / d x X Y y 9 d v X n z + + z 8 9 f h M R k Y B S X T G 5 y / 9 + + / j F U 2 R D 2 T j q H 4 9 f v y F w R 4 / f U G 7 v 9 / + J r 0 5 f / T 7 A 2 f v r 8 d m L l 1 + 9 + Y L E E k v M 7 g / J w j 0 / e 8 0 D O v n q 1 e / 1 U / j l 9 S u g B 2 w O t n d 2 t 5 F f 0 o 8 e k + o 9 + 0 l u 8 9 V L y i i + f v 3 7 f 0 H / H H 9 + a q G 8 / u o L T v j 9 / q + + / O 5 r c E 7 4 g f v + 5 M v n X 3 3 x I m x i P n v 8 F V H 8 9 z 8 + e X P 2 k 6 f 8 H i D 7 n 2 l D f P z i 9 z / 5 N j H i 7 / / l C + m B 3 N H u R 3 4 b e v M 1 J 5 M 7 H 1 G b 1 2 9 e f X V i X + I 2 4 U d + G 3 5 p N 2 g j c F 5 / m + b u 6 Z e U U T 1 9 8 Q b 0 e X P M d O l 8 f K z k C j 8 m K k t r w N z 9 / Z V B N s R O Y U N 5 b 0 / / 9 A C 9 P n v 6 + 5 + 9 e H r 6 e z O 5 u 5 + Z V p Q 9 x o f P z n 5 v j L 7 / o Q H v 3 j T N / M 9 M q w i 0 4 M P H G C x m 4 c X n k q U + / a 6 d 6 7 M X 5 G q d P e V f X 7 / 4 8 g 3 l i d / 8 P i y X x 0 S k 3 4 f m 4 9 U Z Q j b / T / T B T H r 3 1 S n x / W t S D c S h X z 2 n n 1 8 c / 9 6 / P 2 M h v / D f v 4 / 5 + / f h N 6 Q h u X T P n q G f V z / B b C 7 y E w t q V L L 4 x + / / k 2 e n 3 7 X N + a / f / 4 0 a k b M X z 2 h 2 n / h B l v 3 o 8 e e n L 7 5 6 c U a e 5 Y b I 0 b Z 5 T O n w 5 y R n X 5 y 9 S d 8 1 x a N l U X 7 2 U V u v 8 4 / Q D w v Q 2 Z c v M M H 2 d x r Y 6 1 e / / + v f m / m K x v a T Z 0 9 P o U r e d D 5 4 8 / u f k b q A D y z N 8 R d N S L b I j z C O 0 + e n Y M / f n 7 w u / u x x 4 C Z T W + M K / z 7 6 E n 9 G F u T U v H C 2 n O X v Q H D 5 5 f F P Z u W 6 B 1 s + p D Y h x F g H r 0 6 J 1 V 7 9 / s e v X 5 9 + 8 e T 5 7 7 O 5 m y e n 7 4 5 n s 2 I 5 S n 8 y r 5 u i W n 7 2 4 N 7 O z p j / G 6 U n 6 7 J d 1 / l n y 3 z d U h J k l L 5 c T 8 p i + n v l 1 2 + q t / n y s 4 d 7 n 2 a f 7 u 0 c T C f n 9 w 8 m 2 e T r 4 H n y n D D d j O S 0 W o y b b D W e F O O 8 H W f L r L z + Q V 6 P M y A + p h G c t f n i T f 6 u P S 3 z R b 5 s 3 w s L F j Q z 2 5 v R e P q S v e L b w z 7 9 v Y k t b z H X N I S f f L W 3 + 9 3 f 6 8 3 J 5 z s / + Z P P 7 + + + + b 1 + 7 9 / 7 q + N 7 e y e f v 1 e H r 7 9 9 e v r m h k G Y 7 J b k t k x K 6 7 2 6 e X o K d + b 3 f / 3 t 4 5 c 3 j + z Z w R 6 t d n 7 x E 9 + h J e L d 1 2 9 + r 5 3 P f + L 5 / k N e H 3 m P L l 9 B E 2 7 u 6 3 c 7 / d 1 2 H + G f 9 w L 8 9 O z 1 y + f H v 8 / v D / 1 4 d k L K 9 / m b 0 1 e b + Z H d x P c A / e z L V 1 8 c v / l m Y U I 9 / P 6 q H 2 6 Q n l 9 Y t o e / x 7 t F m V 6 q h H + 0 O 9 7 5 K M 2 X 0 4 r k 5 + K z j 9 b t + f b u p x / 9 H r / w o j 3 8 j R M 0 f 5 3 X B X K e u S d V K Y F Y N o 9 I u 3 7 2 0 b x t V 4 / u 3 r 2 6 u h p f 3 R t X 9 Q U 5 n u S w / t 5 f P H 8 9 n e e L b L t Y N m 2 2 n J L 6 N W / N b n 7 r I 0 E g T Y H C m + t V j r 9 P K g b V 4 r O 7 5 k P T 6 O w p / h I H j B v I B + Z r H r 9 5 B 0 P h N s G n M t 6 7 s Q H j 6 / d i p e O v 3 n z 5 7 G y z / L 3 v P J 8 c v 4 S 1 e m + Y d 3 0 z Z C y d m K 7 N d m z f d P W z Y M f 2 3 4 u c P 7 J j 7 4 P F / 0 v s 2 L 2 X 3 7 7 3 e 3 + 5 / / K r h 9 / e + 4 n P X + y + / O L h 7 3 W 6 / + X O 7 / V e H f 6 / 0 Y 6 9 + e 7 u d 5 7 s 7 L 1 8 + Z 2 H J 8 + e f b n z j B j m 8 9 2 v f q + T 9 + r y N n b s 2 7 B j 3 / 6 R H f v / l R 3 7 y Y x Q m Z T 5 B j t G S Y y z 4 y f P T 3 9 / L y d + k 1 U j F f Y j o 3 a j U d v 7 W T R q e + 9 F z h 8 Z t f f B 4 v 8 l R u 3 J g y 9 f v 7 y / + 8 X v 9 f A n v v v p / s v v n D 5 8 9 n u f v v r u y 9 / 7 v T r 8 f 6 N R O / 6 9 n 3 z 5 4 P f + 9 u n T r 0 6 + / V N P n 3 z 7 O 7 / 3 p w e f v / z O T 3 7 5 X l 3 e x q g 9 h V F 7 + i O j 9 v 8 r o / a s K N u 8 3 m D S Z M Z + f 7 v k 8 v M r S P t G 7 d n n r y g 3 v G u 4 6 R s y Z A b o e 8 j k z 0 8 L 9 n l d z N 6 r + 5 9 N 0 / X m + N X n p 5 K n H u h i 9 0 O 7 e A / r + F M v a E F g f / + n f u + z 3 / v F T z 4 / / v b v 8 3 u d / d T r n / j 2 z s 5 7 d X g L 6 / j s K 9 K n p + m L L 9 M n X 7 5 6 x c v g t 4 f / X m b x 9 / q 9 z p 4 8 2 / n O v Z / 6 f V 6 f v L n / 4 P P d V 1 + 9 f r r 7 6 i f f r 8 v b m M V j m M W z 3 2 1 3 9 / 5 7 g R a r t R n 2 e 3 o n X 7 6 i l Y 6 T L 1 / c I C z v B / X b Z 6 c 0 U S f f / n 1 + N k G z u a U V V 1 o 4 O / 1 m D P m L 4 5 8 8 + / z 4 x h j l P T H + J k M p M M B X z 4 + / S f S e v j q j N b S n X 3 7 3 h S z Y v v j J b w R T m p d T 0 s U n p 7 / / 7 3 X 6 + 3 y j H H D y / O w l 1 u p / 7 5 v U x v P n r 8 9 + 6 v R r w b 7 B v n 0 t 2 M d P v / P V a 3 D s G Y W P x 6 9 O N 8 / i b e l M f 7 4 5 P b m R Z 2 8 L 7 u m X v z + t L f / + T 8 m N f X P 6 + 7 / 4 6 o s n Z E x v 4 y y / 5 y T y I v / J l 1 / I G j 8 t W Y v l M Z 9 8 I 2 N 5 / d V L U g + v X / / + W E Z / f v b i a 2 i J u / r r 7 V 2 1 b z r n Y I C + B 2 1 / 5 K r d q v v 3 c 9 X e b w r + 3 + W q / V 7 f o c z 8 7 / P q 2 1 / 9 P m + + e / L q 4 O T 3 + u K n d p 7 c e 3 r w 4 L 0 6 / H + V q / Z 7 / 8 R X P / H d p 8 8 + f / b w 2 b 2 d k 8 8 / 3 9 9 7 / u z Z y 2 8 / f / p e X d 7 O V d v b Y W d t 7 9 P 7 O + 8 F / U f e 2 o + 8 t R 9 5 a z / y 1 j y o L 3 / k r Q 3 2 8 b P q r d 1 9 w 7 / Q 5 6 9 / f 7 P g R t L z 5 p g 6 e n X 0 2 P 7 6 + 3 / 7 + M X T 5 6 c p p V Q f L Y v y s 4 / a e k 0 Z U + r s z e / 9 + 3 / 5 5 D s 0 e X i f / v / 8 q 9 P X k W Z 3 o / D f G C w Z t V e v f u / g 7 7 O n R 8 f P n x O J n 7 4 6 / v z 3 J w T o l y 9 f 0 v C e 0 m D R E U 8 X / 0 L D 6 r w c A U b S T J T 8 N s 3 S 2 Z v f / 4 v j k 1 d f e r A Y y V s A o T 9 P M B 1 m N F 8 f n S 9 O n 7 + x Y F 5 / f T g q P L / / d 7 9 8 9 X s 9 + f L L 3 + t r D M p Q 5 r t P o D 7 p q x d f H x 2 D x u / / k v x X + u P p 1 8 D n z b d P 4 b + 9 9 3 u v 3 / w + t G D 8 1 U t y M E 9 / f 6 h A f x g 7 7 z W M N + Q E v S b t / 4 F g f h y W y L 3 M f 7 7 X 6 1 + F r 3 / 1 X q + / + P L 3 / + 6 r Y 1 9 k b k t J O 4 u d 4 d / 2 f V a N 9 I E T l A / g c I v M m c 9 M R 7 / 3 T 7 x + c P z V k 0 9 / r 5 + 8 9 + L 3 2 d v / 4 q d O n 3 3 6 6 s 3 + T z x / L + A v y Y q R L f u w a V Y g / M b X o R Y p e f i w r 8 9 e f E 4 M T E G P S u T X g P X V 6 1 O S 4 D d n X 5 B p p 6 X C L 0 l 3 3 l Z J 3 Q 3 1 M S C R L W P z Q 6 b 5 C M r 8 8 d 3 u p 4 9 l 7 I i 4 N s 2 I 1 0 r f e P P 7 v D w 9 + m 5 V v 5 1 U 1 V v T g D 9 8 j B V O E e A j Y n j v L z T 7 / P T o / w E m n b f h S 9 o B A A = = < / A p p l i c a t i o n > 
</file>

<file path=customXml/itemProps1.xml><?xml version="1.0" encoding="utf-8"?>
<ds:datastoreItem xmlns:ds="http://schemas.openxmlformats.org/officeDocument/2006/customXml" ds:itemID="{A4D38309-C9C0-4E15-AD43-C7C33098142F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Destino Gto Fed y Reint</vt:lpstr>
      <vt:lpstr>FUENTE NO BORRAR</vt:lpstr>
      <vt:lpstr>'Destino Gto Fed y Reint'!Títulos_a_imprimir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1.- Ejercicio y destino de gasto federalizado y reintegros</dc:title>
  <dc:creator>oscar.lozano</dc:creator>
  <cp:lastModifiedBy>Contabilidad</cp:lastModifiedBy>
  <cp:lastPrinted>2018-01-30T16:30:02Z</cp:lastPrinted>
  <dcterms:created xsi:type="dcterms:W3CDTF">2015-04-08T19:07:52Z</dcterms:created>
  <dcterms:modified xsi:type="dcterms:W3CDTF">2018-01-30T16:30:17Z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6 b) Formato de Ejercicio y Destino del Gasto Federalizado.xlsx</vt:lpwstr>
  </property>
</Properties>
</file>