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0" windowWidth="20115" windowHeight="7500"/>
  </bookViews>
  <sheets>
    <sheet name="Analitico de Ingresos por Rubro" sheetId="1" r:id="rId1"/>
    <sheet name="Fuente 1 NO BORRAR" sheetId="2" state="hidden" r:id="rId2"/>
    <sheet name="BExRepositorySheet" sheetId="4" state="veryHidden" r:id="rId3"/>
    <sheet name="Fuente 2 NO BORRAR" sheetId="3" state="hidden" r:id="rId4"/>
  </sheets>
  <externalReferences>
    <externalReference r:id="rId5"/>
  </externalReferences>
  <definedNames>
    <definedName name="_xlnm.Print_Area" localSheetId="0">'Analitico de Ingresos por Rubro'!$A$2:$L$38</definedName>
  </definedNames>
  <calcPr calcId="145621"/>
</workbook>
</file>

<file path=xl/calcChain.xml><?xml version="1.0" encoding="utf-8"?>
<calcChain xmlns="http://schemas.openxmlformats.org/spreadsheetml/2006/main">
  <c r="H26" i="3" l="1"/>
  <c r="G25" i="3"/>
  <c r="F24" i="3"/>
  <c r="E23" i="3"/>
  <c r="D22" i="3"/>
  <c r="C21" i="3"/>
  <c r="B20" i="3"/>
  <c r="H18" i="3"/>
  <c r="G17" i="3"/>
  <c r="F16" i="3"/>
  <c r="E15" i="3"/>
  <c r="D14" i="3"/>
  <c r="C13" i="3"/>
  <c r="B12" i="3"/>
  <c r="H10" i="3"/>
  <c r="G9" i="3"/>
  <c r="F8" i="3"/>
  <c r="E7" i="3"/>
  <c r="D6" i="3"/>
  <c r="C5" i="3"/>
  <c r="B4" i="3"/>
  <c r="H2" i="3"/>
  <c r="H11" i="2"/>
  <c r="G10" i="2"/>
  <c r="F9" i="2"/>
  <c r="E8" i="2"/>
  <c r="D7" i="2"/>
  <c r="C6" i="2"/>
  <c r="B5" i="2"/>
  <c r="H3" i="2"/>
  <c r="G2" i="2"/>
  <c r="C14" i="3"/>
  <c r="F9" i="3"/>
  <c r="D7" i="3"/>
  <c r="B5" i="3"/>
  <c r="G2" i="3"/>
  <c r="G11" i="2"/>
  <c r="E9" i="2"/>
  <c r="C7" i="2"/>
  <c r="H4" i="2"/>
  <c r="F2" i="2"/>
  <c r="H5" i="2"/>
  <c r="D25" i="3"/>
  <c r="B23" i="3"/>
  <c r="G20" i="3"/>
  <c r="D17" i="3"/>
  <c r="H13" i="3"/>
  <c r="D9" i="3"/>
  <c r="H5" i="3"/>
  <c r="E2" i="3"/>
  <c r="B8" i="2"/>
  <c r="F4" i="2"/>
  <c r="D12" i="3"/>
  <c r="B11" i="2"/>
  <c r="D5" i="2"/>
  <c r="F23" i="3"/>
  <c r="E14" i="3"/>
  <c r="H9" i="3"/>
  <c r="C4" i="3"/>
  <c r="F8" i="2"/>
  <c r="H2" i="2"/>
  <c r="G26" i="3"/>
  <c r="F25" i="3"/>
  <c r="E24" i="3"/>
  <c r="D23" i="3"/>
  <c r="C22" i="3"/>
  <c r="B21" i="3"/>
  <c r="H19" i="3"/>
  <c r="G18" i="3"/>
  <c r="F17" i="3"/>
  <c r="E16" i="3"/>
  <c r="D15" i="3"/>
  <c r="B13" i="3"/>
  <c r="H11" i="3"/>
  <c r="G10" i="3"/>
  <c r="E8" i="3"/>
  <c r="C6" i="3"/>
  <c r="H3" i="3"/>
  <c r="F10" i="2"/>
  <c r="D8" i="2"/>
  <c r="B6" i="2"/>
  <c r="G3" i="2"/>
  <c r="E2" i="2"/>
  <c r="E26" i="3"/>
  <c r="H21" i="3"/>
  <c r="F19" i="3"/>
  <c r="C16" i="3"/>
  <c r="F11" i="3"/>
  <c r="C8" i="3"/>
  <c r="F3" i="3"/>
  <c r="D10" i="2"/>
  <c r="H6" i="2"/>
  <c r="E3" i="2"/>
  <c r="H8" i="3"/>
  <c r="C3" i="3"/>
  <c r="G8" i="2"/>
  <c r="B3" i="2"/>
  <c r="E22" i="3"/>
  <c r="H17" i="3"/>
  <c r="C12" i="3"/>
  <c r="F7" i="3"/>
  <c r="B2" i="2"/>
  <c r="E7" i="2"/>
  <c r="F26" i="3"/>
  <c r="E25" i="3"/>
  <c r="D24" i="3"/>
  <c r="C23" i="3"/>
  <c r="B22" i="3"/>
  <c r="H20" i="3"/>
  <c r="G19" i="3"/>
  <c r="F18" i="3"/>
  <c r="E17" i="3"/>
  <c r="D16" i="3"/>
  <c r="C15" i="3"/>
  <c r="B14" i="3"/>
  <c r="H12" i="3"/>
  <c r="G11" i="3"/>
  <c r="F10" i="3"/>
  <c r="E9" i="3"/>
  <c r="D8" i="3"/>
  <c r="C7" i="3"/>
  <c r="B6" i="3"/>
  <c r="H4" i="3"/>
  <c r="G3" i="3"/>
  <c r="F2" i="3"/>
  <c r="F11" i="2"/>
  <c r="E10" i="2"/>
  <c r="D9" i="2"/>
  <c r="C8" i="2"/>
  <c r="B7" i="2"/>
  <c r="G4" i="2"/>
  <c r="F3" i="2"/>
  <c r="C24" i="3"/>
  <c r="E18" i="3"/>
  <c r="B15" i="3"/>
  <c r="G12" i="3"/>
  <c r="E10" i="3"/>
  <c r="B7" i="3"/>
  <c r="G4" i="3"/>
  <c r="E11" i="2"/>
  <c r="C9" i="2"/>
  <c r="G5" i="2"/>
  <c r="D2" i="2"/>
  <c r="B10" i="3"/>
  <c r="D4" i="3"/>
  <c r="H9" i="2"/>
  <c r="E6" i="2"/>
  <c r="H25" i="3"/>
  <c r="F15" i="3"/>
  <c r="E6" i="3"/>
  <c r="H10" i="2"/>
  <c r="C5" i="2"/>
  <c r="D26" i="3"/>
  <c r="C25" i="3"/>
  <c r="B24" i="3"/>
  <c r="H22" i="3"/>
  <c r="G21" i="3"/>
  <c r="F20" i="3"/>
  <c r="E19" i="3"/>
  <c r="D18" i="3"/>
  <c r="C17" i="3"/>
  <c r="B16" i="3"/>
  <c r="H14" i="3"/>
  <c r="G13" i="3"/>
  <c r="F12" i="3"/>
  <c r="E11" i="3"/>
  <c r="D10" i="3"/>
  <c r="C9" i="3"/>
  <c r="B8" i="3"/>
  <c r="H6" i="3"/>
  <c r="G5" i="3"/>
  <c r="F4" i="3"/>
  <c r="E3" i="3"/>
  <c r="D2" i="3"/>
  <c r="D11" i="2"/>
  <c r="C10" i="2"/>
  <c r="B9" i="2"/>
  <c r="H7" i="2"/>
  <c r="G6" i="2"/>
  <c r="F5" i="2"/>
  <c r="E4" i="2"/>
  <c r="D3" i="2"/>
  <c r="C2" i="2"/>
  <c r="C26" i="3"/>
  <c r="B25" i="3"/>
  <c r="H23" i="3"/>
  <c r="G22" i="3"/>
  <c r="F21" i="3"/>
  <c r="E20" i="3"/>
  <c r="D19" i="3"/>
  <c r="C18" i="3"/>
  <c r="B17" i="3"/>
  <c r="H15" i="3"/>
  <c r="G14" i="3"/>
  <c r="F13" i="3"/>
  <c r="E12" i="3"/>
  <c r="D11" i="3"/>
  <c r="C10" i="3"/>
  <c r="B9" i="3"/>
  <c r="H7" i="3"/>
  <c r="G6" i="3"/>
  <c r="F5" i="3"/>
  <c r="E4" i="3"/>
  <c r="D3" i="3"/>
  <c r="C2" i="3"/>
  <c r="C11" i="2"/>
  <c r="B10" i="2"/>
  <c r="H8" i="2"/>
  <c r="G7" i="2"/>
  <c r="F6" i="2"/>
  <c r="E5" i="2"/>
  <c r="D4" i="2"/>
  <c r="C3" i="2"/>
  <c r="B26" i="3"/>
  <c r="H24" i="3"/>
  <c r="G23" i="3"/>
  <c r="F22" i="3"/>
  <c r="E21" i="3"/>
  <c r="D20" i="3"/>
  <c r="C19" i="3"/>
  <c r="B18" i="3"/>
  <c r="H16" i="3"/>
  <c r="G15" i="3"/>
  <c r="F14" i="3"/>
  <c r="E13" i="3"/>
  <c r="C11" i="3"/>
  <c r="G7" i="3"/>
  <c r="F6" i="3"/>
  <c r="E5" i="3"/>
  <c r="B2" i="3"/>
  <c r="F7" i="2"/>
  <c r="C4" i="2"/>
  <c r="G24" i="3"/>
  <c r="D21" i="3"/>
  <c r="C20" i="3"/>
  <c r="B19" i="3"/>
  <c r="G16" i="3"/>
  <c r="D13" i="3"/>
  <c r="B11" i="3"/>
  <c r="G8" i="3"/>
  <c r="D5" i="3"/>
  <c r="B3" i="3"/>
  <c r="G9" i="2"/>
  <c r="D6" i="2"/>
  <c r="B4" i="2"/>
  <c r="K22" i="1"/>
  <c r="J22" i="1"/>
  <c r="H22" i="1"/>
  <c r="G22" i="1"/>
  <c r="K21" i="1"/>
  <c r="J21" i="1"/>
  <c r="L22" i="1" l="1"/>
  <c r="I22" i="1"/>
  <c r="H21" i="1"/>
  <c r="G21" i="1"/>
  <c r="K20" i="1"/>
  <c r="J20" i="1"/>
  <c r="L21" i="1" l="1"/>
  <c r="I21" i="1"/>
  <c r="H20" i="1"/>
  <c r="G20" i="1"/>
  <c r="K19" i="1"/>
  <c r="J19" i="1"/>
  <c r="L20" i="1" l="1"/>
  <c r="I20" i="1"/>
  <c r="H19" i="1"/>
  <c r="G19" i="1"/>
  <c r="K18" i="1"/>
  <c r="J18" i="1"/>
  <c r="L19" i="1" l="1"/>
  <c r="I19" i="1"/>
  <c r="H18" i="1"/>
  <c r="G18" i="1"/>
  <c r="K17" i="1"/>
  <c r="J17" i="1"/>
  <c r="L18" i="1" l="1"/>
  <c r="I18" i="1"/>
  <c r="H17" i="1"/>
  <c r="G17" i="1"/>
  <c r="K16" i="1"/>
  <c r="J16" i="1"/>
  <c r="L17" i="1" l="1"/>
  <c r="I17" i="1"/>
  <c r="H16" i="1"/>
  <c r="G16" i="1"/>
  <c r="K15" i="1"/>
  <c r="J15" i="1"/>
  <c r="L16" i="1" l="1"/>
  <c r="I16" i="1"/>
  <c r="H15" i="1"/>
  <c r="G15" i="1"/>
  <c r="K14" i="1"/>
  <c r="J14" i="1"/>
  <c r="L15" i="1" l="1"/>
  <c r="I15" i="1"/>
  <c r="H14" i="1"/>
  <c r="G14" i="1"/>
  <c r="K13" i="1"/>
  <c r="J13" i="1"/>
  <c r="L14" i="1" l="1"/>
  <c r="I14" i="1"/>
  <c r="H13" i="1"/>
  <c r="G13" i="1"/>
  <c r="K12" i="1"/>
  <c r="J12" i="1"/>
  <c r="L13" i="1" l="1"/>
  <c r="I13" i="1"/>
  <c r="H12" i="1"/>
  <c r="G12" i="1"/>
  <c r="K11" i="1"/>
  <c r="J11" i="1"/>
  <c r="L12" i="1" l="1"/>
  <c r="I12" i="1"/>
  <c r="H11" i="1"/>
  <c r="G11" i="1"/>
  <c r="K10" i="1"/>
  <c r="J10" i="1"/>
  <c r="L11" i="1" l="1"/>
  <c r="I11" i="1"/>
  <c r="H10" i="1"/>
  <c r="G10" i="1"/>
  <c r="K9" i="1"/>
  <c r="J9" i="1"/>
  <c r="J23" i="1" l="1"/>
  <c r="K23" i="1"/>
  <c r="L10" i="1"/>
  <c r="I10" i="1"/>
  <c r="H9" i="1"/>
  <c r="G9" i="1"/>
  <c r="G23" i="1" l="1"/>
  <c r="L9" i="1"/>
  <c r="L23" i="1" s="1"/>
  <c r="I9" i="1"/>
  <c r="I23" i="1" s="1"/>
  <c r="H23" i="1"/>
  <c r="A5" i="1"/>
  <c r="G1" i="1"/>
  <c r="I1" i="1" s="1"/>
  <c r="F1" i="1"/>
  <c r="H1" i="1" s="1"/>
  <c r="A4" i="1" l="1"/>
</calcChain>
</file>

<file path=xl/sharedStrings.xml><?xml version="1.0" encoding="utf-8"?>
<sst xmlns="http://schemas.openxmlformats.org/spreadsheetml/2006/main" count="103" uniqueCount="89">
  <si>
    <t>Rubro de Ingresos</t>
  </si>
  <si>
    <t>CRI</t>
  </si>
  <si>
    <t>Ingreso</t>
  </si>
  <si>
    <t>Estimado</t>
  </si>
  <si>
    <t>Ampliaciones y 
Reducciones</t>
  </si>
  <si>
    <t>Modificado</t>
  </si>
  <si>
    <t>Devengado</t>
  </si>
  <si>
    <t>Recaudado</t>
  </si>
  <si>
    <t>Diferencia</t>
  </si>
  <si>
    <t>(1)</t>
  </si>
  <si>
    <t>(2)</t>
  </si>
  <si>
    <t>(3=1+2)</t>
  </si>
  <si>
    <t>(4)</t>
  </si>
  <si>
    <t>(5)</t>
  </si>
  <si>
    <t>Impuestos</t>
  </si>
  <si>
    <t>Cuotas y Aportaciones de Seguridad Social</t>
  </si>
  <si>
    <t>Contribuciones de Mejoras</t>
  </si>
  <si>
    <t>Derechos</t>
  </si>
  <si>
    <t>Productos</t>
  </si>
  <si>
    <t>Corriente</t>
  </si>
  <si>
    <t>Capital</t>
  </si>
  <si>
    <t>Aprovechamientos</t>
  </si>
  <si>
    <t>Ingresos por Ventas de Bienes y Servicios</t>
  </si>
  <si>
    <t>Participaciones y Aportaciones</t>
  </si>
  <si>
    <t>Transferencias, Asignaciones, Subsidios y Otras Ayudas</t>
  </si>
  <si>
    <t>Ingresos Derivados de Financiamientos</t>
  </si>
  <si>
    <t>Total</t>
  </si>
  <si>
    <r>
      <t xml:space="preserve">Ingresos excedentes </t>
    </r>
    <r>
      <rPr>
        <b/>
        <vertAlign val="superscript"/>
        <sz val="11"/>
        <color theme="1"/>
        <rFont val="Calibri"/>
        <family val="2"/>
      </rPr>
      <t>1</t>
    </r>
  </si>
  <si>
    <r>
      <rPr>
        <vertAlign val="superscript"/>
        <sz val="11"/>
        <color theme="1"/>
        <rFont val="Calibri"/>
        <family val="2"/>
      </rPr>
      <t>1</t>
    </r>
    <r>
      <rPr>
        <sz val="10"/>
        <rFont val="Arial"/>
        <family val="2"/>
      </rPr>
      <t xml:space="preserve"> Los ingresos excedentes se presentan para efectos de cumplimiento de la Ley General de Contabilidad Gubernamental y el importe reflejado debe ser siempre mayor a cero.</t>
    </r>
  </si>
  <si>
    <t>Estado Analítico de Ingresos por Rubro</t>
  </si>
  <si>
    <t xml:space="preserve">                     PRESIDENTE</t>
  </si>
  <si>
    <t>(6=1-5)</t>
  </si>
  <si>
    <t>Municipio de Oaxaca de Juarez</t>
  </si>
  <si>
    <t>-----------------------------------------------------------------------------</t>
  </si>
  <si>
    <t>SECRETARIO DE FINANZAS Y ADMINISTRACION</t>
  </si>
  <si>
    <t xml:space="preserve">             SINDICO PRIMERO</t>
  </si>
  <si>
    <t>-------------------------------------------------------------------------------</t>
  </si>
  <si>
    <t>------------------------------------------------------------</t>
  </si>
  <si>
    <t xml:space="preserve">     C. JOSE JAVIER VILLACAÑA JIMENEZ</t>
  </si>
  <si>
    <t xml:space="preserve">   C.  CARLOS MELGOZA MARTIN DEL CAMPO</t>
  </si>
  <si>
    <t xml:space="preserve"> C. LEYESEF CARRERA CARRAZCO</t>
  </si>
  <si>
    <t xml:space="preserve">                        SINDICO SEGUNDO</t>
  </si>
  <si>
    <t>REGIDORA DE HACIENDA Y BIENES MUNICIPALES</t>
  </si>
  <si>
    <t xml:space="preserve">   -----------------------------------------------------------------------------</t>
  </si>
  <si>
    <t xml:space="preserve">     C. RODRIGO ELIGIO GONZALEZ ILLIESCAS</t>
  </si>
  <si>
    <t xml:space="preserve">               C. GRISEL VALENCIA SANCHEZ</t>
  </si>
  <si>
    <t>2016</t>
  </si>
  <si>
    <t>28/07/2016</t>
  </si>
  <si>
    <t>1..6</t>
  </si>
  <si>
    <t>Rubro</t>
  </si>
  <si>
    <t>Ley de 
Ingresos Estimada</t>
  </si>
  <si>
    <t>Ampliaciones</t>
  </si>
  <si>
    <t>(Reducciones)</t>
  </si>
  <si>
    <t>Avance de 
Recaudación</t>
  </si>
  <si>
    <t>0</t>
  </si>
  <si>
    <t>1</t>
  </si>
  <si>
    <t>3</t>
  </si>
  <si>
    <t>4</t>
  </si>
  <si>
    <t>5</t>
  </si>
  <si>
    <t>6</t>
  </si>
  <si>
    <t>7</t>
  </si>
  <si>
    <t>8</t>
  </si>
  <si>
    <t>9</t>
  </si>
  <si>
    <t>Resultado total</t>
  </si>
  <si>
    <t>Tipo CRI</t>
  </si>
  <si>
    <t>ENDEUDAMIENTO INTERNO</t>
  </si>
  <si>
    <t>IMPUESTOS SOBRE LOS INGRESOS</t>
  </si>
  <si>
    <t>IMPUESTOS SOBRE EL PATRIMONIO</t>
  </si>
  <si>
    <t>ACCESORIOS DE IMPUESTOS</t>
  </si>
  <si>
    <t>OTROS IMPUESTOS</t>
  </si>
  <si>
    <t>IMPUESTOS NO COMPRENDIDOS EN LAS FRACCIONES DE LA LEY DE ING</t>
  </si>
  <si>
    <t>CONTRIBUCION DE MEJORAS POR OBRAS PUBLICAS</t>
  </si>
  <si>
    <t>CONTRIBUCIONES DE MEJORAS NO COMPRENDIDAS EN LAS FRACCIONES</t>
  </si>
  <si>
    <t>DERECHOS POR EL USO, GOCE, APROVECHAMIENTOS O EXPLOTACION DE</t>
  </si>
  <si>
    <t>DERECHOS POR PRESTACION DE SERVICIOS</t>
  </si>
  <si>
    <t>OTROS DERECHOS</t>
  </si>
  <si>
    <t>ACCESORIOS DE DERECHOS</t>
  </si>
  <si>
    <t>DERECHOS NO COMPRENDIDOS EN LAS FRACCIONES DE LA LEY DEINGRE</t>
  </si>
  <si>
    <t>PRODUCTOS TIPO CORRIENTE</t>
  </si>
  <si>
    <t>PRODUCTOS DE CAPITAL</t>
  </si>
  <si>
    <t>PRODUCTOS NO COMPRENDIDOS EN LAS FRACCIONES DE LA LEY DE ING</t>
  </si>
  <si>
    <t>APROVECHAMIENTOS DE TIPO CORRIENTE</t>
  </si>
  <si>
    <t>APROVECHAMIENTOS DE CAPITAL</t>
  </si>
  <si>
    <t>APROVECHAMIENTOS NO COMPRENDIDOS EN LAS FRACCIONES DE LA LEY</t>
  </si>
  <si>
    <t>INGRESOS POR VENTAS DE BIENES Y SERVICIOS PRODUCIDOS EN ESTA</t>
  </si>
  <si>
    <t>PARTICIPACIONES</t>
  </si>
  <si>
    <t>APORTACIONES</t>
  </si>
  <si>
    <t>SUBSIDIOS Y SUBVENCIONES</t>
  </si>
  <si>
    <t>AYUDAS SOCIALES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</si>
</sst>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#,##0\ %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2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42"/>
        <bgColor indexed="42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55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6">
    <xf numFmtId="0" fontId="0" fillId="0" borderId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13" fillId="0" borderId="26" applyNumberFormat="0" applyFill="0" applyAlignment="0" applyProtection="0"/>
    <xf numFmtId="0" fontId="13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5" fillId="6" borderId="0" applyNumberFormat="0" applyBorder="0" applyAlignment="0" applyProtection="0"/>
    <xf numFmtId="0" fontId="16" fillId="5" borderId="0" applyNumberFormat="0" applyBorder="0" applyAlignment="0" applyProtection="0"/>
    <xf numFmtId="0" fontId="14" fillId="5" borderId="17" applyNumberFormat="0" applyAlignment="0" applyProtection="0"/>
    <xf numFmtId="0" fontId="18" fillId="3" borderId="21" applyNumberFormat="0" applyAlignment="0" applyProtection="0"/>
    <xf numFmtId="0" fontId="10" fillId="3" borderId="17" applyNumberFormat="0" applyAlignment="0" applyProtection="0"/>
    <xf numFmtId="0" fontId="12" fillId="0" borderId="19" applyNumberFormat="0" applyFill="0" applyAlignment="0" applyProtection="0"/>
    <xf numFmtId="0" fontId="11" fillId="4" borderId="18" applyNumberFormat="0" applyAlignment="0" applyProtection="0"/>
    <xf numFmtId="0" fontId="28" fillId="0" borderId="0" applyNumberFormat="0" applyFill="0" applyBorder="0" applyAlignment="0" applyProtection="0"/>
    <xf numFmtId="0" fontId="17" fillId="7" borderId="20" applyNumberFormat="0" applyFont="0" applyAlignment="0" applyProtection="0"/>
    <xf numFmtId="0" fontId="29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3" fillId="0" borderId="0"/>
    <xf numFmtId="4" fontId="19" fillId="8" borderId="22" applyNumberFormat="0" applyProtection="0">
      <alignment vertical="center"/>
    </xf>
    <xf numFmtId="4" fontId="20" fillId="8" borderId="22" applyNumberFormat="0" applyProtection="0">
      <alignment vertical="center"/>
    </xf>
    <xf numFmtId="4" fontId="19" fillId="8" borderId="22" applyNumberFormat="0" applyProtection="0">
      <alignment horizontal="left" vertical="center" indent="1"/>
    </xf>
    <xf numFmtId="0" fontId="19" fillId="8" borderId="22" applyNumberFormat="0" applyProtection="0">
      <alignment horizontal="left" vertical="top" indent="1"/>
    </xf>
    <xf numFmtId="4" fontId="19" fillId="9" borderId="0" applyNumberFormat="0" applyProtection="0">
      <alignment horizontal="left" vertical="center" indent="1"/>
    </xf>
    <xf numFmtId="4" fontId="21" fillId="10" borderId="22" applyNumberFormat="0" applyProtection="0">
      <alignment horizontal="right" vertical="center"/>
    </xf>
    <xf numFmtId="4" fontId="21" fillId="11" borderId="22" applyNumberFormat="0" applyProtection="0">
      <alignment horizontal="right" vertical="center"/>
    </xf>
    <xf numFmtId="4" fontId="21" fillId="12" borderId="22" applyNumberFormat="0" applyProtection="0">
      <alignment horizontal="right" vertical="center"/>
    </xf>
    <xf numFmtId="4" fontId="21" fillId="13" borderId="22" applyNumberFormat="0" applyProtection="0">
      <alignment horizontal="right" vertical="center"/>
    </xf>
    <xf numFmtId="4" fontId="21" fillId="14" borderId="22" applyNumberFormat="0" applyProtection="0">
      <alignment horizontal="right" vertical="center"/>
    </xf>
    <xf numFmtId="4" fontId="21" fillId="15" borderId="22" applyNumberFormat="0" applyProtection="0">
      <alignment horizontal="right" vertical="center"/>
    </xf>
    <xf numFmtId="4" fontId="21" fillId="16" borderId="22" applyNumberFormat="0" applyProtection="0">
      <alignment horizontal="right" vertical="center"/>
    </xf>
    <xf numFmtId="4" fontId="21" fillId="17" borderId="22" applyNumberFormat="0" applyProtection="0">
      <alignment horizontal="right" vertical="center"/>
    </xf>
    <xf numFmtId="4" fontId="21" fillId="18" borderId="22" applyNumberFormat="0" applyProtection="0">
      <alignment horizontal="right" vertical="center"/>
    </xf>
    <xf numFmtId="4" fontId="19" fillId="19" borderId="23" applyNumberFormat="0" applyProtection="0">
      <alignment horizontal="left" vertical="center" indent="1"/>
    </xf>
    <xf numFmtId="4" fontId="21" fillId="20" borderId="0" applyNumberFormat="0" applyProtection="0">
      <alignment horizontal="left" vertical="center" indent="1"/>
    </xf>
    <xf numFmtId="4" fontId="22" fillId="21" borderId="0" applyNumberFormat="0" applyProtection="0">
      <alignment horizontal="left" vertical="center" indent="1"/>
    </xf>
    <xf numFmtId="4" fontId="21" fillId="9" borderId="22" applyNumberFormat="0" applyProtection="0">
      <alignment horizontal="right" vertical="center"/>
    </xf>
    <xf numFmtId="4" fontId="23" fillId="20" borderId="0" applyNumberFormat="0" applyProtection="0">
      <alignment horizontal="left" vertical="center" indent="1"/>
    </xf>
    <xf numFmtId="4" fontId="23" fillId="9" borderId="0" applyNumberFormat="0" applyProtection="0">
      <alignment horizontal="left" vertical="center" indent="1"/>
    </xf>
    <xf numFmtId="0" fontId="17" fillId="21" borderId="22" applyNumberFormat="0" applyProtection="0">
      <alignment horizontal="left" vertical="center" indent="1"/>
    </xf>
    <xf numFmtId="0" fontId="17" fillId="21" borderId="22" applyNumberFormat="0" applyProtection="0">
      <alignment horizontal="left" vertical="top" indent="1"/>
    </xf>
    <xf numFmtId="0" fontId="17" fillId="9" borderId="22" applyNumberFormat="0" applyProtection="0">
      <alignment horizontal="left" vertical="center" indent="1"/>
    </xf>
    <xf numFmtId="0" fontId="17" fillId="9" borderId="22" applyNumberFormat="0" applyProtection="0">
      <alignment horizontal="left" vertical="top" indent="1"/>
    </xf>
    <xf numFmtId="0" fontId="17" fillId="22" borderId="22" applyNumberFormat="0" applyProtection="0">
      <alignment horizontal="left" vertical="center" indent="1"/>
    </xf>
    <xf numFmtId="0" fontId="17" fillId="22" borderId="22" applyNumberFormat="0" applyProtection="0">
      <alignment horizontal="left" vertical="top" indent="1"/>
    </xf>
    <xf numFmtId="0" fontId="17" fillId="20" borderId="22" applyNumberFormat="0" applyProtection="0">
      <alignment horizontal="left" vertical="center" indent="1"/>
    </xf>
    <xf numFmtId="0" fontId="17" fillId="20" borderId="22" applyNumberFormat="0" applyProtection="0">
      <alignment horizontal="left" vertical="top" indent="1"/>
    </xf>
    <xf numFmtId="0" fontId="17" fillId="23" borderId="16" applyNumberFormat="0">
      <protection locked="0"/>
    </xf>
    <xf numFmtId="4" fontId="21" fillId="24" borderId="22" applyNumberFormat="0" applyProtection="0">
      <alignment vertical="center"/>
    </xf>
    <xf numFmtId="4" fontId="24" fillId="24" borderId="22" applyNumberFormat="0" applyProtection="0">
      <alignment vertical="center"/>
    </xf>
    <xf numFmtId="4" fontId="21" fillId="24" borderId="22" applyNumberFormat="0" applyProtection="0">
      <alignment horizontal="left" vertical="center" indent="1"/>
    </xf>
    <xf numFmtId="0" fontId="21" fillId="24" borderId="22" applyNumberFormat="0" applyProtection="0">
      <alignment horizontal="left" vertical="top" indent="1"/>
    </xf>
    <xf numFmtId="4" fontId="21" fillId="20" borderId="22" applyNumberFormat="0" applyProtection="0">
      <alignment horizontal="right" vertical="center"/>
    </xf>
    <xf numFmtId="4" fontId="24" fillId="20" borderId="22" applyNumberFormat="0" applyProtection="0">
      <alignment horizontal="right" vertical="center"/>
    </xf>
    <xf numFmtId="4" fontId="21" fillId="9" borderId="22" applyNumberFormat="0" applyProtection="0">
      <alignment horizontal="left" vertical="center" indent="1"/>
    </xf>
    <xf numFmtId="0" fontId="21" fillId="9" borderId="22" applyNumberFormat="0" applyProtection="0">
      <alignment horizontal="left" vertical="top" indent="1"/>
    </xf>
    <xf numFmtId="4" fontId="25" fillId="25" borderId="0" applyNumberFormat="0" applyProtection="0">
      <alignment horizontal="left" vertical="center" indent="1"/>
    </xf>
    <xf numFmtId="4" fontId="26" fillId="20" borderId="22" applyNumberFormat="0" applyProtection="0">
      <alignment horizontal="right" vertical="center"/>
    </xf>
    <xf numFmtId="0" fontId="2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37" fillId="49" borderId="0" applyNumberFormat="0" applyBorder="0" applyAlignment="0" applyProtection="0"/>
    <xf numFmtId="0" fontId="17" fillId="0" borderId="0"/>
    <xf numFmtId="4" fontId="21" fillId="20" borderId="0" applyNumberFormat="0" applyProtection="0">
      <alignment horizontal="left" vertical="center" indent="1"/>
    </xf>
    <xf numFmtId="4" fontId="21" fillId="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 applyNumberFormat="0" applyFill="0" applyBorder="0" applyAlignment="0" applyProtection="0"/>
    <xf numFmtId="0" fontId="40" fillId="0" borderId="28" applyNumberFormat="0" applyFill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2" fillId="0" borderId="0" applyNumberFormat="0" applyFill="0" applyBorder="0" applyAlignment="0" applyProtection="0"/>
    <xf numFmtId="0" fontId="43" fillId="50" borderId="0" applyNumberFormat="0" applyBorder="0" applyAlignment="0" applyProtection="0"/>
    <xf numFmtId="0" fontId="44" fillId="51" borderId="0" applyNumberFormat="0" applyBorder="0" applyAlignment="0" applyProtection="0"/>
    <xf numFmtId="0" fontId="45" fillId="52" borderId="0" applyNumberFormat="0" applyBorder="0" applyAlignment="0" applyProtection="0"/>
    <xf numFmtId="0" fontId="46" fillId="53" borderId="31" applyNumberFormat="0" applyAlignment="0" applyProtection="0"/>
    <xf numFmtId="0" fontId="47" fillId="54" borderId="32" applyNumberFormat="0" applyAlignment="0" applyProtection="0"/>
    <xf numFmtId="0" fontId="48" fillId="54" borderId="31" applyNumberFormat="0" applyAlignment="0" applyProtection="0"/>
    <xf numFmtId="0" fontId="49" fillId="0" borderId="33" applyNumberFormat="0" applyFill="0" applyAlignment="0" applyProtection="0"/>
    <xf numFmtId="0" fontId="50" fillId="55" borderId="34" applyNumberFormat="0" applyAlignment="0" applyProtection="0"/>
    <xf numFmtId="0" fontId="4" fillId="0" borderId="0" applyNumberFormat="0" applyFill="0" applyBorder="0" applyAlignment="0" applyProtection="0"/>
    <xf numFmtId="0" fontId="2" fillId="56" borderId="35" applyNumberFormat="0" applyFont="0" applyAlignment="0" applyProtection="0"/>
    <xf numFmtId="0" fontId="51" fillId="0" borderId="0" applyNumberFormat="0" applyFill="0" applyBorder="0" applyAlignment="0" applyProtection="0"/>
    <xf numFmtId="0" fontId="5" fillId="0" borderId="36" applyNumberFormat="0" applyFill="0" applyAlignment="0" applyProtection="0"/>
    <xf numFmtId="0" fontId="2" fillId="0" borderId="0"/>
    <xf numFmtId="0" fontId="2" fillId="56" borderId="35" applyNumberFormat="0" applyFont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17" fillId="0" borderId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13" fillId="0" borderId="26" applyNumberFormat="0" applyFill="0" applyAlignment="0" applyProtection="0"/>
    <xf numFmtId="0" fontId="13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5" fillId="6" borderId="0" applyNumberFormat="0" applyBorder="0" applyAlignment="0" applyProtection="0"/>
    <xf numFmtId="0" fontId="16" fillId="5" borderId="0" applyNumberFormat="0" applyBorder="0" applyAlignment="0" applyProtection="0"/>
    <xf numFmtId="0" fontId="14" fillId="5" borderId="17" applyNumberFormat="0" applyAlignment="0" applyProtection="0"/>
    <xf numFmtId="0" fontId="18" fillId="3" borderId="21" applyNumberFormat="0" applyAlignment="0" applyProtection="0"/>
    <xf numFmtId="0" fontId="10" fillId="3" borderId="17" applyNumberFormat="0" applyAlignment="0" applyProtection="0"/>
    <xf numFmtId="0" fontId="12" fillId="0" borderId="19" applyNumberFormat="0" applyFill="0" applyAlignment="0" applyProtection="0"/>
    <xf numFmtId="0" fontId="11" fillId="4" borderId="18" applyNumberFormat="0" applyAlignment="0" applyProtection="0"/>
    <xf numFmtId="0" fontId="28" fillId="0" borderId="0" applyNumberFormat="0" applyFill="0" applyBorder="0" applyAlignment="0" applyProtection="0"/>
    <xf numFmtId="0" fontId="17" fillId="7" borderId="20" applyNumberFormat="0" applyFont="0" applyAlignment="0" applyProtection="0"/>
    <xf numFmtId="0" fontId="29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56" borderId="35" applyNumberFormat="0" applyFont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56" borderId="35" applyNumberFormat="0" applyFont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56" borderId="35" applyNumberFormat="0" applyFont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71">
    <xf numFmtId="0" fontId="0" fillId="0" borderId="0" xfId="0"/>
    <xf numFmtId="0" fontId="0" fillId="0" borderId="0" xfId="0"/>
    <xf numFmtId="0" fontId="0" fillId="0" borderId="5" xfId="0" applyBorder="1"/>
    <xf numFmtId="0" fontId="0" fillId="0" borderId="0" xfId="0" applyBorder="1"/>
    <xf numFmtId="0" fontId="5" fillId="0" borderId="10" xfId="0" applyFont="1" applyBorder="1"/>
    <xf numFmtId="0" fontId="5" fillId="0" borderId="11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8" fillId="0" borderId="11" xfId="0" applyFont="1" applyBorder="1" applyAlignment="1">
      <alignment horizontal="center"/>
    </xf>
    <xf numFmtId="164" fontId="0" fillId="0" borderId="14" xfId="0" applyNumberFormat="1" applyBorder="1"/>
    <xf numFmtId="164" fontId="5" fillId="0" borderId="1" xfId="0" applyNumberFormat="1" applyFont="1" applyBorder="1"/>
    <xf numFmtId="164" fontId="0" fillId="0" borderId="6" xfId="0" applyNumberFormat="1" applyBorder="1"/>
    <xf numFmtId="0" fontId="35" fillId="0" borderId="0" xfId="0" quotePrefix="1" applyFont="1" applyAlignment="1"/>
    <xf numFmtId="0" fontId="35" fillId="0" borderId="0" xfId="0" applyFont="1"/>
    <xf numFmtId="0" fontId="52" fillId="0" borderId="0" xfId="121" applyFont="1" applyBorder="1" applyAlignment="1">
      <alignment horizontal="left"/>
    </xf>
    <xf numFmtId="4" fontId="52" fillId="0" borderId="0" xfId="121" applyNumberFormat="1" applyFont="1" applyBorder="1"/>
    <xf numFmtId="0" fontId="52" fillId="0" borderId="0" xfId="121" applyFont="1" applyBorder="1"/>
    <xf numFmtId="0" fontId="0" fillId="0" borderId="0" xfId="0"/>
    <xf numFmtId="0" fontId="52" fillId="0" borderId="0" xfId="83" applyFont="1" applyBorder="1"/>
    <xf numFmtId="0" fontId="52" fillId="0" borderId="0" xfId="121" applyFont="1" applyBorder="1" applyAlignment="1">
      <alignment horizontal="left"/>
    </xf>
    <xf numFmtId="0" fontId="52" fillId="0" borderId="0" xfId="121" applyFont="1" applyBorder="1"/>
    <xf numFmtId="4" fontId="52" fillId="0" borderId="0" xfId="121" applyNumberFormat="1" applyFont="1" applyBorder="1"/>
    <xf numFmtId="0" fontId="38" fillId="0" borderId="0" xfId="121" quotePrefix="1" applyFont="1" applyBorder="1"/>
    <xf numFmtId="4" fontId="38" fillId="0" borderId="0" xfId="121" quotePrefix="1" applyNumberFormat="1" applyFont="1" applyBorder="1"/>
    <xf numFmtId="0" fontId="5" fillId="0" borderId="4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49" fontId="0" fillId="0" borderId="8" xfId="0" applyNumberFormat="1" applyFill="1" applyBorder="1" applyAlignment="1">
      <alignment horizontal="center"/>
    </xf>
    <xf numFmtId="49" fontId="17" fillId="0" borderId="9" xfId="0" applyNumberFormat="1" applyFont="1" applyFill="1" applyBorder="1" applyAlignment="1">
      <alignment horizontal="center"/>
    </xf>
    <xf numFmtId="0" fontId="21" fillId="9" borderId="22" xfId="53" quotePrefix="1" applyNumberFormat="1">
      <alignment horizontal="left" vertical="center" indent="1"/>
    </xf>
    <xf numFmtId="4" fontId="21" fillId="20" borderId="22" xfId="51" applyNumberFormat="1">
      <alignment horizontal="right" vertical="center"/>
    </xf>
    <xf numFmtId="3" fontId="21" fillId="20" borderId="22" xfId="51" applyNumberFormat="1">
      <alignment horizontal="right" vertical="center"/>
    </xf>
    <xf numFmtId="165" fontId="21" fillId="20" borderId="22" xfId="51" applyNumberFormat="1">
      <alignment horizontal="right" vertical="center"/>
    </xf>
    <xf numFmtId="0" fontId="19" fillId="8" borderId="22" xfId="20" quotePrefix="1" applyNumberFormat="1">
      <alignment horizontal="left" vertical="center" indent="1"/>
    </xf>
    <xf numFmtId="4" fontId="19" fillId="8" borderId="22" xfId="18" applyNumberFormat="1">
      <alignment vertical="center"/>
    </xf>
    <xf numFmtId="3" fontId="19" fillId="8" borderId="22" xfId="18" applyNumberFormat="1">
      <alignment vertical="center"/>
    </xf>
    <xf numFmtId="165" fontId="19" fillId="8" borderId="22" xfId="18" applyNumberFormat="1">
      <alignment vertical="center"/>
    </xf>
    <xf numFmtId="0" fontId="19" fillId="9" borderId="0" xfId="22" quotePrefix="1" applyNumberFormat="1" applyAlignment="1">
      <alignment horizontal="left" vertical="center" indent="1"/>
    </xf>
    <xf numFmtId="0" fontId="21" fillId="9" borderId="22" xfId="53" quotePrefix="1" applyNumberFormat="1" applyAlignment="1">
      <alignment horizontal="left" vertical="center" wrapText="1" indent="1"/>
    </xf>
    <xf numFmtId="0" fontId="0" fillId="0" borderId="0" xfId="0" applyAlignment="1">
      <alignment horizontal="left" wrapText="1"/>
    </xf>
    <xf numFmtId="0" fontId="5" fillId="0" borderId="7" xfId="0" applyFont="1" applyFill="1" applyBorder="1" applyAlignment="1">
      <alignment horizontal="center" vertical="top"/>
    </xf>
    <xf numFmtId="0" fontId="5" fillId="0" borderId="8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horizontal="center" vertical="top"/>
    </xf>
    <xf numFmtId="0" fontId="5" fillId="0" borderId="1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164" fontId="5" fillId="0" borderId="15" xfId="0" applyNumberFormat="1" applyFont="1" applyBorder="1" applyAlignment="1">
      <alignment horizontal="right"/>
    </xf>
    <xf numFmtId="164" fontId="5" fillId="0" borderId="13" xfId="0" applyNumberFormat="1" applyFont="1" applyBorder="1" applyAlignment="1">
      <alignment horizontal="right"/>
    </xf>
    <xf numFmtId="0" fontId="34" fillId="0" borderId="2" xfId="0" applyFont="1" applyFill="1" applyBorder="1" applyAlignment="1">
      <alignment horizontal="center"/>
    </xf>
    <xf numFmtId="0" fontId="34" fillId="0" borderId="3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</cellXfs>
  <cellStyles count="596">
    <cellStyle name="20% - Énfasis1" xfId="60" builtinId="30" customBuiltin="1"/>
    <cellStyle name="20% - Énfasis1 2" xfId="109"/>
    <cellStyle name="20% - Énfasis1 2 2" xfId="169"/>
    <cellStyle name="20% - Énfasis1 2 2 2" xfId="251"/>
    <cellStyle name="20% - Énfasis1 2 2 2 2" xfId="577"/>
    <cellStyle name="20% - Énfasis1 2 2 2 3" xfId="414"/>
    <cellStyle name="20% - Énfasis1 2 2 3" xfId="496"/>
    <cellStyle name="20% - Énfasis1 2 2 4" xfId="333"/>
    <cellStyle name="20% - Énfasis1 2 3" xfId="208"/>
    <cellStyle name="20% - Énfasis1 2 3 2" xfId="534"/>
    <cellStyle name="20% - Énfasis1 2 3 3" xfId="371"/>
    <cellStyle name="20% - Énfasis1 2 4" xfId="453"/>
    <cellStyle name="20% - Énfasis1 2 5" xfId="290"/>
    <cellStyle name="20% - Énfasis1 3" xfId="151"/>
    <cellStyle name="20% - Énfasis1 3 2" xfId="233"/>
    <cellStyle name="20% - Énfasis1 3 2 2" xfId="559"/>
    <cellStyle name="20% - Énfasis1 3 2 3" xfId="396"/>
    <cellStyle name="20% - Énfasis1 3 3" xfId="478"/>
    <cellStyle name="20% - Énfasis1 3 4" xfId="315"/>
    <cellStyle name="20% - Énfasis1 4" xfId="190"/>
    <cellStyle name="20% - Énfasis1 4 2" xfId="516"/>
    <cellStyle name="20% - Énfasis1 4 3" xfId="353"/>
    <cellStyle name="20% - Énfasis1 5" xfId="434"/>
    <cellStyle name="20% - Énfasis1 6" xfId="271"/>
    <cellStyle name="20% - Énfasis2" xfId="64" builtinId="34" customBuiltin="1"/>
    <cellStyle name="20% - Énfasis2 2" xfId="111"/>
    <cellStyle name="20% - Énfasis2 2 2" xfId="171"/>
    <cellStyle name="20% - Énfasis2 2 2 2" xfId="253"/>
    <cellStyle name="20% - Énfasis2 2 2 2 2" xfId="579"/>
    <cellStyle name="20% - Énfasis2 2 2 2 3" xfId="416"/>
    <cellStyle name="20% - Énfasis2 2 2 3" xfId="498"/>
    <cellStyle name="20% - Énfasis2 2 2 4" xfId="335"/>
    <cellStyle name="20% - Énfasis2 2 3" xfId="210"/>
    <cellStyle name="20% - Énfasis2 2 3 2" xfId="536"/>
    <cellStyle name="20% - Énfasis2 2 3 3" xfId="373"/>
    <cellStyle name="20% - Énfasis2 2 4" xfId="455"/>
    <cellStyle name="20% - Énfasis2 2 5" xfId="292"/>
    <cellStyle name="20% - Énfasis2 3" xfId="153"/>
    <cellStyle name="20% - Énfasis2 3 2" xfId="235"/>
    <cellStyle name="20% - Énfasis2 3 2 2" xfId="561"/>
    <cellStyle name="20% - Énfasis2 3 2 3" xfId="398"/>
    <cellStyle name="20% - Énfasis2 3 3" xfId="480"/>
    <cellStyle name="20% - Énfasis2 3 4" xfId="317"/>
    <cellStyle name="20% - Énfasis2 4" xfId="192"/>
    <cellStyle name="20% - Énfasis2 4 2" xfId="518"/>
    <cellStyle name="20% - Énfasis2 4 3" xfId="355"/>
    <cellStyle name="20% - Énfasis2 5" xfId="436"/>
    <cellStyle name="20% - Énfasis2 6" xfId="273"/>
    <cellStyle name="20% - Énfasis3" xfId="68" builtinId="38" customBuiltin="1"/>
    <cellStyle name="20% - Énfasis3 2" xfId="113"/>
    <cellStyle name="20% - Énfasis3 2 2" xfId="173"/>
    <cellStyle name="20% - Énfasis3 2 2 2" xfId="255"/>
    <cellStyle name="20% - Énfasis3 2 2 2 2" xfId="581"/>
    <cellStyle name="20% - Énfasis3 2 2 2 3" xfId="418"/>
    <cellStyle name="20% - Énfasis3 2 2 3" xfId="500"/>
    <cellStyle name="20% - Énfasis3 2 2 4" xfId="337"/>
    <cellStyle name="20% - Énfasis3 2 3" xfId="212"/>
    <cellStyle name="20% - Énfasis3 2 3 2" xfId="538"/>
    <cellStyle name="20% - Énfasis3 2 3 3" xfId="375"/>
    <cellStyle name="20% - Énfasis3 2 4" xfId="457"/>
    <cellStyle name="20% - Énfasis3 2 5" xfId="294"/>
    <cellStyle name="20% - Énfasis3 3" xfId="155"/>
    <cellStyle name="20% - Énfasis3 3 2" xfId="237"/>
    <cellStyle name="20% - Énfasis3 3 2 2" xfId="563"/>
    <cellStyle name="20% - Énfasis3 3 2 3" xfId="400"/>
    <cellStyle name="20% - Énfasis3 3 3" xfId="482"/>
    <cellStyle name="20% - Énfasis3 3 4" xfId="319"/>
    <cellStyle name="20% - Énfasis3 4" xfId="194"/>
    <cellStyle name="20% - Énfasis3 4 2" xfId="520"/>
    <cellStyle name="20% - Énfasis3 4 3" xfId="357"/>
    <cellStyle name="20% - Énfasis3 5" xfId="438"/>
    <cellStyle name="20% - Énfasis3 6" xfId="275"/>
    <cellStyle name="20% - Énfasis4" xfId="72" builtinId="42" customBuiltin="1"/>
    <cellStyle name="20% - Énfasis4 2" xfId="115"/>
    <cellStyle name="20% - Énfasis4 2 2" xfId="175"/>
    <cellStyle name="20% - Énfasis4 2 2 2" xfId="257"/>
    <cellStyle name="20% - Énfasis4 2 2 2 2" xfId="583"/>
    <cellStyle name="20% - Énfasis4 2 2 2 3" xfId="420"/>
    <cellStyle name="20% - Énfasis4 2 2 3" xfId="502"/>
    <cellStyle name="20% - Énfasis4 2 2 4" xfId="339"/>
    <cellStyle name="20% - Énfasis4 2 3" xfId="214"/>
    <cellStyle name="20% - Énfasis4 2 3 2" xfId="540"/>
    <cellStyle name="20% - Énfasis4 2 3 3" xfId="377"/>
    <cellStyle name="20% - Énfasis4 2 4" xfId="459"/>
    <cellStyle name="20% - Énfasis4 2 5" xfId="296"/>
    <cellStyle name="20% - Énfasis4 3" xfId="157"/>
    <cellStyle name="20% - Énfasis4 3 2" xfId="239"/>
    <cellStyle name="20% - Énfasis4 3 2 2" xfId="565"/>
    <cellStyle name="20% - Énfasis4 3 2 3" xfId="402"/>
    <cellStyle name="20% - Énfasis4 3 3" xfId="484"/>
    <cellStyle name="20% - Énfasis4 3 4" xfId="321"/>
    <cellStyle name="20% - Énfasis4 4" xfId="196"/>
    <cellStyle name="20% - Énfasis4 4 2" xfId="522"/>
    <cellStyle name="20% - Énfasis4 4 3" xfId="359"/>
    <cellStyle name="20% - Énfasis4 5" xfId="440"/>
    <cellStyle name="20% - Énfasis4 6" xfId="277"/>
    <cellStyle name="20% - Énfasis5" xfId="76" builtinId="46" customBuiltin="1"/>
    <cellStyle name="20% - Énfasis5 2" xfId="117"/>
    <cellStyle name="20% - Énfasis5 2 2" xfId="177"/>
    <cellStyle name="20% - Énfasis5 2 2 2" xfId="259"/>
    <cellStyle name="20% - Énfasis5 2 2 2 2" xfId="585"/>
    <cellStyle name="20% - Énfasis5 2 2 2 3" xfId="422"/>
    <cellStyle name="20% - Énfasis5 2 2 3" xfId="504"/>
    <cellStyle name="20% - Énfasis5 2 2 4" xfId="341"/>
    <cellStyle name="20% - Énfasis5 2 3" xfId="216"/>
    <cellStyle name="20% - Énfasis5 2 3 2" xfId="542"/>
    <cellStyle name="20% - Énfasis5 2 3 3" xfId="379"/>
    <cellStyle name="20% - Énfasis5 2 4" xfId="461"/>
    <cellStyle name="20% - Énfasis5 2 5" xfId="298"/>
    <cellStyle name="20% - Énfasis5 3" xfId="159"/>
    <cellStyle name="20% - Énfasis5 3 2" xfId="241"/>
    <cellStyle name="20% - Énfasis5 3 2 2" xfId="567"/>
    <cellStyle name="20% - Énfasis5 3 2 3" xfId="404"/>
    <cellStyle name="20% - Énfasis5 3 3" xfId="486"/>
    <cellStyle name="20% - Énfasis5 3 4" xfId="323"/>
    <cellStyle name="20% - Énfasis5 4" xfId="198"/>
    <cellStyle name="20% - Énfasis5 4 2" xfId="524"/>
    <cellStyle name="20% - Énfasis5 4 3" xfId="361"/>
    <cellStyle name="20% - Énfasis5 5" xfId="442"/>
    <cellStyle name="20% - Énfasis5 6" xfId="279"/>
    <cellStyle name="20% - Énfasis6" xfId="80" builtinId="50" customBuiltin="1"/>
    <cellStyle name="20% - Énfasis6 2" xfId="119"/>
    <cellStyle name="20% - Énfasis6 2 2" xfId="179"/>
    <cellStyle name="20% - Énfasis6 2 2 2" xfId="261"/>
    <cellStyle name="20% - Énfasis6 2 2 2 2" xfId="587"/>
    <cellStyle name="20% - Énfasis6 2 2 2 3" xfId="424"/>
    <cellStyle name="20% - Énfasis6 2 2 3" xfId="506"/>
    <cellStyle name="20% - Énfasis6 2 2 4" xfId="343"/>
    <cellStyle name="20% - Énfasis6 2 3" xfId="218"/>
    <cellStyle name="20% - Énfasis6 2 3 2" xfId="544"/>
    <cellStyle name="20% - Énfasis6 2 3 3" xfId="381"/>
    <cellStyle name="20% - Énfasis6 2 4" xfId="463"/>
    <cellStyle name="20% - Énfasis6 2 5" xfId="300"/>
    <cellStyle name="20% - Énfasis6 3" xfId="161"/>
    <cellStyle name="20% - Énfasis6 3 2" xfId="243"/>
    <cellStyle name="20% - Énfasis6 3 2 2" xfId="569"/>
    <cellStyle name="20% - Énfasis6 3 2 3" xfId="406"/>
    <cellStyle name="20% - Énfasis6 3 3" xfId="488"/>
    <cellStyle name="20% - Énfasis6 3 4" xfId="325"/>
    <cellStyle name="20% - Énfasis6 4" xfId="200"/>
    <cellStyle name="20% - Énfasis6 4 2" xfId="526"/>
    <cellStyle name="20% - Énfasis6 4 3" xfId="363"/>
    <cellStyle name="20% - Énfasis6 5" xfId="444"/>
    <cellStyle name="20% - Énfasis6 6" xfId="281"/>
    <cellStyle name="40% - Énfasis1" xfId="61" builtinId="31" customBuiltin="1"/>
    <cellStyle name="40% - Énfasis1 2" xfId="110"/>
    <cellStyle name="40% - Énfasis1 2 2" xfId="170"/>
    <cellStyle name="40% - Énfasis1 2 2 2" xfId="252"/>
    <cellStyle name="40% - Énfasis1 2 2 2 2" xfId="578"/>
    <cellStyle name="40% - Énfasis1 2 2 2 3" xfId="415"/>
    <cellStyle name="40% - Énfasis1 2 2 3" xfId="497"/>
    <cellStyle name="40% - Énfasis1 2 2 4" xfId="334"/>
    <cellStyle name="40% - Énfasis1 2 3" xfId="209"/>
    <cellStyle name="40% - Énfasis1 2 3 2" xfId="535"/>
    <cellStyle name="40% - Énfasis1 2 3 3" xfId="372"/>
    <cellStyle name="40% - Énfasis1 2 4" xfId="454"/>
    <cellStyle name="40% - Énfasis1 2 5" xfId="291"/>
    <cellStyle name="40% - Énfasis1 3" xfId="152"/>
    <cellStyle name="40% - Énfasis1 3 2" xfId="234"/>
    <cellStyle name="40% - Énfasis1 3 2 2" xfId="560"/>
    <cellStyle name="40% - Énfasis1 3 2 3" xfId="397"/>
    <cellStyle name="40% - Énfasis1 3 3" xfId="479"/>
    <cellStyle name="40% - Énfasis1 3 4" xfId="316"/>
    <cellStyle name="40% - Énfasis1 4" xfId="191"/>
    <cellStyle name="40% - Énfasis1 4 2" xfId="517"/>
    <cellStyle name="40% - Énfasis1 4 3" xfId="354"/>
    <cellStyle name="40% - Énfasis1 5" xfId="435"/>
    <cellStyle name="40% - Énfasis1 6" xfId="272"/>
    <cellStyle name="40% - Énfasis2" xfId="65" builtinId="35" customBuiltin="1"/>
    <cellStyle name="40% - Énfasis2 2" xfId="112"/>
    <cellStyle name="40% - Énfasis2 2 2" xfId="172"/>
    <cellStyle name="40% - Énfasis2 2 2 2" xfId="254"/>
    <cellStyle name="40% - Énfasis2 2 2 2 2" xfId="580"/>
    <cellStyle name="40% - Énfasis2 2 2 2 3" xfId="417"/>
    <cellStyle name="40% - Énfasis2 2 2 3" xfId="499"/>
    <cellStyle name="40% - Énfasis2 2 2 4" xfId="336"/>
    <cellStyle name="40% - Énfasis2 2 3" xfId="211"/>
    <cellStyle name="40% - Énfasis2 2 3 2" xfId="537"/>
    <cellStyle name="40% - Énfasis2 2 3 3" xfId="374"/>
    <cellStyle name="40% - Énfasis2 2 4" xfId="456"/>
    <cellStyle name="40% - Énfasis2 2 5" xfId="293"/>
    <cellStyle name="40% - Énfasis2 3" xfId="154"/>
    <cellStyle name="40% - Énfasis2 3 2" xfId="236"/>
    <cellStyle name="40% - Énfasis2 3 2 2" xfId="562"/>
    <cellStyle name="40% - Énfasis2 3 2 3" xfId="399"/>
    <cellStyle name="40% - Énfasis2 3 3" xfId="481"/>
    <cellStyle name="40% - Énfasis2 3 4" xfId="318"/>
    <cellStyle name="40% - Énfasis2 4" xfId="193"/>
    <cellStyle name="40% - Énfasis2 4 2" xfId="519"/>
    <cellStyle name="40% - Énfasis2 4 3" xfId="356"/>
    <cellStyle name="40% - Énfasis2 5" xfId="437"/>
    <cellStyle name="40% - Énfasis2 6" xfId="274"/>
    <cellStyle name="40% - Énfasis3" xfId="69" builtinId="39" customBuiltin="1"/>
    <cellStyle name="40% - Énfasis3 2" xfId="114"/>
    <cellStyle name="40% - Énfasis3 2 2" xfId="174"/>
    <cellStyle name="40% - Énfasis3 2 2 2" xfId="256"/>
    <cellStyle name="40% - Énfasis3 2 2 2 2" xfId="582"/>
    <cellStyle name="40% - Énfasis3 2 2 2 3" xfId="419"/>
    <cellStyle name="40% - Énfasis3 2 2 3" xfId="501"/>
    <cellStyle name="40% - Énfasis3 2 2 4" xfId="338"/>
    <cellStyle name="40% - Énfasis3 2 3" xfId="213"/>
    <cellStyle name="40% - Énfasis3 2 3 2" xfId="539"/>
    <cellStyle name="40% - Énfasis3 2 3 3" xfId="376"/>
    <cellStyle name="40% - Énfasis3 2 4" xfId="458"/>
    <cellStyle name="40% - Énfasis3 2 5" xfId="295"/>
    <cellStyle name="40% - Énfasis3 3" xfId="156"/>
    <cellStyle name="40% - Énfasis3 3 2" xfId="238"/>
    <cellStyle name="40% - Énfasis3 3 2 2" xfId="564"/>
    <cellStyle name="40% - Énfasis3 3 2 3" xfId="401"/>
    <cellStyle name="40% - Énfasis3 3 3" xfId="483"/>
    <cellStyle name="40% - Énfasis3 3 4" xfId="320"/>
    <cellStyle name="40% - Énfasis3 4" xfId="195"/>
    <cellStyle name="40% - Énfasis3 4 2" xfId="521"/>
    <cellStyle name="40% - Énfasis3 4 3" xfId="358"/>
    <cellStyle name="40% - Énfasis3 5" xfId="439"/>
    <cellStyle name="40% - Énfasis3 6" xfId="276"/>
    <cellStyle name="40% - Énfasis4" xfId="73" builtinId="43" customBuiltin="1"/>
    <cellStyle name="40% - Énfasis4 2" xfId="116"/>
    <cellStyle name="40% - Énfasis4 2 2" xfId="176"/>
    <cellStyle name="40% - Énfasis4 2 2 2" xfId="258"/>
    <cellStyle name="40% - Énfasis4 2 2 2 2" xfId="584"/>
    <cellStyle name="40% - Énfasis4 2 2 2 3" xfId="421"/>
    <cellStyle name="40% - Énfasis4 2 2 3" xfId="503"/>
    <cellStyle name="40% - Énfasis4 2 2 4" xfId="340"/>
    <cellStyle name="40% - Énfasis4 2 3" xfId="215"/>
    <cellStyle name="40% - Énfasis4 2 3 2" xfId="541"/>
    <cellStyle name="40% - Énfasis4 2 3 3" xfId="378"/>
    <cellStyle name="40% - Énfasis4 2 4" xfId="460"/>
    <cellStyle name="40% - Énfasis4 2 5" xfId="297"/>
    <cellStyle name="40% - Énfasis4 3" xfId="158"/>
    <cellStyle name="40% - Énfasis4 3 2" xfId="240"/>
    <cellStyle name="40% - Énfasis4 3 2 2" xfId="566"/>
    <cellStyle name="40% - Énfasis4 3 2 3" xfId="403"/>
    <cellStyle name="40% - Énfasis4 3 3" xfId="485"/>
    <cellStyle name="40% - Énfasis4 3 4" xfId="322"/>
    <cellStyle name="40% - Énfasis4 4" xfId="197"/>
    <cellStyle name="40% - Énfasis4 4 2" xfId="523"/>
    <cellStyle name="40% - Énfasis4 4 3" xfId="360"/>
    <cellStyle name="40% - Énfasis4 5" xfId="441"/>
    <cellStyle name="40% - Énfasis4 6" xfId="278"/>
    <cellStyle name="40% - Énfasis5" xfId="77" builtinId="47" customBuiltin="1"/>
    <cellStyle name="40% - Énfasis5 2" xfId="118"/>
    <cellStyle name="40% - Énfasis5 2 2" xfId="178"/>
    <cellStyle name="40% - Énfasis5 2 2 2" xfId="260"/>
    <cellStyle name="40% - Énfasis5 2 2 2 2" xfId="586"/>
    <cellStyle name="40% - Énfasis5 2 2 2 3" xfId="423"/>
    <cellStyle name="40% - Énfasis5 2 2 3" xfId="505"/>
    <cellStyle name="40% - Énfasis5 2 2 4" xfId="342"/>
    <cellStyle name="40% - Énfasis5 2 3" xfId="217"/>
    <cellStyle name="40% - Énfasis5 2 3 2" xfId="543"/>
    <cellStyle name="40% - Énfasis5 2 3 3" xfId="380"/>
    <cellStyle name="40% - Énfasis5 2 4" xfId="462"/>
    <cellStyle name="40% - Énfasis5 2 5" xfId="299"/>
    <cellStyle name="40% - Énfasis5 3" xfId="160"/>
    <cellStyle name="40% - Énfasis5 3 2" xfId="242"/>
    <cellStyle name="40% - Énfasis5 3 2 2" xfId="568"/>
    <cellStyle name="40% - Énfasis5 3 2 3" xfId="405"/>
    <cellStyle name="40% - Énfasis5 3 3" xfId="487"/>
    <cellStyle name="40% - Énfasis5 3 4" xfId="324"/>
    <cellStyle name="40% - Énfasis5 4" xfId="199"/>
    <cellStyle name="40% - Énfasis5 4 2" xfId="525"/>
    <cellStyle name="40% - Énfasis5 4 3" xfId="362"/>
    <cellStyle name="40% - Énfasis5 5" xfId="443"/>
    <cellStyle name="40% - Énfasis5 6" xfId="280"/>
    <cellStyle name="40% - Énfasis6" xfId="81" builtinId="51" customBuiltin="1"/>
    <cellStyle name="40% - Énfasis6 2" xfId="120"/>
    <cellStyle name="40% - Énfasis6 2 2" xfId="180"/>
    <cellStyle name="40% - Énfasis6 2 2 2" xfId="262"/>
    <cellStyle name="40% - Énfasis6 2 2 2 2" xfId="588"/>
    <cellStyle name="40% - Énfasis6 2 2 2 3" xfId="425"/>
    <cellStyle name="40% - Énfasis6 2 2 3" xfId="507"/>
    <cellStyle name="40% - Énfasis6 2 2 4" xfId="344"/>
    <cellStyle name="40% - Énfasis6 2 3" xfId="219"/>
    <cellStyle name="40% - Énfasis6 2 3 2" xfId="545"/>
    <cellStyle name="40% - Énfasis6 2 3 3" xfId="382"/>
    <cellStyle name="40% - Énfasis6 2 4" xfId="464"/>
    <cellStyle name="40% - Énfasis6 2 5" xfId="301"/>
    <cellStyle name="40% - Énfasis6 3" xfId="162"/>
    <cellStyle name="40% - Énfasis6 3 2" xfId="244"/>
    <cellStyle name="40% - Énfasis6 3 2 2" xfId="570"/>
    <cellStyle name="40% - Énfasis6 3 2 3" xfId="407"/>
    <cellStyle name="40% - Énfasis6 3 3" xfId="489"/>
    <cellStyle name="40% - Énfasis6 3 4" xfId="326"/>
    <cellStyle name="40% - Énfasis6 4" xfId="201"/>
    <cellStyle name="40% - Énfasis6 4 2" xfId="527"/>
    <cellStyle name="40% - Énfasis6 4 3" xfId="364"/>
    <cellStyle name="40% - Énfasis6 5" xfId="445"/>
    <cellStyle name="40% - Énfasis6 6" xfId="282"/>
    <cellStyle name="60% - Énfasis1" xfId="62" builtinId="32" customBuiltin="1"/>
    <cellStyle name="60% - Énfasis2" xfId="66" builtinId="36" customBuiltin="1"/>
    <cellStyle name="60% - Énfasis3" xfId="70" builtinId="40" customBuiltin="1"/>
    <cellStyle name="60% - Énfasis4" xfId="74" builtinId="44" customBuiltin="1"/>
    <cellStyle name="60% - Énfasis5" xfId="78" builtinId="48" customBuiltin="1"/>
    <cellStyle name="60% - Énfasis6" xfId="82" builtinId="52" customBuiltin="1"/>
    <cellStyle name="Buena" xfId="5" builtinId="26" customBuiltin="1"/>
    <cellStyle name="Buena 2" xfId="95"/>
    <cellStyle name="Buena 3" xfId="126"/>
    <cellStyle name="Cálculo" xfId="10" builtinId="22" customBuiltin="1"/>
    <cellStyle name="Cálculo 2" xfId="100"/>
    <cellStyle name="Cálculo 3" xfId="131"/>
    <cellStyle name="Celda de comprobación" xfId="12" builtinId="23" customBuiltin="1"/>
    <cellStyle name="Celda de comprobación 2" xfId="102"/>
    <cellStyle name="Celda de comprobación 3" xfId="133"/>
    <cellStyle name="Celda vinculada" xfId="11" builtinId="24" customBuiltin="1"/>
    <cellStyle name="Celda vinculada 2" xfId="101"/>
    <cellStyle name="Celda vinculada 3" xfId="132"/>
    <cellStyle name="Encabezado 4" xfId="4" builtinId="19" customBuiltin="1"/>
    <cellStyle name="Encabezado 4 2" xfId="94"/>
    <cellStyle name="Encabezado 4 3" xfId="125"/>
    <cellStyle name="Énfasis1" xfId="59" builtinId="29" customBuiltin="1"/>
    <cellStyle name="Énfasis2" xfId="63" builtinId="33" customBuiltin="1"/>
    <cellStyle name="Énfasis3" xfId="67" builtinId="37" customBuiltin="1"/>
    <cellStyle name="Énfasis4" xfId="71" builtinId="41" customBuiltin="1"/>
    <cellStyle name="Énfasis5" xfId="75" builtinId="45" customBuiltin="1"/>
    <cellStyle name="Énfasis6" xfId="79" builtinId="49" customBuiltin="1"/>
    <cellStyle name="Entrada" xfId="8" builtinId="20" customBuiltin="1"/>
    <cellStyle name="Entrada 2" xfId="98"/>
    <cellStyle name="Entrada 3" xfId="129"/>
    <cellStyle name="Incorrecto" xfId="6" builtinId="27" customBuiltin="1"/>
    <cellStyle name="Incorrecto 2" xfId="96"/>
    <cellStyle name="Incorrecto 3" xfId="127"/>
    <cellStyle name="Neutral" xfId="7" builtinId="28" customBuiltin="1"/>
    <cellStyle name="Neutral 2" xfId="97"/>
    <cellStyle name="Neutral 3" xfId="128"/>
    <cellStyle name="Normal" xfId="0" builtinId="0" customBuiltin="1"/>
    <cellStyle name="Normal 2" xfId="89"/>
    <cellStyle name="Normal 2 2" xfId="140"/>
    <cellStyle name="Normal 2 2 2" xfId="184"/>
    <cellStyle name="Normal 2 2 2 2" xfId="265"/>
    <cellStyle name="Normal 2 2 2 2 2" xfId="591"/>
    <cellStyle name="Normal 2 2 2 2 3" xfId="428"/>
    <cellStyle name="Normal 2 2 2 3" xfId="510"/>
    <cellStyle name="Normal 2 2 2 4" xfId="347"/>
    <cellStyle name="Normal 2 2 3" xfId="222"/>
    <cellStyle name="Normal 2 2 3 2" xfId="548"/>
    <cellStyle name="Normal 2 2 3 3" xfId="385"/>
    <cellStyle name="Normal 2 2 4" xfId="467"/>
    <cellStyle name="Normal 2 2 5" xfId="304"/>
    <cellStyle name="Normal 2 3" xfId="165"/>
    <cellStyle name="Normal 2 3 2" xfId="247"/>
    <cellStyle name="Normal 2 3 2 2" xfId="573"/>
    <cellStyle name="Normal 2 3 2 3" xfId="410"/>
    <cellStyle name="Normal 2 3 3" xfId="492"/>
    <cellStyle name="Normal 2 3 4" xfId="329"/>
    <cellStyle name="Normal 2 4" xfId="145"/>
    <cellStyle name="Normal 2 4 2" xfId="227"/>
    <cellStyle name="Normal 2 4 2 2" xfId="553"/>
    <cellStyle name="Normal 2 4 2 3" xfId="390"/>
    <cellStyle name="Normal 2 4 3" xfId="472"/>
    <cellStyle name="Normal 2 4 4" xfId="309"/>
    <cellStyle name="Normal 2 5" xfId="204"/>
    <cellStyle name="Normal 2 5 2" xfId="530"/>
    <cellStyle name="Normal 2 5 3" xfId="367"/>
    <cellStyle name="Normal 2 6" xfId="449"/>
    <cellStyle name="Normal 2 7" xfId="286"/>
    <cellStyle name="Normal 3" xfId="17"/>
    <cellStyle name="Normal 3 2" xfId="88"/>
    <cellStyle name="Normal 3 2 2" xfId="139"/>
    <cellStyle name="Normal 3 2 2 2" xfId="183"/>
    <cellStyle name="Normal 3 2 2 2 2" xfId="264"/>
    <cellStyle name="Normal 3 2 2 2 2 2" xfId="590"/>
    <cellStyle name="Normal 3 2 2 2 2 3" xfId="427"/>
    <cellStyle name="Normal 3 2 2 2 3" xfId="509"/>
    <cellStyle name="Normal 3 2 2 2 4" xfId="346"/>
    <cellStyle name="Normal 3 2 2 3" xfId="221"/>
    <cellStyle name="Normal 3 2 2 3 2" xfId="547"/>
    <cellStyle name="Normal 3 2 2 3 3" xfId="384"/>
    <cellStyle name="Normal 3 2 2 4" xfId="466"/>
    <cellStyle name="Normal 3 2 2 5" xfId="303"/>
    <cellStyle name="Normal 3 2 3" xfId="164"/>
    <cellStyle name="Normal 3 2 3 2" xfId="246"/>
    <cellStyle name="Normal 3 2 3 2 2" xfId="572"/>
    <cellStyle name="Normal 3 2 3 2 3" xfId="409"/>
    <cellStyle name="Normal 3 2 3 3" xfId="491"/>
    <cellStyle name="Normal 3 2 3 4" xfId="328"/>
    <cellStyle name="Normal 3 2 4" xfId="150"/>
    <cellStyle name="Normal 3 2 4 2" xfId="232"/>
    <cellStyle name="Normal 3 2 4 2 2" xfId="558"/>
    <cellStyle name="Normal 3 2 4 2 3" xfId="395"/>
    <cellStyle name="Normal 3 2 4 3" xfId="477"/>
    <cellStyle name="Normal 3 2 4 4" xfId="314"/>
    <cellStyle name="Normal 3 2 5" xfId="203"/>
    <cellStyle name="Normal 3 2 5 2" xfId="529"/>
    <cellStyle name="Normal 3 2 5 3" xfId="366"/>
    <cellStyle name="Normal 3 2 6" xfId="448"/>
    <cellStyle name="Normal 3 2 7" xfId="285"/>
    <cellStyle name="Normal 3 3" xfId="138"/>
    <cellStyle name="Normal 3 3 2" xfId="182"/>
    <cellStyle name="Normal 3 3 2 2" xfId="263"/>
    <cellStyle name="Normal 3 3 2 2 2" xfId="589"/>
    <cellStyle name="Normal 3 3 2 2 3" xfId="426"/>
    <cellStyle name="Normal 3 3 2 3" xfId="508"/>
    <cellStyle name="Normal 3 3 2 4" xfId="345"/>
    <cellStyle name="Normal 3 3 3" xfId="149"/>
    <cellStyle name="Normal 3 3 3 2" xfId="231"/>
    <cellStyle name="Normal 3 3 3 2 2" xfId="557"/>
    <cellStyle name="Normal 3 3 3 2 3" xfId="394"/>
    <cellStyle name="Normal 3 3 3 3" xfId="476"/>
    <cellStyle name="Normal 3 3 3 4" xfId="313"/>
    <cellStyle name="Normal 3 3 4" xfId="220"/>
    <cellStyle name="Normal 3 3 4 2" xfId="546"/>
    <cellStyle name="Normal 3 3 4 3" xfId="383"/>
    <cellStyle name="Normal 3 3 5" xfId="465"/>
    <cellStyle name="Normal 3 3 6" xfId="302"/>
    <cellStyle name="Normal 3 4" xfId="87"/>
    <cellStyle name="Normal 3 4 2" xfId="163"/>
    <cellStyle name="Normal 3 4 2 2" xfId="245"/>
    <cellStyle name="Normal 3 4 2 2 2" xfId="571"/>
    <cellStyle name="Normal 3 4 2 2 3" xfId="408"/>
    <cellStyle name="Normal 3 4 2 3" xfId="490"/>
    <cellStyle name="Normal 3 4 2 4" xfId="327"/>
    <cellStyle name="Normal 3 4 3" xfId="202"/>
    <cellStyle name="Normal 3 4 3 2" xfId="528"/>
    <cellStyle name="Normal 3 4 3 3" xfId="365"/>
    <cellStyle name="Normal 3 4 4" xfId="447"/>
    <cellStyle name="Normal 3 4 5" xfId="284"/>
    <cellStyle name="Normal 3 5" xfId="146"/>
    <cellStyle name="Normal 3 5 2" xfId="228"/>
    <cellStyle name="Normal 3 5 2 2" xfId="554"/>
    <cellStyle name="Normal 3 5 2 3" xfId="391"/>
    <cellStyle name="Normal 3 5 3" xfId="473"/>
    <cellStyle name="Normal 3 5 4" xfId="310"/>
    <cellStyle name="Normal 3 6" xfId="189"/>
    <cellStyle name="Normal 3 6 2" xfId="515"/>
    <cellStyle name="Normal 3 6 3" xfId="352"/>
    <cellStyle name="Normal 3 7" xfId="86"/>
    <cellStyle name="Normal 3 7 2" xfId="446"/>
    <cellStyle name="Normal 3 7 3" xfId="283"/>
    <cellStyle name="Normal 3 8" xfId="433"/>
    <cellStyle name="Normal 3 9" xfId="270"/>
    <cellStyle name="Normal 4" xfId="121"/>
    <cellStyle name="Normal 4 2" xfId="181"/>
    <cellStyle name="Normal 4 3" xfId="147"/>
    <cellStyle name="Normal 4 3 2" xfId="229"/>
    <cellStyle name="Normal 4 3 2 2" xfId="555"/>
    <cellStyle name="Normal 4 3 2 3" xfId="392"/>
    <cellStyle name="Normal 4 3 3" xfId="474"/>
    <cellStyle name="Normal 4 3 4" xfId="311"/>
    <cellStyle name="Normal 5" xfId="107"/>
    <cellStyle name="Normal 5 2" xfId="142"/>
    <cellStyle name="Normal 5 2 2" xfId="186"/>
    <cellStyle name="Normal 5 2 2 2" xfId="267"/>
    <cellStyle name="Normal 5 2 2 2 2" xfId="593"/>
    <cellStyle name="Normal 5 2 2 2 3" xfId="430"/>
    <cellStyle name="Normal 5 2 2 3" xfId="512"/>
    <cellStyle name="Normal 5 2 2 4" xfId="349"/>
    <cellStyle name="Normal 5 2 3" xfId="224"/>
    <cellStyle name="Normal 5 2 3 2" xfId="550"/>
    <cellStyle name="Normal 5 2 3 3" xfId="387"/>
    <cellStyle name="Normal 5 2 4" xfId="469"/>
    <cellStyle name="Normal 5 2 5" xfId="306"/>
    <cellStyle name="Normal 5 3" xfId="144"/>
    <cellStyle name="Normal 5 3 2" xfId="188"/>
    <cellStyle name="Normal 5 3 2 2" xfId="269"/>
    <cellStyle name="Normal 5 3 2 2 2" xfId="595"/>
    <cellStyle name="Normal 5 3 2 2 3" xfId="432"/>
    <cellStyle name="Normal 5 3 2 3" xfId="514"/>
    <cellStyle name="Normal 5 3 2 4" xfId="351"/>
    <cellStyle name="Normal 5 3 3" xfId="226"/>
    <cellStyle name="Normal 5 3 3 2" xfId="552"/>
    <cellStyle name="Normal 5 3 3 3" xfId="389"/>
    <cellStyle name="Normal 5 3 4" xfId="471"/>
    <cellStyle name="Normal 5 3 5" xfId="308"/>
    <cellStyle name="Normal 5 4" xfId="167"/>
    <cellStyle name="Normal 5 4 2" xfId="249"/>
    <cellStyle name="Normal 5 4 2 2" xfId="575"/>
    <cellStyle name="Normal 5 4 2 3" xfId="412"/>
    <cellStyle name="Normal 5 4 3" xfId="494"/>
    <cellStyle name="Normal 5 4 4" xfId="331"/>
    <cellStyle name="Normal 5 5" xfId="148"/>
    <cellStyle name="Normal 5 5 2" xfId="230"/>
    <cellStyle name="Normal 5 5 2 2" xfId="556"/>
    <cellStyle name="Normal 5 5 2 3" xfId="393"/>
    <cellStyle name="Normal 5 5 3" xfId="475"/>
    <cellStyle name="Normal 5 5 4" xfId="312"/>
    <cellStyle name="Normal 5 6" xfId="206"/>
    <cellStyle name="Normal 5 6 2" xfId="532"/>
    <cellStyle name="Normal 5 6 3" xfId="369"/>
    <cellStyle name="Normal 5 7" xfId="451"/>
    <cellStyle name="Normal 5 8" xfId="288"/>
    <cellStyle name="Normal 6" xfId="143"/>
    <cellStyle name="Normal 6 2" xfId="187"/>
    <cellStyle name="Normal 6 2 2" xfId="268"/>
    <cellStyle name="Normal 6 2 2 2" xfId="594"/>
    <cellStyle name="Normal 6 2 2 3" xfId="431"/>
    <cellStyle name="Normal 6 2 3" xfId="513"/>
    <cellStyle name="Normal 6 2 4" xfId="350"/>
    <cellStyle name="Normal 6 3" xfId="225"/>
    <cellStyle name="Normal 6 3 2" xfId="551"/>
    <cellStyle name="Normal 6 3 3" xfId="388"/>
    <cellStyle name="Normal 6 4" xfId="470"/>
    <cellStyle name="Normal 6 5" xfId="307"/>
    <cellStyle name="Normal 7" xfId="83"/>
    <cellStyle name="Notas" xfId="14" builtinId="10" customBuiltin="1"/>
    <cellStyle name="Notas 2" xfId="104"/>
    <cellStyle name="Notas 2 2" xfId="141"/>
    <cellStyle name="Notas 2 2 2" xfId="185"/>
    <cellStyle name="Notas 2 2 2 2" xfId="266"/>
    <cellStyle name="Notas 2 2 2 2 2" xfId="592"/>
    <cellStyle name="Notas 2 2 2 2 3" xfId="429"/>
    <cellStyle name="Notas 2 2 2 3" xfId="511"/>
    <cellStyle name="Notas 2 2 2 4" xfId="348"/>
    <cellStyle name="Notas 2 2 3" xfId="223"/>
    <cellStyle name="Notas 2 2 3 2" xfId="549"/>
    <cellStyle name="Notas 2 2 3 3" xfId="386"/>
    <cellStyle name="Notas 2 2 4" xfId="468"/>
    <cellStyle name="Notas 2 2 5" xfId="305"/>
    <cellStyle name="Notas 2 3" xfId="166"/>
    <cellStyle name="Notas 2 3 2" xfId="248"/>
    <cellStyle name="Notas 2 3 2 2" xfId="574"/>
    <cellStyle name="Notas 2 3 2 3" xfId="411"/>
    <cellStyle name="Notas 2 3 3" xfId="493"/>
    <cellStyle name="Notas 2 3 4" xfId="330"/>
    <cellStyle name="Notas 2 4" xfId="205"/>
    <cellStyle name="Notas 2 4 2" xfId="531"/>
    <cellStyle name="Notas 2 4 3" xfId="368"/>
    <cellStyle name="Notas 2 5" xfId="450"/>
    <cellStyle name="Notas 2 6" xfId="287"/>
    <cellStyle name="Notas 3" xfId="135"/>
    <cellStyle name="Notas 4" xfId="108"/>
    <cellStyle name="Notas 4 2" xfId="168"/>
    <cellStyle name="Notas 4 2 2" xfId="250"/>
    <cellStyle name="Notas 4 2 2 2" xfId="576"/>
    <cellStyle name="Notas 4 2 2 3" xfId="413"/>
    <cellStyle name="Notas 4 2 3" xfId="495"/>
    <cellStyle name="Notas 4 2 4" xfId="332"/>
    <cellStyle name="Notas 4 3" xfId="207"/>
    <cellStyle name="Notas 4 3 2" xfId="533"/>
    <cellStyle name="Notas 4 3 3" xfId="370"/>
    <cellStyle name="Notas 4 4" xfId="452"/>
    <cellStyle name="Notas 4 5" xfId="289"/>
    <cellStyle name="Salida" xfId="9" builtinId="21" customBuiltin="1"/>
    <cellStyle name="Salida 2" xfId="99"/>
    <cellStyle name="Salida 3" xfId="130"/>
    <cellStyle name="SAPBEXaggData" xfId="18"/>
    <cellStyle name="SAPBEXaggDataEmph" xfId="19"/>
    <cellStyle name="SAPBEXaggItem" xfId="20"/>
    <cellStyle name="SAPBEXaggItemX" xfId="21"/>
    <cellStyle name="SAPBEXchaText" xfId="22"/>
    <cellStyle name="SAPBEXexcBad7" xfId="23"/>
    <cellStyle name="SAPBEXexcBad8" xfId="24"/>
    <cellStyle name="SAPBEXexcBad9" xfId="25"/>
    <cellStyle name="SAPBEXexcCritical4" xfId="26"/>
    <cellStyle name="SAPBEXexcCritical5" xfId="27"/>
    <cellStyle name="SAPBEXexcCritical6" xfId="28"/>
    <cellStyle name="SAPBEXexcGood1" xfId="29"/>
    <cellStyle name="SAPBEXexcGood2" xfId="30"/>
    <cellStyle name="SAPBEXexcGood3" xfId="31"/>
    <cellStyle name="SAPBEXfilterDrill" xfId="32"/>
    <cellStyle name="SAPBEXfilterItem" xfId="33"/>
    <cellStyle name="SAPBEXfilterText" xfId="34"/>
    <cellStyle name="SAPBEXformats" xfId="35"/>
    <cellStyle name="SAPBEXheaderItem" xfId="36"/>
    <cellStyle name="SAPBEXheaderItem 2" xfId="84"/>
    <cellStyle name="SAPBEXheaderText" xfId="37"/>
    <cellStyle name="SAPBEXheaderText 2" xfId="85"/>
    <cellStyle name="SAPBEXHLevel0" xfId="38"/>
    <cellStyle name="SAPBEXHLevel0X" xfId="39"/>
    <cellStyle name="SAPBEXHLevel1" xfId="40"/>
    <cellStyle name="SAPBEXHLevel1X" xfId="41"/>
    <cellStyle name="SAPBEXHLevel2" xfId="42"/>
    <cellStyle name="SAPBEXHLevel2X" xfId="43"/>
    <cellStyle name="SAPBEXHLevel3" xfId="44"/>
    <cellStyle name="SAPBEXHLevel3X" xfId="45"/>
    <cellStyle name="SAPBEXinputData" xfId="46"/>
    <cellStyle name="SAPBEXresData" xfId="47"/>
    <cellStyle name="SAPBEXresDataEmph" xfId="48"/>
    <cellStyle name="SAPBEXresItem" xfId="49"/>
    <cellStyle name="SAPBEXresItemX" xfId="50"/>
    <cellStyle name="SAPBEXstdData" xfId="51"/>
    <cellStyle name="SAPBEXstdDataEmph" xfId="52"/>
    <cellStyle name="SAPBEXstdItem" xfId="53"/>
    <cellStyle name="SAPBEXstdItemX" xfId="54"/>
    <cellStyle name="SAPBEXtitle" xfId="55"/>
    <cellStyle name="SAPBEXundefined" xfId="56"/>
    <cellStyle name="Sheet Title" xfId="57"/>
    <cellStyle name="Texto de advertencia" xfId="13" builtinId="11" customBuiltin="1"/>
    <cellStyle name="Texto de advertencia 2" xfId="103"/>
    <cellStyle name="Texto de advertencia 3" xfId="134"/>
    <cellStyle name="Texto explicativo" xfId="15" builtinId="53" customBuiltin="1"/>
    <cellStyle name="Texto explicativo 2" xfId="105"/>
    <cellStyle name="Texto explicativo 3" xfId="136"/>
    <cellStyle name="Título" xfId="58" builtinId="15" customBuiltin="1"/>
    <cellStyle name="Título 1" xfId="1" builtinId="16" customBuiltin="1"/>
    <cellStyle name="Título 1 2" xfId="91"/>
    <cellStyle name="Título 1 3" xfId="122"/>
    <cellStyle name="Título 2" xfId="2" builtinId="17" customBuiltin="1"/>
    <cellStyle name="Título 2 2" xfId="92"/>
    <cellStyle name="Título 2 3" xfId="123"/>
    <cellStyle name="Título 3" xfId="3" builtinId="18" customBuiltin="1"/>
    <cellStyle name="Título 3 2" xfId="93"/>
    <cellStyle name="Título 3 3" xfId="124"/>
    <cellStyle name="Título 4" xfId="90"/>
    <cellStyle name="Total" xfId="16" builtinId="25" customBuiltin="1"/>
    <cellStyle name="Total 2" xfId="106"/>
    <cellStyle name="Total 3" xfId="13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19050</xdr:rowOff>
    </xdr:from>
    <xdr:to>
      <xdr:col>1</xdr:col>
      <xdr:colOff>400050</xdr:colOff>
      <xdr:row>4</xdr:row>
      <xdr:rowOff>381000</xdr:rowOff>
    </xdr:to>
    <xdr:pic>
      <xdr:nvPicPr>
        <xdr:cNvPr id="9" name="8 Imagen"/>
        <xdr:cNvPicPr/>
      </xdr:nvPicPr>
      <xdr:blipFill>
        <a:blip xmlns:r="http://schemas.openxmlformats.org/officeDocument/2006/relationships" r:embed="rId1"/>
        <a:srcRect l="5887" t="10361" r="6158" b="8559"/>
        <a:stretch>
          <a:fillRect/>
        </a:stretch>
      </xdr:blipFill>
      <xdr:spPr bwMode="auto">
        <a:xfrm>
          <a:off x="28576" y="19050"/>
          <a:ext cx="1133474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749300</xdr:colOff>
      <xdr:row>0</xdr:row>
      <xdr:rowOff>0</xdr:rowOff>
    </xdr:to>
    <xdr:pic macro="[1]!DesignIconClicked">
      <xdr:nvPicPr>
        <xdr:cNvPr id="5" name="BExOB64NK7KQ5K48UYJUUHIDGHDD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30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1</xdr:col>
      <xdr:colOff>749300</xdr:colOff>
      <xdr:row>0</xdr:row>
      <xdr:rowOff>0</xdr:rowOff>
    </xdr:to>
    <xdr:pic macro="[1]!DesignIconClicked">
      <xdr:nvPicPr>
        <xdr:cNvPr id="6" name="BEx91V9QF5DSHTCJTNDRACXAFWHE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0"/>
          <a:ext cx="749300" cy="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863600</xdr:colOff>
      <xdr:row>0</xdr:row>
      <xdr:rowOff>0</xdr:rowOff>
    </xdr:to>
    <xdr:pic macro="[1]!DesignIconClicked">
      <xdr:nvPicPr>
        <xdr:cNvPr id="7" name="BEx5BDWH662IRWOHBUEIU1DFGEL2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0"/>
          <a:ext cx="863600" cy="0"/>
        </a:xfrm>
        <a:prstGeom prst="rect">
          <a:avLst/>
        </a:prstGeom>
      </xdr:spPr>
    </xdr:pic>
    <xdr:clientData/>
  </xdr:twoCellAnchor>
  <xdr:twoCellAnchor>
    <xdr:from>
      <xdr:col>10</xdr:col>
      <xdr:colOff>213125</xdr:colOff>
      <xdr:row>1</xdr:row>
      <xdr:rowOff>52918</xdr:rowOff>
    </xdr:from>
    <xdr:to>
      <xdr:col>11</xdr:col>
      <xdr:colOff>1088244</xdr:colOff>
      <xdr:row>4</xdr:row>
      <xdr:rowOff>338668</xdr:rowOff>
    </xdr:to>
    <xdr:pic>
      <xdr:nvPicPr>
        <xdr:cNvPr id="8" name="Imagen 7" descr="Imágenes integradas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625" y="52918"/>
          <a:ext cx="2018119" cy="1005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987425</xdr:colOff>
      <xdr:row>10</xdr:row>
      <xdr:rowOff>149225</xdr:rowOff>
    </xdr:to>
    <xdr:pic macro="[1]!DesignIconClicked">
      <xdr:nvPicPr>
        <xdr:cNvPr id="2" name="BEx3HY14UOW490UCIRXE6VBCUV0E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16850" cy="1768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1111250</xdr:colOff>
      <xdr:row>25</xdr:row>
      <xdr:rowOff>149225</xdr:rowOff>
    </xdr:to>
    <xdr:pic macro="[1]!DesignIconClicked">
      <xdr:nvPicPr>
        <xdr:cNvPr id="2" name="BExXQTEGCZD2SID3E7B0GF0SYCKF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74250" cy="4197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Common%20Files/SAP%20Shared/BW/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BexGetData"/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5"/>
  <sheetViews>
    <sheetView showGridLines="0" tabSelected="1" zoomScale="90" zoomScaleNormal="90" workbookViewId="0">
      <pane ySplit="8" topLeftCell="A9" activePane="bottomLeft" state="frozen"/>
      <selection pane="bottomLeft" activeCell="A9" sqref="A9"/>
    </sheetView>
  </sheetViews>
  <sheetFormatPr baseColWidth="10" defaultRowHeight="12.75" x14ac:dyDescent="0.2"/>
  <cols>
    <col min="5" max="5" width="13.140625" customWidth="1"/>
    <col min="6" max="6" width="13.140625" hidden="1" customWidth="1"/>
    <col min="7" max="7" width="20.42578125" customWidth="1"/>
    <col min="8" max="8" width="18.28515625" customWidth="1"/>
    <col min="9" max="9" width="17.85546875" customWidth="1"/>
    <col min="10" max="10" width="15.7109375" customWidth="1"/>
    <col min="11" max="11" width="17.140625" customWidth="1"/>
    <col min="12" max="12" width="17.5703125" customWidth="1"/>
  </cols>
  <sheetData>
    <row r="1" spans="1:12" s="13" customFormat="1" ht="13.5" hidden="1" thickBot="1" x14ac:dyDescent="0.25">
      <c r="A1" s="12" t="s">
        <v>46</v>
      </c>
      <c r="B1" s="12" t="s">
        <v>47</v>
      </c>
      <c r="E1" s="12" t="s">
        <v>48</v>
      </c>
      <c r="F1" s="13" t="str">
        <f>IF(AND(LEN(E1)&gt;0,LEN(E1)&lt;=2),MID(E1,1,2),MID(E1,1,FIND(".",E1)-1))</f>
        <v>1</v>
      </c>
      <c r="G1" s="13" t="str">
        <f>IF(LEN(E1)&gt;2,MID(E1,FIND(".",E1)+2,2),0)</f>
        <v>6</v>
      </c>
      <c r="H1" s="13" t="str">
        <f>IF(F1="1","Ene",IF(F1="2","Feb",IF(F1="3","Mar",IF(F1="4","Abr",IF(F1="5","May",IF(F1="6","Jun",IF(F1="7","Jul",IF(F1="8","Ago",IF(F1="9","Sep",IF(F1="10","Oct",IF(F1="11","Nov","Dic")))))))))))</f>
        <v>Ene</v>
      </c>
      <c r="I1" s="13" t="str">
        <f>IF(G1&lt;&gt;0,IF(G1="1","Ene",IF(G1="2","Feb",IF(G1="3","Mar",IF(G1="4","Abr",IF(G1="5","May",IF(G1="6","Jun",IF(G1="7","Jul",IF(G1="8","Ago",IF(G1="9","Sep",IF(G1="10","Oct",IF(G1="11","Nov","Dic"))))))))))),0)</f>
        <v>Jun</v>
      </c>
    </row>
    <row r="2" spans="1:12" ht="18.75" x14ac:dyDescent="0.3">
      <c r="A2" s="50" t="s">
        <v>32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2"/>
    </row>
    <row r="3" spans="1:12" ht="15.75" x14ac:dyDescent="0.25">
      <c r="A3" s="53" t="s">
        <v>29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5"/>
    </row>
    <row r="4" spans="1:12" ht="21.75" customHeight="1" x14ac:dyDescent="0.25">
      <c r="A4" s="56" t="str">
        <f>IF(I1=0,CONCATENATE(H1," del ",A1),CONCATENATE("De ",H1," a ",I1," del ",A1))</f>
        <v>De Ene a Jun del 2016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8"/>
    </row>
    <row r="5" spans="1:12" ht="30.75" customHeight="1" thickBot="1" x14ac:dyDescent="0.25">
      <c r="A5" s="43" t="str">
        <f>CONCATENATE("Elaborado el ",MID(B1,1,2), " de ",IF(MID(B1,4,2)="01","Ene",IF(MID(B1,4,2)="02","Feb",IF(MID(B1,4,2)="03","Mar",IF(MID(B1,4,2)="04","Abr",IF(MID(B1,4,2)="05","May",IF(MID(B1,4,2)="06","Jun",IF(MID(B1,4,2)="07","Jul",IF(MID(B1,4,2)="08","Ago",IF(MID(B1,4,2)="09","Sep",IF(MID(B1,4,2)="10","Oct",IF(MID(B1,4,2)="11","Nov","Dec")))))))))))," del ",MID(B1,7,4))</f>
        <v>Elaborado el 28 de Jul del 2016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</row>
    <row r="6" spans="1:12" ht="15.75" thickBot="1" x14ac:dyDescent="0.3">
      <c r="A6" s="65" t="s">
        <v>0</v>
      </c>
      <c r="B6" s="66"/>
      <c r="C6" s="66"/>
      <c r="D6" s="66"/>
      <c r="E6" s="66"/>
      <c r="F6" s="62" t="s">
        <v>1</v>
      </c>
      <c r="G6" s="59" t="s">
        <v>2</v>
      </c>
      <c r="H6" s="60"/>
      <c r="I6" s="60"/>
      <c r="J6" s="60"/>
      <c r="K6" s="61"/>
      <c r="L6" s="24"/>
    </row>
    <row r="7" spans="1:12" ht="30.75" thickBot="1" x14ac:dyDescent="0.3">
      <c r="A7" s="67"/>
      <c r="B7" s="68"/>
      <c r="C7" s="68"/>
      <c r="D7" s="68"/>
      <c r="E7" s="68"/>
      <c r="F7" s="63"/>
      <c r="G7" s="25" t="s">
        <v>3</v>
      </c>
      <c r="H7" s="26" t="s">
        <v>4</v>
      </c>
      <c r="I7" s="25" t="s">
        <v>5</v>
      </c>
      <c r="J7" s="27" t="s">
        <v>6</v>
      </c>
      <c r="K7" s="25" t="s">
        <v>7</v>
      </c>
      <c r="L7" s="28" t="s">
        <v>8</v>
      </c>
    </row>
    <row r="8" spans="1:12" ht="13.5" thickBot="1" x14ac:dyDescent="0.25">
      <c r="A8" s="69"/>
      <c r="B8" s="70"/>
      <c r="C8" s="70"/>
      <c r="D8" s="70"/>
      <c r="E8" s="70"/>
      <c r="F8" s="64"/>
      <c r="G8" s="29" t="s">
        <v>9</v>
      </c>
      <c r="H8" s="30" t="s">
        <v>10</v>
      </c>
      <c r="I8" s="29" t="s">
        <v>11</v>
      </c>
      <c r="J8" s="30" t="s">
        <v>12</v>
      </c>
      <c r="K8" s="29" t="s">
        <v>13</v>
      </c>
      <c r="L8" s="31" t="s">
        <v>31</v>
      </c>
    </row>
    <row r="9" spans="1:12" ht="15" x14ac:dyDescent="0.25">
      <c r="A9" s="2" t="s">
        <v>14</v>
      </c>
      <c r="B9" s="3"/>
      <c r="C9" s="3"/>
      <c r="D9" s="3"/>
      <c r="E9" s="3"/>
      <c r="F9" s="6">
        <v>1</v>
      </c>
      <c r="G9" s="9">
        <f>IF(ISNUMBER([1]!BexGetData("DP_1","'Ley de Ingresos Estimada","1")),([1]!BexGetData("DP_1","'Ley de Ingresos Estimada","1")),0)</f>
        <v>94147108</v>
      </c>
      <c r="H9" s="9">
        <f>(IF(ISNUMBER([1]!BexGetData("DP_1","'Ampliaciones","1")),([1]!BexGetData("DP_1","'Ampliaciones","1")),0)+IF(ISNUMBER([1]!BexGetData("DP_1","'(Reducciones)","1")),([1]!BexGetData("DP_1","'(Reducciones)","1")),0))</f>
        <v>0</v>
      </c>
      <c r="I9" s="9">
        <f>+G9+H9</f>
        <v>94147108</v>
      </c>
      <c r="J9" s="9">
        <f>IF(ISNUMBER([1]!BexGetData("DP_1","'Devengado","1")),([1]!BexGetData("DP_1","'Devengado","1")),0)</f>
        <v>84185328.120000005</v>
      </c>
      <c r="K9" s="9">
        <f>IF(ISNUMBER([1]!BexGetData("DP_1","'Recaudado","1")),([1]!BexGetData("DP_1","'Recaudado","1")),0)</f>
        <v>84185328.120000005</v>
      </c>
      <c r="L9" s="11">
        <f>G9-K9</f>
        <v>9961779.8799999952</v>
      </c>
    </row>
    <row r="10" spans="1:12" ht="15" x14ac:dyDescent="0.25">
      <c r="A10" s="2" t="s">
        <v>15</v>
      </c>
      <c r="B10" s="3"/>
      <c r="C10" s="3"/>
      <c r="D10" s="3"/>
      <c r="E10" s="3"/>
      <c r="F10" s="6">
        <v>2</v>
      </c>
      <c r="G10" s="9">
        <f>IF(ISNUMBER([1]!BexGetData("DP_1","'Ley de Ingresos Estimada","2")),([1]!BexGetData("DP_1","'Ley de Ingresos Estimada","2")),0)</f>
        <v>0</v>
      </c>
      <c r="H10" s="9">
        <f>(IF(ISNUMBER([1]!BexGetData("DP_1","'Ampliaciones","2")),([1]!BexGetData("DP_1","'Ampliaciones","2")),0)+IF(ISNUMBER([1]!BexGetData("DP_1","'(Reducciones)","2")),([1]!BexGetData("DP_1","'(Reducciones)","2")),0))</f>
        <v>0</v>
      </c>
      <c r="I10" s="9">
        <f t="shared" ref="I10:I22" si="0">+G10+H10</f>
        <v>0</v>
      </c>
      <c r="J10" s="9">
        <f>IF(ISNUMBER([1]!BexGetData("DP_1","'Devengado","2")),([1]!BexGetData("DP_1","'Devengado","2")),0)</f>
        <v>0</v>
      </c>
      <c r="K10" s="9">
        <f>IF(ISNUMBER([1]!BexGetData("DP_1","'Recaudado","2")),([1]!BexGetData("DP_1","'Recaudado","2")),0)</f>
        <v>0</v>
      </c>
      <c r="L10" s="11">
        <f t="shared" ref="L10:L22" si="1">G10-K10</f>
        <v>0</v>
      </c>
    </row>
    <row r="11" spans="1:12" ht="15" x14ac:dyDescent="0.25">
      <c r="A11" s="2" t="s">
        <v>16</v>
      </c>
      <c r="B11" s="3"/>
      <c r="C11" s="3"/>
      <c r="D11" s="3"/>
      <c r="E11" s="3"/>
      <c r="F11" s="6">
        <v>3</v>
      </c>
      <c r="G11" s="9">
        <f>IF(ISNUMBER([1]!BexGetData("DP_1","'Ley de Ingresos Estimada","3")),([1]!BexGetData("DP_1","'Ley de Ingresos Estimada","3")),0)</f>
        <v>2</v>
      </c>
      <c r="H11" s="9">
        <f>(IF(ISNUMBER([1]!BexGetData("DP_1","'Ampliaciones","3")),([1]!BexGetData("DP_1","'Ampliaciones","3")),0)+IF(ISNUMBER([1]!BexGetData("DP_1","'(Reducciones)","3")),([1]!BexGetData("DP_1","'(Reducciones)","3")),0))</f>
        <v>0</v>
      </c>
      <c r="I11" s="9">
        <f t="shared" si="0"/>
        <v>2</v>
      </c>
      <c r="J11" s="9">
        <f>IF(ISNUMBER([1]!BexGetData("DP_1","'Devengado","3")),([1]!BexGetData("DP_1","'Devengado","3")),0)</f>
        <v>0</v>
      </c>
      <c r="K11" s="9">
        <f>IF(ISNUMBER([1]!BexGetData("DP_1","'Recaudado","3")),([1]!BexGetData("DP_1","'Recaudado","3")),0)</f>
        <v>0</v>
      </c>
      <c r="L11" s="11">
        <f t="shared" si="1"/>
        <v>2</v>
      </c>
    </row>
    <row r="12" spans="1:12" ht="15" x14ac:dyDescent="0.25">
      <c r="A12" s="2" t="s">
        <v>17</v>
      </c>
      <c r="B12" s="3"/>
      <c r="C12" s="3"/>
      <c r="D12" s="3"/>
      <c r="E12" s="3"/>
      <c r="F12" s="6">
        <v>4</v>
      </c>
      <c r="G12" s="9">
        <f>IF(ISNUMBER([1]!BexGetData("DP_1","'Ley de Ingresos Estimada","4")),([1]!BexGetData("DP_1","'Ley de Ingresos Estimada","4")),0)</f>
        <v>105706115</v>
      </c>
      <c r="H12" s="9">
        <f>(IF(ISNUMBER([1]!BexGetData("DP_1","'Ampliaciones","4")),([1]!BexGetData("DP_1","'Ampliaciones","4")),0)+IF(ISNUMBER([1]!BexGetData("DP_1","'(Reducciones)","4")),([1]!BexGetData("DP_1","'(Reducciones)","4")),0))</f>
        <v>0</v>
      </c>
      <c r="I12" s="9">
        <f t="shared" si="0"/>
        <v>105706115</v>
      </c>
      <c r="J12" s="9">
        <f>IF(ISNUMBER([1]!BexGetData("DP_1","'Devengado","4")),([1]!BexGetData("DP_1","'Devengado","4")),0)</f>
        <v>99039448.659999996</v>
      </c>
      <c r="K12" s="9">
        <f>IF(ISNUMBER([1]!BexGetData("DP_1","'Recaudado","4")),([1]!BexGetData("DP_1","'Recaudado","4")),0)</f>
        <v>99039448.659999996</v>
      </c>
      <c r="L12" s="11">
        <f t="shared" si="1"/>
        <v>6666666.3400000036</v>
      </c>
    </row>
    <row r="13" spans="1:12" ht="15" x14ac:dyDescent="0.25">
      <c r="A13" s="2" t="s">
        <v>18</v>
      </c>
      <c r="B13" s="3"/>
      <c r="C13" s="3"/>
      <c r="D13" s="3"/>
      <c r="E13" s="3"/>
      <c r="F13" s="6">
        <v>5</v>
      </c>
      <c r="G13" s="9">
        <f>IF(ISNUMBER([1]!BexGetData("DP_1","'Ley de Ingresos Estimada","5")),([1]!BexGetData("DP_1","'Ley de Ingresos Estimada","5")),0)</f>
        <v>2220256</v>
      </c>
      <c r="H13" s="9">
        <f>(IF(ISNUMBER([1]!BexGetData("DP_1","'Ampliaciones","5")),([1]!BexGetData("DP_1","'Ampliaciones","5")),0)+IF(ISNUMBER([1]!BexGetData("DP_1","'(Reducciones)","5")),([1]!BexGetData("DP_1","'(Reducciones)","5")),0))</f>
        <v>0</v>
      </c>
      <c r="I13" s="9">
        <f t="shared" si="0"/>
        <v>2220256</v>
      </c>
      <c r="J13" s="9">
        <f>IF(ISNUMBER([1]!BexGetData("DP_1","'Devengado","5")),([1]!BexGetData("DP_1","'Devengado","5")),0)</f>
        <v>2368520.62</v>
      </c>
      <c r="K13" s="9">
        <f>IF(ISNUMBER([1]!BexGetData("DP_1","'Recaudado","5")),([1]!BexGetData("DP_1","'Recaudado","5")),0)</f>
        <v>2368520.62</v>
      </c>
      <c r="L13" s="11">
        <f t="shared" si="1"/>
        <v>-148264.62000000011</v>
      </c>
    </row>
    <row r="14" spans="1:12" ht="15" x14ac:dyDescent="0.25">
      <c r="A14" s="2"/>
      <c r="B14" s="3" t="s">
        <v>19</v>
      </c>
      <c r="C14" s="1"/>
      <c r="D14" s="1"/>
      <c r="E14" s="1"/>
      <c r="F14" s="7">
        <v>51</v>
      </c>
      <c r="G14" s="9">
        <f>(IF(ISNUMBER([1]!BexGetData("DP_2","'Ley de Ingresos Estimada","51")),([1]!BexGetData("DP_2","'Ley de Ingresos Estimada","51")),0)+IF(ISNUMBER([1]!BexGetData("DP_2","'Ley de Ingresos Estimada","54")),([1]!BexGetData("DP_2","'Ley de Ingresos Estimada","54")),0)+IF(ISNUMBER([1]!BexGetData("DP_2","'Ley de Ingresos Estimada","59")),([1]!BexGetData("DP_2","'Ley de Ingresos Estimada","59")),0))</f>
        <v>2220254</v>
      </c>
      <c r="H14" s="9">
        <f>((IF(ISNUMBER([1]!BexGetData("DP_2","'Ampliaciones","51")),([1]!BexGetData("DP_2","'Ampliaciones","51")),0)+IF(ISNUMBER([1]!BexGetData("DP_2","'(Reducciones)","51")),([1]!BexGetData("DP_2","'(Reducciones)","51")),0))+(IF(ISNUMBER([1]!BexGetData("DP_2","'Ampliaciones","54")),([1]!BexGetData("DP_2","'Ampliaciones","54")),0)+IF(ISNUMBER([1]!BexGetData("DP_2","'(Reducciones)","54")),([1]!BexGetData("DP_2","'(Reducciones)","54")),0))+(IF(ISNUMBER([1]!BexGetData("DP_2","'Ampliaciones","59")),([1]!BexGetData("DP_2","'Ampliaciones","59")),0)+IF(ISNUMBER([1]!BexGetData("DP_2","'(Reducciones)","59")),([1]!BexGetData("DP_2","'(Reducciones)","59")),0)))</f>
        <v>0</v>
      </c>
      <c r="I14" s="9">
        <f t="shared" si="0"/>
        <v>2220254</v>
      </c>
      <c r="J14" s="9">
        <f>IF(ISNUMBER([1]!BexGetData("DP_2","'Devengado","51")),([1]!BexGetData("DP_2","'Devengado","51")),0)+IF(ISNUMBER([1]!BexGetData("DP_2","'Devengado","54")),([1]!BexGetData("DP_2","'Devengado","54")),0)+IF(ISNUMBER([1]!BexGetData("DP_2","'Devengado","59")),([1]!BexGetData("DP_2","'Devengado","59")),0)</f>
        <v>2368520.62</v>
      </c>
      <c r="K14" s="9">
        <f>IF(ISNUMBER([1]!BexGetData("DP_2","'Recaudado","51")),([1]!BexGetData("DP_2","'Recaudado","51")),0)+IF(ISNUMBER([1]!BexGetData("DP_2","'Recaudado","54")),([1]!BexGetData("DP_2","'Recaudado","54")),0)+IF(ISNUMBER([1]!BexGetData("DP_2","'Recaudado","59")),([1]!BexGetData("DP_2","'Recaudado","59")),0)</f>
        <v>2368520.62</v>
      </c>
      <c r="L14" s="11">
        <f t="shared" si="1"/>
        <v>-148266.62000000011</v>
      </c>
    </row>
    <row r="15" spans="1:12" ht="15" x14ac:dyDescent="0.25">
      <c r="A15" s="2"/>
      <c r="B15" s="3" t="s">
        <v>20</v>
      </c>
      <c r="C15" s="1"/>
      <c r="D15" s="1"/>
      <c r="E15" s="1"/>
      <c r="F15" s="7">
        <v>52</v>
      </c>
      <c r="G15" s="9">
        <f>IF(ISNUMBER([1]!BexGetData("DP_2","'Ley de Ingresos Estimada","52")),([1]!BexGetData("DP_2","'Ley de Ingresos Estimada","52")),0)</f>
        <v>2</v>
      </c>
      <c r="H15" s="9">
        <f>(IF(ISNUMBER([1]!BexGetData("DP_2","'Ampliaciones","52")),([1]!BexGetData("DP_2","'Ampliaciones","52")),0)+IF(ISNUMBER([1]!BexGetData("DP_2","'(Reducciones)","52")),([1]!BexGetData("DP_2","'(Reducciones)","52")),0))</f>
        <v>0</v>
      </c>
      <c r="I15" s="9">
        <f t="shared" si="0"/>
        <v>2</v>
      </c>
      <c r="J15" s="9">
        <f>IF(ISNUMBER([1]!BexGetData("DP_2","'Devengado","52")),([1]!BexGetData("DP_2","'Devengado","52")),0)</f>
        <v>0</v>
      </c>
      <c r="K15" s="9">
        <f>IF(ISNUMBER([1]!BexGetData("DP_2","'Recaudado","52")),([1]!BexGetData("DP_2","'Recaudado","52")),0)</f>
        <v>0</v>
      </c>
      <c r="L15" s="11">
        <f t="shared" si="1"/>
        <v>2</v>
      </c>
    </row>
    <row r="16" spans="1:12" ht="15" x14ac:dyDescent="0.25">
      <c r="A16" s="2" t="s">
        <v>21</v>
      </c>
      <c r="B16" s="3"/>
      <c r="C16" s="3"/>
      <c r="D16" s="3"/>
      <c r="E16" s="3"/>
      <c r="F16" s="6">
        <v>6</v>
      </c>
      <c r="G16" s="9">
        <f>IF(ISNUMBER([1]!BexGetData("DP_1","'Ley de Ingresos Estimada","6")),([1]!BexGetData("DP_1","'Ley de Ingresos Estimada","6")),0)</f>
        <v>66569155</v>
      </c>
      <c r="H16" s="9">
        <f>(IF(ISNUMBER([1]!BexGetData("DP_1","'Ampliaciones","6")),([1]!BexGetData("DP_1","'Ampliaciones","6")),0)+IF(ISNUMBER([1]!BexGetData("DP_1","'(Reducciones)","6")),([1]!BexGetData("DP_1","'(Reducciones)","6")),0))</f>
        <v>0</v>
      </c>
      <c r="I16" s="9">
        <f t="shared" si="0"/>
        <v>66569155</v>
      </c>
      <c r="J16" s="9">
        <f>IF(ISNUMBER([1]!BexGetData("DP_1","'Devengado","6")),([1]!BexGetData("DP_1","'Devengado","6")),0)</f>
        <v>45591088</v>
      </c>
      <c r="K16" s="9">
        <f>IF(ISNUMBER([1]!BexGetData("DP_1","'Recaudado","6")),([1]!BexGetData("DP_1","'Recaudado","6")),0)</f>
        <v>45591088</v>
      </c>
      <c r="L16" s="11">
        <f t="shared" si="1"/>
        <v>20978067</v>
      </c>
    </row>
    <row r="17" spans="1:12" ht="15" x14ac:dyDescent="0.25">
      <c r="A17" s="2"/>
      <c r="B17" s="3" t="s">
        <v>19</v>
      </c>
      <c r="C17" s="1"/>
      <c r="D17" s="1"/>
      <c r="E17" s="1"/>
      <c r="F17" s="7">
        <v>61</v>
      </c>
      <c r="G17" s="9">
        <f>IF(ISNUMBER([1]!BexGetData("DP_2","'Ley de Ingresos Estimada","61")),([1]!BexGetData("DP_2","'Ley de Ingresos Estimada","61")),0)</f>
        <v>62341202</v>
      </c>
      <c r="H17" s="9">
        <f>(IF(ISNUMBER([1]!BexGetData("DP_2","'Ampliaciones","61")),([1]!BexGetData("DP_2","'Ampliaciones","61")),0)+IF(ISNUMBER([1]!BexGetData("DP_2","'(Reducciones)","61")),([1]!BexGetData("DP_2","'(Reducciones)","61")),0))</f>
        <v>0</v>
      </c>
      <c r="I17" s="9">
        <f t="shared" si="0"/>
        <v>62341202</v>
      </c>
      <c r="J17" s="9">
        <f>IF(ISNUMBER([1]!BexGetData("DP_2","'Devengado","61")),([1]!BexGetData("DP_2","'Devengado","61")),0)</f>
        <v>39205406.609999999</v>
      </c>
      <c r="K17" s="9">
        <f>IF(ISNUMBER([1]!BexGetData("DP_2","'Recaudado","61")),([1]!BexGetData("DP_2","'Recaudado","61")),0)</f>
        <v>39205406.609999999</v>
      </c>
      <c r="L17" s="11">
        <f t="shared" si="1"/>
        <v>23135795.390000001</v>
      </c>
    </row>
    <row r="18" spans="1:12" ht="15" x14ac:dyDescent="0.25">
      <c r="A18" s="2"/>
      <c r="B18" s="3" t="s">
        <v>20</v>
      </c>
      <c r="C18" s="1"/>
      <c r="D18" s="1"/>
      <c r="E18" s="1"/>
      <c r="F18" s="7">
        <v>62</v>
      </c>
      <c r="G18" s="9">
        <f>IF(ISNUMBER([1]!BexGetData("DP_2","'Ley de Ingresos Estimada","62")),([1]!BexGetData("DP_2","'Ley de Ingresos Estimada","62")),0)+IF(ISNUMBER([1]!BexGetData("DP_2","'Ley de Ingresos Estimada","69")),([1]!BexGetData("DP_2","'Ley de Ingresos Estimada","69")),0)</f>
        <v>4227953</v>
      </c>
      <c r="H18" s="9">
        <f>(IF(ISNUMBER([1]!BexGetData("DP_2","'Ampliaciones","62")),([1]!BexGetData("DP_2","'Ampliaciones","62")),0)+IF(ISNUMBER([1]!BexGetData("DP_2","'(Reducciones)","62")),([1]!BexGetData("DP_2","'(Reducciones)","62")),0))+(IF(ISNUMBER([1]!BexGetData("DP_2","'Ampliaciones","69")),([1]!BexGetData("DP_2","'Ampliaciones","69")),0)+IF(ISNUMBER([1]!BexGetData("DP_2","'(Reducciones)","69")),([1]!BexGetData("DP_2","'(Reducciones)","69")),0))</f>
        <v>0</v>
      </c>
      <c r="I18" s="9">
        <f t="shared" si="0"/>
        <v>4227953</v>
      </c>
      <c r="J18" s="9">
        <f>IF(ISNUMBER([1]!BexGetData("DP_2","'Devengado","62")),([1]!BexGetData("DP_2","'Devengado","62")),0)+IF(ISNUMBER([1]!BexGetData("DP_2","'Devengado","69")),([1]!BexGetData("DP_2","'Devengado","69")),0)</f>
        <v>6385681.3899999997</v>
      </c>
      <c r="K18" s="9">
        <f>IF(ISNUMBER([1]!BexGetData("DP_2","'Recaudado","62")),([1]!BexGetData("DP_2","'Recaudado","62")),0)+IF(ISNUMBER([1]!BexGetData("DP_2","'Recaudado","69")),([1]!BexGetData("DP_2","'Recaudado","69")),0)</f>
        <v>6385681.3899999997</v>
      </c>
      <c r="L18" s="11">
        <f t="shared" si="1"/>
        <v>-2157728.3899999997</v>
      </c>
    </row>
    <row r="19" spans="1:12" ht="15" x14ac:dyDescent="0.25">
      <c r="A19" s="2" t="s">
        <v>22</v>
      </c>
      <c r="B19" s="3"/>
      <c r="C19" s="3"/>
      <c r="D19" s="3"/>
      <c r="E19" s="3"/>
      <c r="F19" s="6">
        <v>7</v>
      </c>
      <c r="G19" s="9">
        <f>IF(ISNUMBER([1]!BexGetData("DP_1","'Ley de Ingresos Estimada","7")),([1]!BexGetData("DP_1","'Ley de Ingresos Estimada","7")),0)</f>
        <v>3</v>
      </c>
      <c r="H19" s="9">
        <f>(IF(ISNUMBER([1]!BexGetData("DP_1","'Ampliaciones","7")),([1]!BexGetData("DP_1","'Ampliaciones","7")),0)+IF(ISNUMBER([1]!BexGetData("DP_1","'(Reducciones)","7")),([1]!BexGetData("DP_1","'(Reducciones)","7")),0))</f>
        <v>0</v>
      </c>
      <c r="I19" s="9">
        <f t="shared" si="0"/>
        <v>3</v>
      </c>
      <c r="J19" s="9">
        <f>IF(ISNUMBER([1]!BexGetData("DP_1","'Devengado","7")),([1]!BexGetData("DP_1","'Devengado","7")),0)</f>
        <v>0</v>
      </c>
      <c r="K19" s="9">
        <f>IF(ISNUMBER([1]!BexGetData("DP_1","'Recaudado","7")),([1]!BexGetData("DP_1","'Recaudado","7")),0)</f>
        <v>0</v>
      </c>
      <c r="L19" s="11">
        <f t="shared" si="1"/>
        <v>3</v>
      </c>
    </row>
    <row r="20" spans="1:12" ht="15" x14ac:dyDescent="0.25">
      <c r="A20" s="2" t="s">
        <v>23</v>
      </c>
      <c r="B20" s="3"/>
      <c r="C20" s="3"/>
      <c r="D20" s="3"/>
      <c r="E20" s="3"/>
      <c r="F20" s="6">
        <v>8</v>
      </c>
      <c r="G20" s="9">
        <f>IF(ISNUMBER([1]!BexGetData("DP_1","'Ley de Ingresos Estimada","8")),([1]!BexGetData("DP_1","'Ley de Ingresos Estimada","8")),0)</f>
        <v>818373131</v>
      </c>
      <c r="H20" s="9">
        <f>(IF(ISNUMBER([1]!BexGetData("DP_1","'Ampliaciones","8")),([1]!BexGetData("DP_1","'Ampliaciones","8")),0)+IF(ISNUMBER([1]!BexGetData("DP_1","'(Reducciones)","8")),([1]!BexGetData("DP_1","'(Reducciones)","8")),0))</f>
        <v>0</v>
      </c>
      <c r="I20" s="9">
        <f t="shared" si="0"/>
        <v>818373131</v>
      </c>
      <c r="J20" s="9">
        <f>IF(ISNUMBER([1]!BexGetData("DP_1","'Devengado","8")),([1]!BexGetData("DP_1","'Devengado","8")),0)</f>
        <v>438678537.16000003</v>
      </c>
      <c r="K20" s="9">
        <f>IF(ISNUMBER([1]!BexGetData("DP_1","'Recaudado","8")),([1]!BexGetData("DP_1","'Recaudado","8")),0)</f>
        <v>438678537.16000003</v>
      </c>
      <c r="L20" s="11">
        <f t="shared" si="1"/>
        <v>379694593.83999997</v>
      </c>
    </row>
    <row r="21" spans="1:12" ht="15" x14ac:dyDescent="0.25">
      <c r="A21" s="2" t="s">
        <v>24</v>
      </c>
      <c r="B21" s="3"/>
      <c r="C21" s="3"/>
      <c r="D21" s="3"/>
      <c r="E21" s="3"/>
      <c r="F21" s="6">
        <v>9</v>
      </c>
      <c r="G21" s="9">
        <f>IF(ISNUMBER([1]!BexGetData("DP_1","'Ley de Ingresos Estimada","9")),([1]!BexGetData("DP_1","'Ley de Ingresos Estimada","9")),0)</f>
        <v>81334180</v>
      </c>
      <c r="H21" s="9">
        <f>(IF(ISNUMBER([1]!BexGetData("DP_1","'Ampliaciones","9")),([1]!BexGetData("DP_1","'Ampliaciones","9")),0)+IF(ISNUMBER([1]!BexGetData("DP_1","'(Reducciones)","9")),([1]!BexGetData("DP_1","'(Reducciones)","9")),0))</f>
        <v>0</v>
      </c>
      <c r="I21" s="9">
        <f t="shared" si="0"/>
        <v>81334180</v>
      </c>
      <c r="J21" s="9">
        <f>IF(ISNUMBER([1]!BexGetData("DP_1","'Devengado","9")),([1]!BexGetData("DP_1","'Devengado","9")),0)</f>
        <v>91429287.099999994</v>
      </c>
      <c r="K21" s="9">
        <f>IF(ISNUMBER([1]!BexGetData("DP_1","'Recaudado","9")),([1]!BexGetData("DP_1","'Recaudado","9")),0)</f>
        <v>91429287.099999994</v>
      </c>
      <c r="L21" s="11">
        <f t="shared" si="1"/>
        <v>-10095107.099999994</v>
      </c>
    </row>
    <row r="22" spans="1:12" ht="15.75" thickBot="1" x14ac:dyDescent="0.3">
      <c r="A22" s="2" t="s">
        <v>25</v>
      </c>
      <c r="B22" s="3"/>
      <c r="C22" s="3"/>
      <c r="D22" s="3"/>
      <c r="E22" s="3"/>
      <c r="F22" s="6">
        <v>0</v>
      </c>
      <c r="G22" s="9">
        <f>IF(ISNUMBER([1]!BexGetData("DP_1","'Ley de Ingresos Estimada","0")),([1]!BexGetData("DP_1","'Ley de Ingresos Estimada","0")),0)</f>
        <v>1</v>
      </c>
      <c r="H22" s="9">
        <f>(IF(ISNUMBER([1]!BexGetData("DP_1","'Ampliaciones","0")),([1]!BexGetData("DP_1","'Ampliaciones","0")),0)+IF(ISNUMBER([1]!BexGetData("DP_1","'(Reducciones)","0")),([1]!BexGetData("DP_1","'(Reducciones)","0")),0))</f>
        <v>0</v>
      </c>
      <c r="I22" s="9">
        <f t="shared" si="0"/>
        <v>1</v>
      </c>
      <c r="J22" s="9">
        <f>IF(ISNUMBER([1]!BexGetData("DP_1","'Devengado","0")),([1]!BexGetData("DP_1","'Devengado","0")),0)</f>
        <v>50000000</v>
      </c>
      <c r="K22" s="9">
        <f>IF(ISNUMBER([1]!BexGetData("DP_1","'Recaudado","0")),([1]!BexGetData("DP_1","'Recaudado","0")),0)</f>
        <v>50000000</v>
      </c>
      <c r="L22" s="11">
        <f t="shared" si="1"/>
        <v>-49999999</v>
      </c>
    </row>
    <row r="23" spans="1:12" ht="15.75" thickBot="1" x14ac:dyDescent="0.3">
      <c r="A23" s="4"/>
      <c r="B23" s="5"/>
      <c r="C23" s="5" t="s">
        <v>26</v>
      </c>
      <c r="D23" s="5"/>
      <c r="E23" s="5"/>
      <c r="F23" s="8"/>
      <c r="G23" s="10">
        <f>G9+G10+G11+G12+G13+G16+G19+G20+G21+G22</f>
        <v>1168349951</v>
      </c>
      <c r="H23" s="10">
        <f>H9+H10+H11+H12+H13+H16+H19+H20+H21+H22</f>
        <v>0</v>
      </c>
      <c r="I23" s="10">
        <f>I9+I10+I11+I12+I13+I16+I19+I20+I21+I22</f>
        <v>1168349951</v>
      </c>
      <c r="J23" s="10">
        <f>J9+J10+J11+J12+J13+J16+J19+J20+J21+J22</f>
        <v>811292209.66000009</v>
      </c>
      <c r="K23" s="10">
        <f>K9+K10+K11+K12+K13+K16+K19+K20+K21+K22</f>
        <v>811292209.66000009</v>
      </c>
      <c r="L23" s="48">
        <f>+L9+L10+L11+L12+L13+L16+L19+L20+L21+L22</f>
        <v>357057741.33999991</v>
      </c>
    </row>
    <row r="24" spans="1:12" ht="18" thickBot="1" x14ac:dyDescent="0.3">
      <c r="A24" s="1"/>
      <c r="B24" s="1"/>
      <c r="C24" s="1"/>
      <c r="D24" s="1"/>
      <c r="E24" s="1"/>
      <c r="F24" s="1"/>
      <c r="G24" s="1"/>
      <c r="H24" s="1"/>
      <c r="I24" s="1"/>
      <c r="J24" s="46" t="s">
        <v>27</v>
      </c>
      <c r="K24" s="47"/>
      <c r="L24" s="49"/>
    </row>
    <row r="26" spans="1:12" x14ac:dyDescent="0.2">
      <c r="A26" s="42" t="s">
        <v>28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</row>
    <row r="27" spans="1:12" x14ac:dyDescent="0.2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</row>
    <row r="29" spans="1:12" s="1" customFormat="1" ht="15.75" x14ac:dyDescent="0.25">
      <c r="A29" s="18" t="s">
        <v>30</v>
      </c>
      <c r="B29" s="17"/>
      <c r="C29" s="17"/>
      <c r="D29" s="17"/>
      <c r="E29" s="17"/>
      <c r="F29" s="17"/>
      <c r="G29" s="20" t="s">
        <v>34</v>
      </c>
      <c r="H29" s="17"/>
      <c r="I29" s="17"/>
      <c r="J29" s="17"/>
      <c r="K29" s="21" t="s">
        <v>35</v>
      </c>
      <c r="L29" s="17"/>
    </row>
    <row r="30" spans="1:12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</row>
    <row r="31" spans="1:12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</row>
    <row r="32" spans="1:12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</row>
    <row r="33" spans="1:12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2" x14ac:dyDescent="0.2">
      <c r="A34" s="22" t="s">
        <v>33</v>
      </c>
      <c r="B34" s="17"/>
      <c r="C34" s="17"/>
      <c r="D34" s="17"/>
      <c r="E34" s="17"/>
      <c r="F34" s="17"/>
      <c r="G34" s="23" t="s">
        <v>36</v>
      </c>
      <c r="H34" s="17"/>
      <c r="I34" s="17"/>
      <c r="J34" s="17"/>
      <c r="K34" s="22" t="s">
        <v>37</v>
      </c>
      <c r="L34" s="17"/>
    </row>
    <row r="35" spans="1:12" ht="15.75" x14ac:dyDescent="0.25">
      <c r="A35" s="19" t="s">
        <v>38</v>
      </c>
      <c r="B35" s="17"/>
      <c r="C35" s="17"/>
      <c r="D35" s="17"/>
      <c r="E35" s="17"/>
      <c r="F35" s="17"/>
      <c r="G35" s="21" t="s">
        <v>39</v>
      </c>
      <c r="H35" s="17"/>
      <c r="I35" s="17"/>
      <c r="J35" s="17"/>
      <c r="K35" s="20" t="s">
        <v>40</v>
      </c>
      <c r="L35" s="17"/>
    </row>
    <row r="36" spans="1:12" ht="15.75" x14ac:dyDescent="0.25">
      <c r="A36" s="19"/>
      <c r="B36" s="17"/>
      <c r="C36" s="17"/>
      <c r="D36" s="17"/>
      <c r="E36" s="17"/>
      <c r="F36" s="17"/>
      <c r="G36" s="21"/>
      <c r="H36" s="17"/>
      <c r="I36" s="17"/>
      <c r="J36" s="17"/>
      <c r="K36" s="20"/>
      <c r="L36" s="17"/>
    </row>
    <row r="37" spans="1:12" ht="15.75" x14ac:dyDescent="0.25">
      <c r="A37" s="14"/>
      <c r="B37" s="1"/>
      <c r="C37" s="1"/>
      <c r="D37" s="1"/>
      <c r="E37" s="1"/>
      <c r="F37" s="1"/>
      <c r="G37" s="15"/>
      <c r="H37" s="1"/>
      <c r="I37" s="1"/>
      <c r="J37" s="16"/>
      <c r="K37" s="1"/>
      <c r="L37" s="1"/>
    </row>
    <row r="38" spans="1:12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ht="15.75" x14ac:dyDescent="0.25">
      <c r="A39" s="17"/>
      <c r="B39" s="17"/>
      <c r="C39" s="18" t="s">
        <v>41</v>
      </c>
      <c r="D39" s="17"/>
      <c r="E39" s="17"/>
      <c r="F39" s="17"/>
      <c r="G39" s="17"/>
      <c r="H39" s="17"/>
      <c r="I39" s="18" t="s">
        <v>42</v>
      </c>
      <c r="J39" s="17"/>
      <c r="K39" s="17"/>
      <c r="L39" s="17"/>
    </row>
    <row r="40" spans="1:12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</row>
    <row r="41" spans="1:12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2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</row>
    <row r="43" spans="1:12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</row>
    <row r="44" spans="1:12" x14ac:dyDescent="0.2">
      <c r="A44" s="17"/>
      <c r="B44" s="17"/>
      <c r="C44" s="22" t="s">
        <v>43</v>
      </c>
      <c r="D44" s="17"/>
      <c r="E44" s="17"/>
      <c r="F44" s="17"/>
      <c r="G44" s="17"/>
      <c r="H44" s="17"/>
      <c r="I44" s="22" t="s">
        <v>43</v>
      </c>
      <c r="J44" s="17"/>
      <c r="K44" s="17"/>
      <c r="L44" s="17"/>
    </row>
    <row r="45" spans="1:12" ht="15.75" x14ac:dyDescent="0.25">
      <c r="A45" s="17"/>
      <c r="B45" s="17"/>
      <c r="C45" s="19" t="s">
        <v>44</v>
      </c>
      <c r="D45" s="17"/>
      <c r="E45" s="17"/>
      <c r="F45" s="17"/>
      <c r="G45" s="17"/>
      <c r="H45" s="17"/>
      <c r="I45" s="19" t="s">
        <v>45</v>
      </c>
      <c r="J45" s="17"/>
      <c r="K45" s="17"/>
      <c r="L45" s="17"/>
    </row>
  </sheetData>
  <mergeCells count="10">
    <mergeCell ref="A26:L27"/>
    <mergeCell ref="A5:L5"/>
    <mergeCell ref="J24:K24"/>
    <mergeCell ref="L23:L24"/>
    <mergeCell ref="A2:L2"/>
    <mergeCell ref="A3:L3"/>
    <mergeCell ref="A4:L4"/>
    <mergeCell ref="G6:K6"/>
    <mergeCell ref="F6:F8"/>
    <mergeCell ref="A6:E8"/>
  </mergeCells>
  <pageMargins left="0.7" right="0.7" top="0.75" bottom="0.75" header="0.3" footer="0.3"/>
  <pageSetup scale="78" orientation="landscape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G1" sqref="G1"/>
    </sheetView>
  </sheetViews>
  <sheetFormatPr baseColWidth="10" defaultRowHeight="12.75" x14ac:dyDescent="0.2"/>
  <cols>
    <col min="2" max="2" width="15.28515625" bestFit="1" customWidth="1"/>
    <col min="3" max="3" width="15.85546875" customWidth="1"/>
    <col min="4" max="4" width="16.85546875" customWidth="1"/>
    <col min="5" max="5" width="15.28515625" bestFit="1" customWidth="1"/>
    <col min="6" max="7" width="13.85546875" bestFit="1" customWidth="1"/>
    <col min="8" max="8" width="15" bestFit="1" customWidth="1"/>
  </cols>
  <sheetData>
    <row r="1" spans="1:8" ht="38.25" x14ac:dyDescent="0.2">
      <c r="A1" s="40" t="s">
        <v>49</v>
      </c>
      <c r="B1" s="41" t="s">
        <v>50</v>
      </c>
      <c r="C1" s="32" t="s">
        <v>51</v>
      </c>
      <c r="D1" s="32" t="s">
        <v>52</v>
      </c>
      <c r="E1" s="32" t="s">
        <v>5</v>
      </c>
      <c r="F1" s="32" t="s">
        <v>6</v>
      </c>
      <c r="G1" s="32" t="s">
        <v>7</v>
      </c>
      <c r="H1" s="41" t="s">
        <v>53</v>
      </c>
    </row>
    <row r="2" spans="1:8" x14ac:dyDescent="0.2">
      <c r="A2" s="32" t="s">
        <v>54</v>
      </c>
      <c r="B2" s="33">
        <f>[1]!BexGetData("DP_1","DJ1BD4K6CAJTPVG0MVJ2J6Z2Y","0")</f>
        <v>1</v>
      </c>
      <c r="C2" s="34" t="str">
        <f>[1]!BexGetData("DP_1","DJ1BD4K6CAKLEHRRYEYOLMDCQ","0")</f>
        <v/>
      </c>
      <c r="D2" s="34" t="str">
        <f>[1]!BexGetData("DP_1","DJ1BD4K6CALD343J9YEAO1RMI","0")</f>
        <v/>
      </c>
      <c r="E2" s="33">
        <f>[1]!BexGetData("DP_1","DJ1BD4K6CAM4RQFALHTWQH5WA","0")</f>
        <v>1</v>
      </c>
      <c r="F2" s="33">
        <f>[1]!BexGetData("DP_1","DJ1BD4K6CANO4Z2T8KP4VBYFU","0")</f>
        <v>50000000</v>
      </c>
      <c r="G2" s="33">
        <f>[1]!BexGetData("DP_1","DJ1BD4K6CAOFTLEKK44QXRCPM","0")</f>
        <v>50000000</v>
      </c>
      <c r="H2" s="35">
        <f>[1]!BexGetData("DP_1","DJ1BD4K6CAPZ6U2376ZZ2M596","0")</f>
        <v>50000000</v>
      </c>
    </row>
    <row r="3" spans="1:8" x14ac:dyDescent="0.2">
      <c r="A3" s="32" t="s">
        <v>55</v>
      </c>
      <c r="B3" s="33">
        <f>[1]!BexGetData("DP_1","DJ1BD4K6CAJTPVG0MVJ2J6Z2Y","1")</f>
        <v>94147108</v>
      </c>
      <c r="C3" s="34" t="str">
        <f>[1]!BexGetData("DP_1","DJ1BD4K6CAKLEHRRYEYOLMDCQ","1")</f>
        <v/>
      </c>
      <c r="D3" s="34" t="str">
        <f>[1]!BexGetData("DP_1","DJ1BD4K6CALD343J9YEAO1RMI","1")</f>
        <v/>
      </c>
      <c r="E3" s="33">
        <f>[1]!BexGetData("DP_1","DJ1BD4K6CAM4RQFALHTWQH5WA","1")</f>
        <v>94147108</v>
      </c>
      <c r="F3" s="33">
        <f>[1]!BexGetData("DP_1","DJ1BD4K6CANO4Z2T8KP4VBYFU","1")</f>
        <v>84185328.120000005</v>
      </c>
      <c r="G3" s="33">
        <f>[1]!BexGetData("DP_1","DJ1BD4K6CAOFTLEKK44QXRCPM","1")</f>
        <v>84185328.120000005</v>
      </c>
      <c r="H3" s="35">
        <f>[1]!BexGetData("DP_1","DJ1BD4K6CAPZ6U2376ZZ2M596","1")</f>
        <v>0.89418920992999995</v>
      </c>
    </row>
    <row r="4" spans="1:8" x14ac:dyDescent="0.2">
      <c r="A4" s="32" t="s">
        <v>56</v>
      </c>
      <c r="B4" s="33">
        <f>[1]!BexGetData("DP_1","DJ1BD4K6CAJTPVG0MVJ2J6Z2Y","3")</f>
        <v>2</v>
      </c>
      <c r="C4" s="34" t="str">
        <f>[1]!BexGetData("DP_1","DJ1BD4K6CAKLEHRRYEYOLMDCQ","3")</f>
        <v/>
      </c>
      <c r="D4" s="34" t="str">
        <f>[1]!BexGetData("DP_1","DJ1BD4K6CALD343J9YEAO1RMI","3")</f>
        <v/>
      </c>
      <c r="E4" s="33">
        <f>[1]!BexGetData("DP_1","DJ1BD4K6CAM4RQFALHTWQH5WA","3")</f>
        <v>2</v>
      </c>
      <c r="F4" s="33">
        <f>[1]!BexGetData("DP_1","DJ1BD4K6CANO4Z2T8KP4VBYFU","3")</f>
        <v>0</v>
      </c>
      <c r="G4" s="33">
        <f>[1]!BexGetData("DP_1","DJ1BD4K6CAOFTLEKK44QXRCPM","3")</f>
        <v>0</v>
      </c>
      <c r="H4" s="34">
        <f>[1]!BexGetData("DP_1","DJ1BD4K6CAPZ6U2376ZZ2M596","3")</f>
        <v>0</v>
      </c>
    </row>
    <row r="5" spans="1:8" x14ac:dyDescent="0.2">
      <c r="A5" s="32" t="s">
        <v>57</v>
      </c>
      <c r="B5" s="33">
        <f>[1]!BexGetData("DP_1","DJ1BD4K6CAJTPVG0MVJ2J6Z2Y","4")</f>
        <v>105706115</v>
      </c>
      <c r="C5" s="34" t="str">
        <f>[1]!BexGetData("DP_1","DJ1BD4K6CAKLEHRRYEYOLMDCQ","4")</f>
        <v/>
      </c>
      <c r="D5" s="34" t="str">
        <f>[1]!BexGetData("DP_1","DJ1BD4K6CALD343J9YEAO1RMI","4")</f>
        <v/>
      </c>
      <c r="E5" s="33">
        <f>[1]!BexGetData("DP_1","DJ1BD4K6CAM4RQFALHTWQH5WA","4")</f>
        <v>105706115</v>
      </c>
      <c r="F5" s="33">
        <f>[1]!BexGetData("DP_1","DJ1BD4K6CANO4Z2T8KP4VBYFU","4")</f>
        <v>99039448.659999996</v>
      </c>
      <c r="G5" s="33">
        <f>[1]!BexGetData("DP_1","DJ1BD4K6CAOFTLEKK44QXRCPM","4")</f>
        <v>99039448.659999996</v>
      </c>
      <c r="H5" s="35">
        <f>[1]!BexGetData("DP_1","DJ1BD4K6CAPZ6U2376ZZ2M596","4")</f>
        <v>0.93693206546999996</v>
      </c>
    </row>
    <row r="6" spans="1:8" x14ac:dyDescent="0.2">
      <c r="A6" s="32" t="s">
        <v>58</v>
      </c>
      <c r="B6" s="33">
        <f>[1]!BexGetData("DP_1","DJ1BD4K6CAJTPVG0MVJ2J6Z2Y","5")</f>
        <v>2220256</v>
      </c>
      <c r="C6" s="34" t="str">
        <f>[1]!BexGetData("DP_1","DJ1BD4K6CAKLEHRRYEYOLMDCQ","5")</f>
        <v/>
      </c>
      <c r="D6" s="34" t="str">
        <f>[1]!BexGetData("DP_1","DJ1BD4K6CALD343J9YEAO1RMI","5")</f>
        <v/>
      </c>
      <c r="E6" s="33">
        <f>[1]!BexGetData("DP_1","DJ1BD4K6CAM4RQFALHTWQH5WA","5")</f>
        <v>2220256</v>
      </c>
      <c r="F6" s="33">
        <f>[1]!BexGetData("DP_1","DJ1BD4K6CANO4Z2T8KP4VBYFU","5")</f>
        <v>2368520.62</v>
      </c>
      <c r="G6" s="33">
        <f>[1]!BexGetData("DP_1","DJ1BD4K6CAOFTLEKK44QXRCPM","5")</f>
        <v>2368520.62</v>
      </c>
      <c r="H6" s="35">
        <f>[1]!BexGetData("DP_1","DJ1BD4K6CAPZ6U2376ZZ2M596","5")</f>
        <v>1.0667781643200001</v>
      </c>
    </row>
    <row r="7" spans="1:8" x14ac:dyDescent="0.2">
      <c r="A7" s="32" t="s">
        <v>59</v>
      </c>
      <c r="B7" s="33">
        <f>[1]!BexGetData("DP_1","DJ1BD4K6CAJTPVG0MVJ2J6Z2Y","6")</f>
        <v>66569155</v>
      </c>
      <c r="C7" s="34" t="str">
        <f>[1]!BexGetData("DP_1","DJ1BD4K6CAKLEHRRYEYOLMDCQ","6")</f>
        <v/>
      </c>
      <c r="D7" s="34" t="str">
        <f>[1]!BexGetData("DP_1","DJ1BD4K6CALD343J9YEAO1RMI","6")</f>
        <v/>
      </c>
      <c r="E7" s="33">
        <f>[1]!BexGetData("DP_1","DJ1BD4K6CAM4RQFALHTWQH5WA","6")</f>
        <v>66569155</v>
      </c>
      <c r="F7" s="33">
        <f>[1]!BexGetData("DP_1","DJ1BD4K6CANO4Z2T8KP4VBYFU","6")</f>
        <v>45591088</v>
      </c>
      <c r="G7" s="33">
        <f>[1]!BexGetData("DP_1","DJ1BD4K6CAOFTLEKK44QXRCPM","6")</f>
        <v>45591088</v>
      </c>
      <c r="H7" s="35">
        <f>[1]!BexGetData("DP_1","DJ1BD4K6CAPZ6U2376ZZ2M596","6")</f>
        <v>0.68486805938999995</v>
      </c>
    </row>
    <row r="8" spans="1:8" x14ac:dyDescent="0.2">
      <c r="A8" s="32" t="s">
        <v>60</v>
      </c>
      <c r="B8" s="33">
        <f>[1]!BexGetData("DP_1","DJ1BD4K6CAJTPVG0MVJ2J6Z2Y","7")</f>
        <v>3</v>
      </c>
      <c r="C8" s="34" t="str">
        <f>[1]!BexGetData("DP_1","DJ1BD4K6CAKLEHRRYEYOLMDCQ","7")</f>
        <v/>
      </c>
      <c r="D8" s="34" t="str">
        <f>[1]!BexGetData("DP_1","DJ1BD4K6CALD343J9YEAO1RMI","7")</f>
        <v/>
      </c>
      <c r="E8" s="33">
        <f>[1]!BexGetData("DP_1","DJ1BD4K6CAM4RQFALHTWQH5WA","7")</f>
        <v>3</v>
      </c>
      <c r="F8" s="33">
        <f>[1]!BexGetData("DP_1","DJ1BD4K6CANO4Z2T8KP4VBYFU","7")</f>
        <v>0</v>
      </c>
      <c r="G8" s="33">
        <f>[1]!BexGetData("DP_1","DJ1BD4K6CAOFTLEKK44QXRCPM","7")</f>
        <v>0</v>
      </c>
      <c r="H8" s="34">
        <f>[1]!BexGetData("DP_1","DJ1BD4K6CAPZ6U2376ZZ2M596","7")</f>
        <v>0</v>
      </c>
    </row>
    <row r="9" spans="1:8" x14ac:dyDescent="0.2">
      <c r="A9" s="32" t="s">
        <v>61</v>
      </c>
      <c r="B9" s="33">
        <f>[1]!BexGetData("DP_1","DJ1BD4K6CAJTPVG0MVJ2J6Z2Y","8")</f>
        <v>818373131</v>
      </c>
      <c r="C9" s="34" t="str">
        <f>[1]!BexGetData("DP_1","DJ1BD4K6CAKLEHRRYEYOLMDCQ","8")</f>
        <v/>
      </c>
      <c r="D9" s="34" t="str">
        <f>[1]!BexGetData("DP_1","DJ1BD4K6CALD343J9YEAO1RMI","8")</f>
        <v/>
      </c>
      <c r="E9" s="33">
        <f>[1]!BexGetData("DP_1","DJ1BD4K6CAM4RQFALHTWQH5WA","8")</f>
        <v>818373131</v>
      </c>
      <c r="F9" s="33">
        <f>[1]!BexGetData("DP_1","DJ1BD4K6CANO4Z2T8KP4VBYFU","8")</f>
        <v>438678537.16000003</v>
      </c>
      <c r="G9" s="33">
        <f>[1]!BexGetData("DP_1","DJ1BD4K6CAOFTLEKK44QXRCPM","8")</f>
        <v>438678537.16000003</v>
      </c>
      <c r="H9" s="35">
        <f>[1]!BexGetData("DP_1","DJ1BD4K6CAPZ6U2376ZZ2M596","8")</f>
        <v>0.53603731664999998</v>
      </c>
    </row>
    <row r="10" spans="1:8" x14ac:dyDescent="0.2">
      <c r="A10" s="32" t="s">
        <v>62</v>
      </c>
      <c r="B10" s="33">
        <f>[1]!BexGetData("DP_1","DJ1BD4K6CAJTPVG0MVJ2J6Z2Y","9")</f>
        <v>81334180</v>
      </c>
      <c r="C10" s="34" t="str">
        <f>[1]!BexGetData("DP_1","DJ1BD4K6CAKLEHRRYEYOLMDCQ","9")</f>
        <v/>
      </c>
      <c r="D10" s="34" t="str">
        <f>[1]!BexGetData("DP_1","DJ1BD4K6CALD343J9YEAO1RMI","9")</f>
        <v/>
      </c>
      <c r="E10" s="33">
        <f>[1]!BexGetData("DP_1","DJ1BD4K6CAM4RQFALHTWQH5WA","9")</f>
        <v>81334180</v>
      </c>
      <c r="F10" s="33">
        <f>[1]!BexGetData("DP_1","DJ1BD4K6CANO4Z2T8KP4VBYFU","9")</f>
        <v>91429287.099999994</v>
      </c>
      <c r="G10" s="33">
        <f>[1]!BexGetData("DP_1","DJ1BD4K6CAOFTLEKK44QXRCPM","9")</f>
        <v>91429287.099999994</v>
      </c>
      <c r="H10" s="35">
        <f>[1]!BexGetData("DP_1","DJ1BD4K6CAPZ6U2376ZZ2M596","9")</f>
        <v>1.1241188772099999</v>
      </c>
    </row>
    <row r="11" spans="1:8" x14ac:dyDescent="0.2">
      <c r="A11" s="36" t="s">
        <v>63</v>
      </c>
      <c r="B11" s="37">
        <f>[1]!BexGetData("DP_1","DJ1BD4K6CAJTPVG0MVJ2J6Z2Y","SUMME")</f>
        <v>1168349951</v>
      </c>
      <c r="C11" s="38" t="str">
        <f>[1]!BexGetData("DP_1","DJ1BD4K6CAKLEHRRYEYOLMDCQ","SUMME")</f>
        <v/>
      </c>
      <c r="D11" s="38" t="str">
        <f>[1]!BexGetData("DP_1","DJ1BD4K6CALD343J9YEAO1RMI","SUMME")</f>
        <v/>
      </c>
      <c r="E11" s="37">
        <f>[1]!BexGetData("DP_1","DJ1BD4K6CAM4RQFALHTWQH5WA","SUMME")</f>
        <v>1168349951</v>
      </c>
      <c r="F11" s="37">
        <f>[1]!BexGetData("DP_1","DJ1BD4K6CANO4Z2T8KP4VBYFU","SUMME")</f>
        <v>811292209.65999997</v>
      </c>
      <c r="G11" s="37">
        <f>[1]!BexGetData("DP_1","DJ1BD4K6CAOFTLEKK44QXRCPM","SUMME")</f>
        <v>811292209.65999997</v>
      </c>
      <c r="H11" s="39">
        <f>[1]!BexGetData("DP_1","DJ1BD4K6CAPZ6U2376ZZ2M596","SUMME")</f>
        <v>0.69439144407999998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>
    <row r="1" spans="1:1" x14ac:dyDescent="0.2">
      <c r="A1">
        <v>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topLeftCell="A4" workbookViewId="0">
      <selection activeCell="B20" sqref="B20"/>
    </sheetView>
  </sheetViews>
  <sheetFormatPr baseColWidth="10" defaultRowHeight="12.75" x14ac:dyDescent="0.2"/>
  <cols>
    <col min="1" max="1" width="36.85546875" customWidth="1"/>
    <col min="2" max="2" width="15.28515625" bestFit="1" customWidth="1"/>
    <col min="3" max="3" width="14.85546875" customWidth="1"/>
    <col min="4" max="4" width="16.5703125" customWidth="1"/>
    <col min="5" max="5" width="15.7109375" customWidth="1"/>
    <col min="6" max="6" width="13.7109375" customWidth="1"/>
    <col min="7" max="7" width="18.42578125" customWidth="1"/>
    <col min="8" max="8" width="16.85546875" customWidth="1"/>
  </cols>
  <sheetData>
    <row r="1" spans="1:8" ht="38.25" x14ac:dyDescent="0.2">
      <c r="A1" s="40" t="s">
        <v>64</v>
      </c>
      <c r="B1" s="41" t="s">
        <v>50</v>
      </c>
      <c r="C1" s="32" t="s">
        <v>51</v>
      </c>
      <c r="D1" s="32" t="s">
        <v>52</v>
      </c>
      <c r="E1" s="32" t="s">
        <v>5</v>
      </c>
      <c r="F1" s="32" t="s">
        <v>6</v>
      </c>
      <c r="G1" s="32" t="s">
        <v>7</v>
      </c>
      <c r="H1" s="41" t="s">
        <v>53</v>
      </c>
    </row>
    <row r="2" spans="1:8" x14ac:dyDescent="0.2">
      <c r="A2" s="32" t="s">
        <v>65</v>
      </c>
      <c r="B2" s="33">
        <f>[1]!BexGetData("DP_2","DJ1BC55DLL9YJD00V8YX1TTZU","01")</f>
        <v>1</v>
      </c>
      <c r="C2" s="34" t="str">
        <f>[1]!BexGetData("DP_2","DJ1BC55DLLAQ7ZBS6SEJ4989M","01")</f>
        <v/>
      </c>
      <c r="D2" s="34" t="str">
        <f>[1]!BexGetData("DP_2","DJ1BC55DLLBHWLNJIBU56OMJE","01")</f>
        <v/>
      </c>
      <c r="E2" s="33">
        <f>[1]!BexGetData("DP_2","DJ1BC55DLLC9L7ZATV9R940T6","01")</f>
        <v>1</v>
      </c>
      <c r="F2" s="33">
        <f>[1]!BexGetData("DP_2","DJ1BC55DLLDSYGMTGY4ZDYTCQ","01")</f>
        <v>50000000</v>
      </c>
      <c r="G2" s="33">
        <f>[1]!BexGetData("DP_2","DJ1BC55DLLEKN2YKSHKLGE7MI","01")</f>
        <v>50000000</v>
      </c>
      <c r="H2" s="35">
        <f>[1]!BexGetData("DP_2","DJ1BC55DLLG40BM3FKFTL9062","01")</f>
        <v>50000000</v>
      </c>
    </row>
    <row r="3" spans="1:8" x14ac:dyDescent="0.2">
      <c r="A3" s="32" t="s">
        <v>66</v>
      </c>
      <c r="B3" s="33">
        <f>[1]!BexGetData("DP_2","DJ1BC55DLL9YJD00V8YX1TTZU","11")</f>
        <v>637540</v>
      </c>
      <c r="C3" s="34" t="str">
        <f>[1]!BexGetData("DP_2","DJ1BC55DLLAQ7ZBS6SEJ4989M","11")</f>
        <v/>
      </c>
      <c r="D3" s="34" t="str">
        <f>[1]!BexGetData("DP_2","DJ1BC55DLLBHWLNJIBU56OMJE","11")</f>
        <v/>
      </c>
      <c r="E3" s="33">
        <f>[1]!BexGetData("DP_2","DJ1BC55DLLC9L7ZATV9R940T6","11")</f>
        <v>637540</v>
      </c>
      <c r="F3" s="33">
        <f>[1]!BexGetData("DP_2","DJ1BC55DLLDSYGMTGY4ZDYTCQ","11")</f>
        <v>94875.17</v>
      </c>
      <c r="G3" s="33">
        <f>[1]!BexGetData("DP_2","DJ1BC55DLLEKN2YKSHKLGE7MI","11")</f>
        <v>94875.17</v>
      </c>
      <c r="H3" s="35">
        <f>[1]!BexGetData("DP_2","DJ1BC55DLLG40BM3FKFTL9062","11")</f>
        <v>0.14881445870000001</v>
      </c>
    </row>
    <row r="4" spans="1:8" x14ac:dyDescent="0.2">
      <c r="A4" s="32" t="s">
        <v>67</v>
      </c>
      <c r="B4" s="33">
        <f>[1]!BexGetData("DP_2","DJ1BC55DLL9YJD00V8YX1TTZU","12")</f>
        <v>89716165</v>
      </c>
      <c r="C4" s="34" t="str">
        <f>[1]!BexGetData("DP_2","DJ1BC55DLLAQ7ZBS6SEJ4989M","12")</f>
        <v/>
      </c>
      <c r="D4" s="34" t="str">
        <f>[1]!BexGetData("DP_2","DJ1BC55DLLBHWLNJIBU56OMJE","12")</f>
        <v/>
      </c>
      <c r="E4" s="33">
        <f>[1]!BexGetData("DP_2","DJ1BC55DLLC9L7ZATV9R940T6","12")</f>
        <v>89716165</v>
      </c>
      <c r="F4" s="33">
        <f>[1]!BexGetData("DP_2","DJ1BC55DLLDSYGMTGY4ZDYTCQ","12")</f>
        <v>77178418.680000007</v>
      </c>
      <c r="G4" s="33">
        <f>[1]!BexGetData("DP_2","DJ1BC55DLLEKN2YKSHKLGE7MI","12")</f>
        <v>77178418.680000007</v>
      </c>
      <c r="H4" s="35">
        <f>[1]!BexGetData("DP_2","DJ1BC55DLLG40BM3FKFTL9062","12")</f>
        <v>0.86025097796000005</v>
      </c>
    </row>
    <row r="5" spans="1:8" x14ac:dyDescent="0.2">
      <c r="A5" s="32" t="s">
        <v>68</v>
      </c>
      <c r="B5" s="33">
        <f>[1]!BexGetData("DP_2","DJ1BC55DLL9YJD00V8YX1TTZU","17")</f>
        <v>1</v>
      </c>
      <c r="C5" s="34" t="str">
        <f>[1]!BexGetData("DP_2","DJ1BC55DLLAQ7ZBS6SEJ4989M","17")</f>
        <v/>
      </c>
      <c r="D5" s="34" t="str">
        <f>[1]!BexGetData("DP_2","DJ1BC55DLLBHWLNJIBU56OMJE","17")</f>
        <v/>
      </c>
      <c r="E5" s="33">
        <f>[1]!BexGetData("DP_2","DJ1BC55DLLC9L7ZATV9R940T6","17")</f>
        <v>1</v>
      </c>
      <c r="F5" s="33">
        <f>[1]!BexGetData("DP_2","DJ1BC55DLLDSYGMTGY4ZDYTCQ","17")</f>
        <v>2847642.33</v>
      </c>
      <c r="G5" s="33">
        <f>[1]!BexGetData("DP_2","DJ1BC55DLLEKN2YKSHKLGE7MI","17")</f>
        <v>2847642.33</v>
      </c>
      <c r="H5" s="35">
        <f>[1]!BexGetData("DP_2","DJ1BC55DLLG40BM3FKFTL9062","17")</f>
        <v>2847642.33</v>
      </c>
    </row>
    <row r="6" spans="1:8" x14ac:dyDescent="0.2">
      <c r="A6" s="32" t="s">
        <v>69</v>
      </c>
      <c r="B6" s="33">
        <f>[1]!BexGetData("DP_2","DJ1BC55DLL9YJD00V8YX1TTZU","18")</f>
        <v>3793401</v>
      </c>
      <c r="C6" s="34" t="str">
        <f>[1]!BexGetData("DP_2","DJ1BC55DLLAQ7ZBS6SEJ4989M","18")</f>
        <v/>
      </c>
      <c r="D6" s="34" t="str">
        <f>[1]!BexGetData("DP_2","DJ1BC55DLLBHWLNJIBU56OMJE","18")</f>
        <v/>
      </c>
      <c r="E6" s="33">
        <f>[1]!BexGetData("DP_2","DJ1BC55DLLC9L7ZATV9R940T6","18")</f>
        <v>3793401</v>
      </c>
      <c r="F6" s="33">
        <f>[1]!BexGetData("DP_2","DJ1BC55DLLDSYGMTGY4ZDYTCQ","18")</f>
        <v>4064391.94</v>
      </c>
      <c r="G6" s="33">
        <f>[1]!BexGetData("DP_2","DJ1BC55DLLEKN2YKSHKLGE7MI","18")</f>
        <v>4064391.94</v>
      </c>
      <c r="H6" s="35">
        <f>[1]!BexGetData("DP_2","DJ1BC55DLLG40BM3FKFTL9062","18")</f>
        <v>1.07143746206</v>
      </c>
    </row>
    <row r="7" spans="1:8" x14ac:dyDescent="0.2">
      <c r="A7" s="32" t="s">
        <v>70</v>
      </c>
      <c r="B7" s="33">
        <f>[1]!BexGetData("DP_2","DJ1BC55DLL9YJD00V8YX1TTZU","19")</f>
        <v>1</v>
      </c>
      <c r="C7" s="34" t="str">
        <f>[1]!BexGetData("DP_2","DJ1BC55DLLAQ7ZBS6SEJ4989M","19")</f>
        <v/>
      </c>
      <c r="D7" s="34" t="str">
        <f>[1]!BexGetData("DP_2","DJ1BC55DLLBHWLNJIBU56OMJE","19")</f>
        <v/>
      </c>
      <c r="E7" s="33">
        <f>[1]!BexGetData("DP_2","DJ1BC55DLLC9L7ZATV9R940T6","19")</f>
        <v>1</v>
      </c>
      <c r="F7" s="33">
        <f>[1]!BexGetData("DP_2","DJ1BC55DLLDSYGMTGY4ZDYTCQ","19")</f>
        <v>0</v>
      </c>
      <c r="G7" s="33">
        <f>[1]!BexGetData("DP_2","DJ1BC55DLLEKN2YKSHKLGE7MI","19")</f>
        <v>0</v>
      </c>
      <c r="H7" s="34">
        <f>[1]!BexGetData("DP_2","DJ1BC55DLLG40BM3FKFTL9062","19")</f>
        <v>0</v>
      </c>
    </row>
    <row r="8" spans="1:8" x14ac:dyDescent="0.2">
      <c r="A8" s="32" t="s">
        <v>71</v>
      </c>
      <c r="B8" s="33">
        <f>[1]!BexGetData("DP_2","DJ1BC55DLL9YJD00V8YX1TTZU","31")</f>
        <v>1</v>
      </c>
      <c r="C8" s="34" t="str">
        <f>[1]!BexGetData("DP_2","DJ1BC55DLLAQ7ZBS6SEJ4989M","31")</f>
        <v/>
      </c>
      <c r="D8" s="34" t="str">
        <f>[1]!BexGetData("DP_2","DJ1BC55DLLBHWLNJIBU56OMJE","31")</f>
        <v/>
      </c>
      <c r="E8" s="33">
        <f>[1]!BexGetData("DP_2","DJ1BC55DLLC9L7ZATV9R940T6","31")</f>
        <v>1</v>
      </c>
      <c r="F8" s="33">
        <f>[1]!BexGetData("DP_2","DJ1BC55DLLDSYGMTGY4ZDYTCQ","31")</f>
        <v>0</v>
      </c>
      <c r="G8" s="33">
        <f>[1]!BexGetData("DP_2","DJ1BC55DLLEKN2YKSHKLGE7MI","31")</f>
        <v>0</v>
      </c>
      <c r="H8" s="34">
        <f>[1]!BexGetData("DP_2","DJ1BC55DLLG40BM3FKFTL9062","31")</f>
        <v>0</v>
      </c>
    </row>
    <row r="9" spans="1:8" x14ac:dyDescent="0.2">
      <c r="A9" s="32" t="s">
        <v>72</v>
      </c>
      <c r="B9" s="33">
        <f>[1]!BexGetData("DP_2","DJ1BC55DLL9YJD00V8YX1TTZU","39")</f>
        <v>1</v>
      </c>
      <c r="C9" s="34" t="str">
        <f>[1]!BexGetData("DP_2","DJ1BC55DLLAQ7ZBS6SEJ4989M","39")</f>
        <v/>
      </c>
      <c r="D9" s="34" t="str">
        <f>[1]!BexGetData("DP_2","DJ1BC55DLLBHWLNJIBU56OMJE","39")</f>
        <v/>
      </c>
      <c r="E9" s="33">
        <f>[1]!BexGetData("DP_2","DJ1BC55DLLC9L7ZATV9R940T6","39")</f>
        <v>1</v>
      </c>
      <c r="F9" s="33">
        <f>[1]!BexGetData("DP_2","DJ1BC55DLLDSYGMTGY4ZDYTCQ","39")</f>
        <v>0</v>
      </c>
      <c r="G9" s="33">
        <f>[1]!BexGetData("DP_2","DJ1BC55DLLEKN2YKSHKLGE7MI","39")</f>
        <v>0</v>
      </c>
      <c r="H9" s="34">
        <f>[1]!BexGetData("DP_2","DJ1BC55DLLG40BM3FKFTL9062","39")</f>
        <v>0</v>
      </c>
    </row>
    <row r="10" spans="1:8" x14ac:dyDescent="0.2">
      <c r="A10" s="32" t="s">
        <v>73</v>
      </c>
      <c r="B10" s="33">
        <f>[1]!BexGetData("DP_2","DJ1BC55DLL9YJD00V8YX1TTZU","41")</f>
        <v>12832449</v>
      </c>
      <c r="C10" s="34" t="str">
        <f>[1]!BexGetData("DP_2","DJ1BC55DLLAQ7ZBS6SEJ4989M","41")</f>
        <v/>
      </c>
      <c r="D10" s="34" t="str">
        <f>[1]!BexGetData("DP_2","DJ1BC55DLLBHWLNJIBU56OMJE","41")</f>
        <v/>
      </c>
      <c r="E10" s="33">
        <f>[1]!BexGetData("DP_2","DJ1BC55DLLC9L7ZATV9R940T6","41")</f>
        <v>12832449</v>
      </c>
      <c r="F10" s="33">
        <f>[1]!BexGetData("DP_2","DJ1BC55DLLDSYGMTGY4ZDYTCQ","41")</f>
        <v>17655152.510000002</v>
      </c>
      <c r="G10" s="33">
        <f>[1]!BexGetData("DP_2","DJ1BC55DLLEKN2YKSHKLGE7MI","41")</f>
        <v>17655152.510000002</v>
      </c>
      <c r="H10" s="35">
        <f>[1]!BexGetData("DP_2","DJ1BC55DLLG40BM3FKFTL9062","41")</f>
        <v>1.37582097618</v>
      </c>
    </row>
    <row r="11" spans="1:8" x14ac:dyDescent="0.2">
      <c r="A11" s="32" t="s">
        <v>74</v>
      </c>
      <c r="B11" s="33">
        <f>[1]!BexGetData("DP_2","DJ1BC55DLL9YJD00V8YX1TTZU","43")</f>
        <v>52668591</v>
      </c>
      <c r="C11" s="34" t="str">
        <f>[1]!BexGetData("DP_2","DJ1BC55DLLAQ7ZBS6SEJ4989M","43")</f>
        <v/>
      </c>
      <c r="D11" s="34" t="str">
        <f>[1]!BexGetData("DP_2","DJ1BC55DLLBHWLNJIBU56OMJE","43")</f>
        <v/>
      </c>
      <c r="E11" s="33">
        <f>[1]!BexGetData("DP_2","DJ1BC55DLLC9L7ZATV9R940T6","43")</f>
        <v>52668591</v>
      </c>
      <c r="F11" s="33">
        <f>[1]!BexGetData("DP_2","DJ1BC55DLLDSYGMTGY4ZDYTCQ","43")</f>
        <v>41609127.630000003</v>
      </c>
      <c r="G11" s="33">
        <f>[1]!BexGetData("DP_2","DJ1BC55DLLEKN2YKSHKLGE7MI","43")</f>
        <v>41609127.630000003</v>
      </c>
      <c r="H11" s="35">
        <f>[1]!BexGetData("DP_2","DJ1BC55DLLG40BM3FKFTL9062","43")</f>
        <v>0.79001786149999997</v>
      </c>
    </row>
    <row r="12" spans="1:8" x14ac:dyDescent="0.2">
      <c r="A12" s="32" t="s">
        <v>75</v>
      </c>
      <c r="B12" s="33">
        <f>[1]!BexGetData("DP_2","DJ1BC55DLL9YJD00V8YX1TTZU","44")</f>
        <v>40205073</v>
      </c>
      <c r="C12" s="34" t="str">
        <f>[1]!BexGetData("DP_2","DJ1BC55DLLAQ7ZBS6SEJ4989M","44")</f>
        <v/>
      </c>
      <c r="D12" s="34" t="str">
        <f>[1]!BexGetData("DP_2","DJ1BC55DLLBHWLNJIBU56OMJE","44")</f>
        <v/>
      </c>
      <c r="E12" s="33">
        <f>[1]!BexGetData("DP_2","DJ1BC55DLLC9L7ZATV9R940T6","44")</f>
        <v>40205073</v>
      </c>
      <c r="F12" s="33">
        <f>[1]!BexGetData("DP_2","DJ1BC55DLLDSYGMTGY4ZDYTCQ","44")</f>
        <v>37960016.969999999</v>
      </c>
      <c r="G12" s="33">
        <f>[1]!BexGetData("DP_2","DJ1BC55DLLEKN2YKSHKLGE7MI","44")</f>
        <v>37960016.969999999</v>
      </c>
      <c r="H12" s="35">
        <f>[1]!BexGetData("DP_2","DJ1BC55DLLG40BM3FKFTL9062","44")</f>
        <v>0.94415988175999999</v>
      </c>
    </row>
    <row r="13" spans="1:8" x14ac:dyDescent="0.2">
      <c r="A13" s="32" t="s">
        <v>76</v>
      </c>
      <c r="B13" s="33">
        <f>[1]!BexGetData("DP_2","DJ1BC55DLL9YJD00V8YX1TTZU","45")</f>
        <v>1</v>
      </c>
      <c r="C13" s="34" t="str">
        <f>[1]!BexGetData("DP_2","DJ1BC55DLLAQ7ZBS6SEJ4989M","45")</f>
        <v/>
      </c>
      <c r="D13" s="34" t="str">
        <f>[1]!BexGetData("DP_2","DJ1BC55DLLBHWLNJIBU56OMJE","45")</f>
        <v/>
      </c>
      <c r="E13" s="33">
        <f>[1]!BexGetData("DP_2","DJ1BC55DLLC9L7ZATV9R940T6","45")</f>
        <v>1</v>
      </c>
      <c r="F13" s="33">
        <f>[1]!BexGetData("DP_2","DJ1BC55DLLDSYGMTGY4ZDYTCQ","45")</f>
        <v>1815151.55</v>
      </c>
      <c r="G13" s="33">
        <f>[1]!BexGetData("DP_2","DJ1BC55DLLEKN2YKSHKLGE7MI","45")</f>
        <v>1815151.55</v>
      </c>
      <c r="H13" s="35">
        <f>[1]!BexGetData("DP_2","DJ1BC55DLLG40BM3FKFTL9062","45")</f>
        <v>1815151.55</v>
      </c>
    </row>
    <row r="14" spans="1:8" x14ac:dyDescent="0.2">
      <c r="A14" s="32" t="s">
        <v>77</v>
      </c>
      <c r="B14" s="33">
        <f>[1]!BexGetData("DP_2","DJ1BC55DLL9YJD00V8YX1TTZU","49")</f>
        <v>1</v>
      </c>
      <c r="C14" s="34" t="str">
        <f>[1]!BexGetData("DP_2","DJ1BC55DLLAQ7ZBS6SEJ4989M","49")</f>
        <v/>
      </c>
      <c r="D14" s="34" t="str">
        <f>[1]!BexGetData("DP_2","DJ1BC55DLLBHWLNJIBU56OMJE","49")</f>
        <v/>
      </c>
      <c r="E14" s="33">
        <f>[1]!BexGetData("DP_2","DJ1BC55DLLC9L7ZATV9R940T6","49")</f>
        <v>1</v>
      </c>
      <c r="F14" s="33">
        <f>[1]!BexGetData("DP_2","DJ1BC55DLLDSYGMTGY4ZDYTCQ","49")</f>
        <v>0</v>
      </c>
      <c r="G14" s="33">
        <f>[1]!BexGetData("DP_2","DJ1BC55DLLEKN2YKSHKLGE7MI","49")</f>
        <v>0</v>
      </c>
      <c r="H14" s="34">
        <f>[1]!BexGetData("DP_2","DJ1BC55DLLG40BM3FKFTL9062","49")</f>
        <v>0</v>
      </c>
    </row>
    <row r="15" spans="1:8" x14ac:dyDescent="0.2">
      <c r="A15" s="32" t="s">
        <v>78</v>
      </c>
      <c r="B15" s="33">
        <f>[1]!BexGetData("DP_2","DJ1BC55DLL9YJD00V8YX1TTZU","51")</f>
        <v>2220253</v>
      </c>
      <c r="C15" s="34" t="str">
        <f>[1]!BexGetData("DP_2","DJ1BC55DLLAQ7ZBS6SEJ4989M","51")</f>
        <v/>
      </c>
      <c r="D15" s="34" t="str">
        <f>[1]!BexGetData("DP_2","DJ1BC55DLLBHWLNJIBU56OMJE","51")</f>
        <v/>
      </c>
      <c r="E15" s="33">
        <f>[1]!BexGetData("DP_2","DJ1BC55DLLC9L7ZATV9R940T6","51")</f>
        <v>2220253</v>
      </c>
      <c r="F15" s="33">
        <f>[1]!BexGetData("DP_2","DJ1BC55DLLDSYGMTGY4ZDYTCQ","51")</f>
        <v>2393314.9</v>
      </c>
      <c r="G15" s="33">
        <f>[1]!BexGetData("DP_2","DJ1BC55DLLEKN2YKSHKLGE7MI","51")</f>
        <v>2393314.9</v>
      </c>
      <c r="H15" s="35">
        <f>[1]!BexGetData("DP_2","DJ1BC55DLLG40BM3FKFTL9062","51")</f>
        <v>1.07794692767</v>
      </c>
    </row>
    <row r="16" spans="1:8" x14ac:dyDescent="0.2">
      <c r="A16" s="32" t="s">
        <v>79</v>
      </c>
      <c r="B16" s="33">
        <f>[1]!BexGetData("DP_2","DJ1BC55DLL9YJD00V8YX1TTZU","52")</f>
        <v>2</v>
      </c>
      <c r="C16" s="34" t="str">
        <f>[1]!BexGetData("DP_2","DJ1BC55DLLAQ7ZBS6SEJ4989M","52")</f>
        <v/>
      </c>
      <c r="D16" s="34" t="str">
        <f>[1]!BexGetData("DP_2","DJ1BC55DLLBHWLNJIBU56OMJE","52")</f>
        <v/>
      </c>
      <c r="E16" s="33">
        <f>[1]!BexGetData("DP_2","DJ1BC55DLLC9L7ZATV9R940T6","52")</f>
        <v>2</v>
      </c>
      <c r="F16" s="33">
        <f>[1]!BexGetData("DP_2","DJ1BC55DLLDSYGMTGY4ZDYTCQ","52")</f>
        <v>0</v>
      </c>
      <c r="G16" s="33">
        <f>[1]!BexGetData("DP_2","DJ1BC55DLLEKN2YKSHKLGE7MI","52")</f>
        <v>0</v>
      </c>
      <c r="H16" s="34">
        <f>[1]!BexGetData("DP_2","DJ1BC55DLLG40BM3FKFTL9062","52")</f>
        <v>0</v>
      </c>
    </row>
    <row r="17" spans="1:8" x14ac:dyDescent="0.2">
      <c r="A17" s="32" t="s">
        <v>80</v>
      </c>
      <c r="B17" s="33">
        <f>[1]!BexGetData("DP_2","DJ1BC55DLL9YJD00V8YX1TTZU","59")</f>
        <v>1</v>
      </c>
      <c r="C17" s="34" t="str">
        <f>[1]!BexGetData("DP_2","DJ1BC55DLLAQ7ZBS6SEJ4989M","59")</f>
        <v/>
      </c>
      <c r="D17" s="34" t="str">
        <f>[1]!BexGetData("DP_2","DJ1BC55DLLBHWLNJIBU56OMJE","59")</f>
        <v/>
      </c>
      <c r="E17" s="33">
        <f>[1]!BexGetData("DP_2","DJ1BC55DLLC9L7ZATV9R940T6","59")</f>
        <v>1</v>
      </c>
      <c r="F17" s="33">
        <f>[1]!BexGetData("DP_2","DJ1BC55DLLDSYGMTGY4ZDYTCQ","59")</f>
        <v>-24794.28</v>
      </c>
      <c r="G17" s="33">
        <f>[1]!BexGetData("DP_2","DJ1BC55DLLEKN2YKSHKLGE7MI","59")</f>
        <v>-24794.28</v>
      </c>
      <c r="H17" s="35">
        <f>[1]!BexGetData("DP_2","DJ1BC55DLLG40BM3FKFTL9062","59")</f>
        <v>-24794.28</v>
      </c>
    </row>
    <row r="18" spans="1:8" x14ac:dyDescent="0.2">
      <c r="A18" s="32" t="s">
        <v>81</v>
      </c>
      <c r="B18" s="33">
        <f>[1]!BexGetData("DP_2","DJ1BC55DLL9YJD00V8YX1TTZU","61")</f>
        <v>62341202</v>
      </c>
      <c r="C18" s="34" t="str">
        <f>[1]!BexGetData("DP_2","DJ1BC55DLLAQ7ZBS6SEJ4989M","61")</f>
        <v/>
      </c>
      <c r="D18" s="34" t="str">
        <f>[1]!BexGetData("DP_2","DJ1BC55DLLBHWLNJIBU56OMJE","61")</f>
        <v/>
      </c>
      <c r="E18" s="33">
        <f>[1]!BexGetData("DP_2","DJ1BC55DLLC9L7ZATV9R940T6","61")</f>
        <v>62341202</v>
      </c>
      <c r="F18" s="33">
        <f>[1]!BexGetData("DP_2","DJ1BC55DLLDSYGMTGY4ZDYTCQ","61")</f>
        <v>39205406.609999999</v>
      </c>
      <c r="G18" s="33">
        <f>[1]!BexGetData("DP_2","DJ1BC55DLLEKN2YKSHKLGE7MI","61")</f>
        <v>39205406.609999999</v>
      </c>
      <c r="H18" s="35">
        <f>[1]!BexGetData("DP_2","DJ1BC55DLLG40BM3FKFTL9062","61")</f>
        <v>0.62888435499999995</v>
      </c>
    </row>
    <row r="19" spans="1:8" x14ac:dyDescent="0.2">
      <c r="A19" s="32" t="s">
        <v>82</v>
      </c>
      <c r="B19" s="33">
        <f>[1]!BexGetData("DP_2","DJ1BC55DLL9YJD00V8YX1TTZU","62")</f>
        <v>4227952</v>
      </c>
      <c r="C19" s="34" t="str">
        <f>[1]!BexGetData("DP_2","DJ1BC55DLLAQ7ZBS6SEJ4989M","62")</f>
        <v/>
      </c>
      <c r="D19" s="34" t="str">
        <f>[1]!BexGetData("DP_2","DJ1BC55DLLBHWLNJIBU56OMJE","62")</f>
        <v/>
      </c>
      <c r="E19" s="33">
        <f>[1]!BexGetData("DP_2","DJ1BC55DLLC9L7ZATV9R940T6","62")</f>
        <v>4227952</v>
      </c>
      <c r="F19" s="33">
        <f>[1]!BexGetData("DP_2","DJ1BC55DLLDSYGMTGY4ZDYTCQ","62")</f>
        <v>6385681.3899999997</v>
      </c>
      <c r="G19" s="33">
        <f>[1]!BexGetData("DP_2","DJ1BC55DLLEKN2YKSHKLGE7MI","62")</f>
        <v>6385681.3899999997</v>
      </c>
      <c r="H19" s="35">
        <f>[1]!BexGetData("DP_2","DJ1BC55DLLG40BM3FKFTL9062","62")</f>
        <v>1.5103486014</v>
      </c>
    </row>
    <row r="20" spans="1:8" x14ac:dyDescent="0.2">
      <c r="A20" s="32" t="s">
        <v>83</v>
      </c>
      <c r="B20" s="33">
        <f>[1]!BexGetData("DP_2","DJ1BC55DLL9YJD00V8YX1TTZU","69")</f>
        <v>1</v>
      </c>
      <c r="C20" s="34" t="str">
        <f>[1]!BexGetData("DP_2","DJ1BC55DLLAQ7ZBS6SEJ4989M","69")</f>
        <v/>
      </c>
      <c r="D20" s="34" t="str">
        <f>[1]!BexGetData("DP_2","DJ1BC55DLLBHWLNJIBU56OMJE","69")</f>
        <v/>
      </c>
      <c r="E20" s="33">
        <f>[1]!BexGetData("DP_2","DJ1BC55DLLC9L7ZATV9R940T6","69")</f>
        <v>1</v>
      </c>
      <c r="F20" s="33">
        <f>[1]!BexGetData("DP_2","DJ1BC55DLLDSYGMTGY4ZDYTCQ","69")</f>
        <v>0</v>
      </c>
      <c r="G20" s="33">
        <f>[1]!BexGetData("DP_2","DJ1BC55DLLEKN2YKSHKLGE7MI","69")</f>
        <v>0</v>
      </c>
      <c r="H20" s="34">
        <f>[1]!BexGetData("DP_2","DJ1BC55DLLG40BM3FKFTL9062","69")</f>
        <v>0</v>
      </c>
    </row>
    <row r="21" spans="1:8" x14ac:dyDescent="0.2">
      <c r="A21" s="32" t="s">
        <v>84</v>
      </c>
      <c r="B21" s="33">
        <f>[1]!BexGetData("DP_2","DJ1BC55DLL9YJD00V8YX1TTZU","73")</f>
        <v>3</v>
      </c>
      <c r="C21" s="34" t="str">
        <f>[1]!BexGetData("DP_2","DJ1BC55DLLAQ7ZBS6SEJ4989M","73")</f>
        <v/>
      </c>
      <c r="D21" s="34" t="str">
        <f>[1]!BexGetData("DP_2","DJ1BC55DLLBHWLNJIBU56OMJE","73")</f>
        <v/>
      </c>
      <c r="E21" s="33">
        <f>[1]!BexGetData("DP_2","DJ1BC55DLLC9L7ZATV9R940T6","73")</f>
        <v>3</v>
      </c>
      <c r="F21" s="33">
        <f>[1]!BexGetData("DP_2","DJ1BC55DLLDSYGMTGY4ZDYTCQ","73")</f>
        <v>0</v>
      </c>
      <c r="G21" s="33">
        <f>[1]!BexGetData("DP_2","DJ1BC55DLLEKN2YKSHKLGE7MI","73")</f>
        <v>0</v>
      </c>
      <c r="H21" s="34">
        <f>[1]!BexGetData("DP_2","DJ1BC55DLLG40BM3FKFTL9062","73")</f>
        <v>0</v>
      </c>
    </row>
    <row r="22" spans="1:8" x14ac:dyDescent="0.2">
      <c r="A22" s="32" t="s">
        <v>85</v>
      </c>
      <c r="B22" s="33">
        <f>[1]!BexGetData("DP_2","DJ1BC55DLL9YJD00V8YX1TTZU","81")</f>
        <v>566912835</v>
      </c>
      <c r="C22" s="34" t="str">
        <f>[1]!BexGetData("DP_2","DJ1BC55DLLAQ7ZBS6SEJ4989M","81")</f>
        <v/>
      </c>
      <c r="D22" s="34" t="str">
        <f>[1]!BexGetData("DP_2","DJ1BC55DLLBHWLNJIBU56OMJE","81")</f>
        <v/>
      </c>
      <c r="E22" s="33">
        <f>[1]!BexGetData("DP_2","DJ1BC55DLLC9L7ZATV9R940T6","81")</f>
        <v>566912835</v>
      </c>
      <c r="F22" s="33">
        <f>[1]!BexGetData("DP_2","DJ1BC55DLLDSYGMTGY4ZDYTCQ","81")</f>
        <v>311869789.89999998</v>
      </c>
      <c r="G22" s="33">
        <f>[1]!BexGetData("DP_2","DJ1BC55DLLEKN2YKSHKLGE7MI","81")</f>
        <v>311869789.89999998</v>
      </c>
      <c r="H22" s="35">
        <f>[1]!BexGetData("DP_2","DJ1BC55DLLG40BM3FKFTL9062","81")</f>
        <v>0.55011947277999995</v>
      </c>
    </row>
    <row r="23" spans="1:8" x14ac:dyDescent="0.2">
      <c r="A23" s="32" t="s">
        <v>86</v>
      </c>
      <c r="B23" s="33">
        <f>[1]!BexGetData("DP_2","DJ1BC55DLL9YJD00V8YX1TTZU","82")</f>
        <v>251460296</v>
      </c>
      <c r="C23" s="34" t="str">
        <f>[1]!BexGetData("DP_2","DJ1BC55DLLAQ7ZBS6SEJ4989M","82")</f>
        <v/>
      </c>
      <c r="D23" s="34" t="str">
        <f>[1]!BexGetData("DP_2","DJ1BC55DLLBHWLNJIBU56OMJE","82")</f>
        <v/>
      </c>
      <c r="E23" s="33">
        <f>[1]!BexGetData("DP_2","DJ1BC55DLLC9L7ZATV9R940T6","82")</f>
        <v>251460296</v>
      </c>
      <c r="F23" s="33">
        <f>[1]!BexGetData("DP_2","DJ1BC55DLLDSYGMTGY4ZDYTCQ","82")</f>
        <v>126808747.26000001</v>
      </c>
      <c r="G23" s="33">
        <f>[1]!BexGetData("DP_2","DJ1BC55DLLEKN2YKSHKLGE7MI","82")</f>
        <v>126808747.26000001</v>
      </c>
      <c r="H23" s="35">
        <f>[1]!BexGetData("DP_2","DJ1BC55DLLG40BM3FKFTL9062","82")</f>
        <v>0.50428934219999999</v>
      </c>
    </row>
    <row r="24" spans="1:8" x14ac:dyDescent="0.2">
      <c r="A24" s="32" t="s">
        <v>87</v>
      </c>
      <c r="B24" s="33">
        <f>[1]!BexGetData("DP_2","DJ1BC55DLL9YJD00V8YX1TTZU","93")</f>
        <v>80083590</v>
      </c>
      <c r="C24" s="34" t="str">
        <f>[1]!BexGetData("DP_2","DJ1BC55DLLAQ7ZBS6SEJ4989M","93")</f>
        <v/>
      </c>
      <c r="D24" s="34" t="str">
        <f>[1]!BexGetData("DP_2","DJ1BC55DLLBHWLNJIBU56OMJE","93")</f>
        <v/>
      </c>
      <c r="E24" s="33">
        <f>[1]!BexGetData("DP_2","DJ1BC55DLLC9L7ZATV9R940T6","93")</f>
        <v>80083590</v>
      </c>
      <c r="F24" s="33">
        <f>[1]!BexGetData("DP_2","DJ1BC55DLLDSYGMTGY4ZDYTCQ","93")</f>
        <v>91244037.099999994</v>
      </c>
      <c r="G24" s="33">
        <f>[1]!BexGetData("DP_2","DJ1BC55DLLEKN2YKSHKLGE7MI","93")</f>
        <v>91244037.099999994</v>
      </c>
      <c r="H24" s="35">
        <f>[1]!BexGetData("DP_2","DJ1BC55DLLG40BM3FKFTL9062","93")</f>
        <v>1.1393599750000001</v>
      </c>
    </row>
    <row r="25" spans="1:8" x14ac:dyDescent="0.2">
      <c r="A25" s="32" t="s">
        <v>88</v>
      </c>
      <c r="B25" s="33">
        <f>[1]!BexGetData("DP_2","DJ1BC55DLL9YJD00V8YX1TTZU","94")</f>
        <v>1250590</v>
      </c>
      <c r="C25" s="34" t="str">
        <f>[1]!BexGetData("DP_2","DJ1BC55DLLAQ7ZBS6SEJ4989M","94")</f>
        <v/>
      </c>
      <c r="D25" s="34" t="str">
        <f>[1]!BexGetData("DP_2","DJ1BC55DLLBHWLNJIBU56OMJE","94")</f>
        <v/>
      </c>
      <c r="E25" s="33">
        <f>[1]!BexGetData("DP_2","DJ1BC55DLLC9L7ZATV9R940T6","94")</f>
        <v>1250590</v>
      </c>
      <c r="F25" s="33">
        <f>[1]!BexGetData("DP_2","DJ1BC55DLLDSYGMTGY4ZDYTCQ","94")</f>
        <v>185250</v>
      </c>
      <c r="G25" s="33">
        <f>[1]!BexGetData("DP_2","DJ1BC55DLLEKN2YKSHKLGE7MI","94")</f>
        <v>185250</v>
      </c>
      <c r="H25" s="35">
        <f>[1]!BexGetData("DP_2","DJ1BC55DLLG40BM3FKFTL9062","94")</f>
        <v>0.14813008259999999</v>
      </c>
    </row>
    <row r="26" spans="1:8" x14ac:dyDescent="0.2">
      <c r="A26" s="36" t="s">
        <v>63</v>
      </c>
      <c r="B26" s="37">
        <f>[1]!BexGetData("DP_2","DJ1BC55DLL9YJD00V8YX1TTZU","SUMME")</f>
        <v>1168349951</v>
      </c>
      <c r="C26" s="38" t="str">
        <f>[1]!BexGetData("DP_2","DJ1BC55DLLAQ7ZBS6SEJ4989M","SUMME")</f>
        <v/>
      </c>
      <c r="D26" s="38" t="str">
        <f>[1]!BexGetData("DP_2","DJ1BC55DLLBHWLNJIBU56OMJE","SUMME")</f>
        <v/>
      </c>
      <c r="E26" s="37">
        <f>[1]!BexGetData("DP_2","DJ1BC55DLLC9L7ZATV9R940T6","SUMME")</f>
        <v>1168349951</v>
      </c>
      <c r="F26" s="37">
        <f>[1]!BexGetData("DP_2","DJ1BC55DLLDSYGMTGY4ZDYTCQ","SUMME")</f>
        <v>811292209.65999997</v>
      </c>
      <c r="G26" s="37">
        <f>[1]!BexGetData("DP_2","DJ1BC55DLLEKN2YKSHKLGE7MI","SUMME")</f>
        <v>811292209.65999997</v>
      </c>
      <c r="H26" s="39">
        <f>[1]!BexGetData("DP_2","DJ1BC55DLLG40BM3FKFTL9062","SUMME")</f>
        <v>0.69439144407999998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H G 0 + / i u + f X x q 9 O f P D M f 2 t 8 f P z 1 9 f f L q 7 O U b / H F 8 J / 0 y e 5 d u p y + r O n 2 1 n t R V O s v T s + V F n T d V 8 / i u 3 / b x s 1 d f v n h z + u L p 7 6 8 d / P 5 n L 5 5 9 e f T g 3 s 7 O m C g y 3 j 3 Y e / j 4 b r z R 4 z e / / 9 P j N 8 c v X 3 3 5 k 2 d P T 1 8 R a q 9 f / f 6 v f + / O h y + O v z g 9 e v r y 9 y d 0 + V c a w E 9 8 d f r 6 D e F 8 9 g X 9 9 e r 3 / v 1 / 7 + e v f 3 / + 4 + z L J 9 9 5 8 c X R z r O v X j x 9 / f u f v H n 1 + K 5 + x F + 9 + b 3 f p H e P H r / + 6 o v j J 8 9 P j 3 7 v x 3 f N r 4 / P X v / + r 9 + 8 + u r k z V e v T t H m + P c + e 4 2 f L 7 9 8 f f b m a G d n 5 w F R l X 9 / f P L t 4 5 9 8 / v u f C i z 5 Q w H z H / j l x Z d P T 3 9 / 6 Z k / / + q L r / j z l 8 9 P f / J U W 1 D X 3 A O a v X z 1 + s W b o z 3 B V v 5 4 T O i 8 + f 2 f / + R z 6 p z w N H 8 8 / v a r 3 + f 3 P z 5 5 c / a T j O a 3 z 0 6 l C y U s f i X y n b 7 5 E j j z Q / M l H z x + / f u / + X 1 e H v 1 e B I 1 / o b + p t 4 B Y 8 s l j U P P V 0 T H + x i / 0 9 + n z N 1 + d P d 1 l 6 u k f e 9 y / g P r 2 4 7 v 6 G z 4 h G P o d v a 2 / e Q D s X w L B p 8 n T 0 7 O n H u L 6 w e O T L 4 l 1 X r w 6 k k / N X / j 4 z f H Z i 9 e / / + / 1 + z z D + 5 + f v X 7 z E u w v v + D v 4 z d v X p 0 J h Y R o v / / r 0 + e n J 2 B d 7 z N A P D O f g c A 8 f z z d l s j P n h 9 / D p F x f x i a m 2 / 8 P 3 U S z F f e X 4 / p 3 z e / v 7 I V S Y b 7 S 7 5 5 3 f n O / G 2 + J S I D J / 1 L C X z 8 / P T 4 G S H 9 + i W Y y P v L f n P y b Z 6 7 l 1 + e A D L / f C y z c P T 0 O 7 t P n u 7 / X p + e H H / 7 7 M u d z 3 / i y 4 c H B 0 + + + / r h F 4 / v a g v 0 9 v n e U Y p n h / 6 / y 7 j R J 4 / f f P s 7 b x S d z / f x y x u e T W b s L 4 5 / b / k L P b o / H n 9 x 9 s L 7 3 P 4 B w r 8 2 E 0 C j P H 2 t t H 8 N n m D C 4 7 f H r 4 n O 3 N P v / e b 1 t 5 8 9 h x S b X / H Z F 0 / t Z / w r P n v + O f 3 y + / B n / C s p G p K h k 9 P X r 3 / / L 2 i m m T K G L e w n X 5 x + 8 e T 0 V b c d Y f G K q M 6 4 P T 0 l 9 n v + + 9 M 7 A V O h C T G W s K L 7 g 7 S t r 6 q G 9 N b J 7 3 / 8 6 v T 4 m 9 N b 9 3 4 2 9 N b R V x B O / s 3 T X z s / Z / r L E O 1 H + u v n t f 5 6 f X z w c v f p / T f H b x 5 + 9 2 T v b F B / 3 f 9 / k / 7 6 f f 7 / o 7 9 + 6 t k X J y d P T 1 / + / r 8 / / 3 b y / B v U Y 5 / + / 1 2 P x Y j 3 I 3 3 2 8 1 q f / e T J T 3 1 6 c v r s p 3 Y f f u f 5 7 3 1 / 2 B 9 7 + P 9 2 f f b 7 R P T Z 7 / 3 / F X 3 2 + e k 3 p 8 U O f n 5 o M Z D s R 7 r r 5 7 X u + u 7 + i 9 d f 3 n 9 1 9 v l P f r H 7 5 N n p k O 7 a 3 f m R 7 m I x + 6 Z 1 1 8 6 z s 9 c n L 0 + / w Q z Y / R + e 7 v q 5 y o Q Z k v 1 I d / 2 8 1 l 1 v 3 j z / v b / 8 y d f f / X T 3 9 N X + F 3 u D f t e D / z f p r t 8 7 o r t + 7 4 j u + v 9 A H M k p 6 W 9 O c e 3 + 8 B T X z s + R 4 m J 6 / U h r / b z W W j / x E z / 5 + d O v z n 7 i 2 f P 7 u 9 8 5 + 3 0 G t d a 9 H 2 k t l r F v X G u d f P H F m 9 / / 7 M 3 p F 9 + c 6 t r 7 / 7 3 q 8 o j 2 / z H 9 9 S P 9 9 c 3 q r 1 d n v 9 f e y + d f P f z J B w 8 + / 7 1 f / 8 S g / t r / / 6 L + + r 3 / P 6 C / X n 7 1 + 3 9 x e v y a d N E 3 p 8 D 2 / 3 + v w H y q / U i D / b z W Y G 9 2 f 2 / 6 7 d s n P / H s 5 M l P n B w P a r B P / 9 + u w f 4 / m v N y M 3 F 2 f P L F 6 2 / / 1 O s X X 5 2 e f P q d j f o M v / p q D A M N / m a l h k / 5 5 8 9 F W M n Y f p g + Y x B R B b a B a F 9 T n e l v P x d q D N M U / P 1 D U G o 7 g 0 p t Z 1 i p W b v y w 1 B q / l 9 O k e F n T 4 X 1 e G B A h e 2 l e / 8 v U m L 6 K x S W / g o 9 h V / / X 6 q p e J n s 1 c m r s w / y t K C n f x h K C b / 9 X C f n P Y p 9 T b X 0 I y / r 6 3 l Z u 9 + 8 Q v o g L + u r 5 8 e / 1 8 6 L / W f P X 3 z 7 0 7 O f / G p Q R R 3 8 v 0 h B / X 9 1 Z f E u / 0 u d A J t X / D n 1 c u o U 2 S 1 c L l Y 3 X s P v 7 O 0 + 3 H / 4 5 O T e 5 5 + / + r 3 e k C 8 s D a Q d D f 7 o e X 6 d z v L 0 N 0 7 O l h d 1 3 l R N e t q 0 x S K b Z e m X r 7 Q 5 2 s W 0 3 r f P n j 4 9 f Q E y 6 m 9 A n i f q 6 D X N o / n 9 8 c v j V 6 f i W D 1 9 d f b 8 + e s 3 x P t H z 2 m 8 7 q / H 3 z 5 + / f T 0 G f H b m 6 d f n n z F M M N P i H l e v j j + g k n + 5 P j 1 6 V N Q + c 3 z L z / / M v j E K l j 7 y c m X X 7 w 8 e x q + p p r 6 b o f O 3 x z Z 3 7 z 8 y c 9 3 v v j J 7 + x 9 5 9 O f 2 v t 9 3 o f s U Z q 7 1 K R Q W r l R 6 P v s w 2 g t g v n / H d r + X s 9 P v / 3 q 1 e 9 z + v t 8 + f y L p y c / 0 a f t 8 W J V F t m 0 q J Z 5 E 6 X m v U 3 U / H n O u c + f 3 t u / 9 5 2 H v 8 / p 8 Z e 7 r 7 4 4 6 1 N 3 6 1 U + W 0 + F u n e i 5 H V p q B + R t 0 v e L / Z f / c S z 4 + f f f v P d n / j 2 / e 8 e 9 8 n 7 R T U r z o t p N q u i t L 3 / I 0 X g a P n d z 0 9 e 7 f 7 e u w / P X n / 3 9 / p 0 r 0 / L p / l l v r w g U g 6 Z s k 9 / Z M p u p P K L L / d / a u / N w e / 1 c v 8 n n / w + z 7 7 a Q O U o i R / 8 i G F t w 5 c P z h 7 8 x J O f f P F 7 P d 3 5 9 C d + 6 r R P y l f 5 N F v P N j D s w Y 8 Y 9 k Y q f / m M w o f f 6 / f a 3 / + J 3 / v V y c s v N l A 5 S u K H P 2 J Y x 7 A / 9 e l X e / c e f P p T P 7 X 3 x f 2 H k e j h + D J b T n P x Z J W s 0 + I f / V u X M c r u 7 v x / n 7 J 3 + d 8 T i e q e H X N a 7 / j N K 8 k 7 8 S 9 K y p 1 n X 7 1 4 + v r 3 P 3 n z y l F X M w + S X X l 6 + p L C c v 1 E v n o j f V p O 7 N L L F 3 a X F N o N M k Q / G 7 l N C f m F H G a Y 7 z N e r N p R s u r 3 P 3 v 6 9 U c 8 n B P 7 f + u I n 5 3 8 / q + / e r L 7 8 2 / I e z 9 v h v z k K 0 o a v T o 9 / m Y G v P P / / g H b O b 7 3 z Q z 5 / w N z D O N A F u L p 6 T c z 4 v 8 P T P K z L 1 6 d U j b 4 m x n v / w d m W M Y L z + H / b 0 M + U e 3 U H T I 7 I J S + / m b G + / 8 e B 2 R o v P / / d U A 2 z v D x y d k 3 M 9 7 / 9 8 8 w x v v 8 5 a s v P / / 5 N O A T M s T P f r 4 M m H 2 P F / + / d K k 3 z j E x 9 T c z 3 v / 3 T 7 G Y p a 9 e / H w Z r 2 P p / 9 + F T D c P + f 9 3 E c R G r n 5 2 9 v O G q 2 W 8 9 P 3 / v w Z 8 9 v r k 5 W k 0 f K B v a L X 0 1 T c z 3 P + 3 8 P P G 4 d I 3 / z 8 T 3 8 H h v v j q i + 8 + P f 5 9 f p 6 M 9 i l l 1 p + 9 + v K L n 0 f D f f M N u V f / r x 8 s c f L / 7 x i Z s j o D K u o n j 1 + 9 e P P z Y L B s b V 9 9 Q x n o / 7 f Y 2 o F p p Y + x P P j z Y a x w k 5 / + / z L Y 3 T j a / 9 / F Q Q O j / f 9 n M n J I P T 3 7 h p J U / x 8 Y 6 c 8 L + 3 r y 1 e s 3 X 3 4 B J + O b G O v O r c b 6 c z X W 4 5 e / / 5 f P f n / 5 8 p s Y 7 f + r Z 1 Z 4 + M t v K F X x / 5 K h n n z x x Z v f / + z N 6 R c D 4 3 3 5 + e k 3 N O D / l 3 D y h g H D 9 p y c w d L u f z N D / v / I H J 9 8 / g 1 5 y P / v n 2 I J C E 5 e / f 9 r 6 e / G C f 6 m V v 7 + 3 z / B / z / 1 H 2 + l t f 7 / F Q 3 d a s j / / 0 q 0 3 i j H 3 5 T e + n / / e N 0 U / / 8 r 6 t 0 0 Z B r v N 5 f B + X / / e M W / / P L 1 N z P e / / e b Y s f S 9 7 + Z I f 9 / Z I q / f P I N e R / / 7 5 9 i H u + b s 5 9 f 4 / 3 m z N L / V w b 8 T e U A / j 8 y 3 j f / f 5 t g U s R f n B 6 / / u r V a c w K v / r i 9 6 f P C P r P m z F L Z u v l 6 c + j W X 7 6 / 7 / F 7 Y 3 j f f 7 l 5 6 9 / n / 9 / u V o b x / s 5 5 Q A + f / n F / 9 / y A B v H j I X C l 9 9 g C P H / h X m W M Z 8 c v / n 5 M + S n p L q e v f r y i 2 9 m x D 8 3 j H 2 X / z 0 5 f S 6 D 5 1 + k 3 e 7 R 0 + / s P n m 6 / 3 t 9 e n L 8 / O m 9 / X v f e f j 7 n B 5 / u f v q C 7 J O p o m 2 3 e N h R h / T d u / o 8 Y u v v v j 9 X x O w U 6 D t / u D P X 7 4 6 P Q E J 7 O + P T 7 9 4 + e 3 j 1 2 e v m Z T P T 3 / y 9 D l + O / n q i 6 / 4 l + f H n 3 / + 6 g j w 5 b f H L y i e e w X S y i 8 + B e 9 / U x T 8 v c 6 e 4 g X 8 E B r e R L g v 9 l / 9 x L P j 5 9 9 + 8 9 2 f + P b 9 7 x 7 / f 4 1 w n / 7 c E e 6 7 n 5 + 8 2 v 2 9 d x + e v f 7 u 7 / X p 3 v / X C P f g 5 4 x w 3 9 n b f b j / 8 M n J P U L x 9 3 r z 6 f / X C L f 3 c 0 e 4 N y 9 / 8 v O d L 3 7 y O 3 v f + f S n 9 n 6 f r 0 e 4 n z v C 3 f s 5 I 9 y X z 9 4 8 P / 2 9 f q / 9 / Z / 4 v V + d v P z i / 2 u E 2 z X U + e F T 7 u V P f f r V 3 r 0 H n / 7 U T + 1 9 c f / h B 8 s q c L A k U i p + 8 + T a / b k j 1 4 O z B z / x 5 C d f / F 5 P d z 7 9 i Z 8 6 / V B y / b A Z 7 e H P G e F e f L n / U 3 t v D n 6 v l / s / + e T 3 e f b V / 9 c I d / B z R r j f 6 / n p t 1 + 9 + n 1 O f 5 8 v n 3 / x 9 O Q n / r 9 G u P 2 f X c L d 5 X + f v j p 7 z p i 9 f P X y z d n p a y H o y 1 d f v j x 9 J X / j Z X 2 g b A H k J 4 + f f 8 X 6 6 m 6 3 8 Y a X 9 3 Y / 5 O W 9 D 3 n 5 3 g e 8 f O 9 D x r z / Q S 9 / C M H 2 f Y I x w 8 l v 7 w f E J 9 z X B L K 7 4 9 M A n P 5 1 Y H w A K X Z 3 A l L s f j 0 E P o C F d n f 2 v w E E 7 n 8 I A p 9 + y M s P f O y d d j 3 Z / 8 k v P 3 3 2 7 N u f / t 5 f / d 4 7 T z / 9 e q M 6 + B D E H n 4 4 W X d D M f l 6 M D 6 E N 3 a / A d 7 Y + w A t s / s h a n n v w 2 V 7 f + f D Y d z / B m A 8 D G G 8 H y H o Z Z + K R 6 d N m 8 2 q 9 H i Z l U V b T K t 0 l q d n y 4 s 6 b 6 o m X V V 1 + m o 9 q e l X X h D 8 O q g G X O t E 8 u z 4 5 I v X 3 / 6 p 1 y + + O j 3 5 9 D u n X w t 2 w E x f k 5 Q B T 3 0 d G L v 4 f 3 y M v 8 + z l y 9 e P P u J f X J X n p w d / M T X g z 1 A v w 9 W a Y A d 2 E x a E v z 9 v z j Z + R p y D V C B b j C g f v + f w L e / / 9 c E 6 Z u R o + O n P / n l 8 y 9 / i i K M r w f M N y s f D C w w M 3 u 7 d 3 f 2 7 + 7 t 7 H 7 N S f D t i g c s 3 b 3 / a H / / E f z Y r w M 1 M D g / q 0 K + 2 3 G 2 g z F 8 + u j e / i M 4 t V 8 H a i B W H z h n g f V 8 L 5 W J l 2 8 0 m 3 d t T P K T x 6 8 E F v / y k y + O s b j z + 5 9 8 e U L L k v w X W l D s I w a U f 3 v 8 k y + P X 7 2 m E O c l f a S / P n 5 9 9 v m L I 5 o O / v n 4 y 5 d v j k 5 J g + D n 4 + d f f v f o y + P f m x J g + A 1 / / v 6 n v / c b 9 x H / R U t A n 3 8 b u O I n P u G Y 7 s v v v q H v v l g v i 2 m x K q r 0 y + x d N s 3 S 7 6 z / 0 b + 4 z n / A b 6 O B N v z 9 n 9 P K E Q I D 7 0 + G 9 0 b A 6 a / 8 + Q 6 W m t y f j 7 / 9 6 v c x r f g 3 2 8 j 9 9 f g n 0 d f r a l r k s 2 x G Y + e u f 9 J 8 D f V u / 3 j 8 7 d P n L 3 / / 4 5 8 8 P u M Q 8 I v X n / / + L z h i N A t o J 1 9 + A T I / 9 d b P Q I q T L 1 5 6 h M F f M n m x a T r 7 / Z + d v T 6 h O b 1 3 8 1 S d b Z y q J 2 + 8 q W L 7 E M z U b m e a j l g / 8 W 9 2 u o 7 0 E 2 k l E + C m 0 F D z Z 3 F i 0 O J r z o U j Y 3 c q D C 1 u m I m X v / 8 z W g J 8 d f M 0 v I f E i I Y O 5 s F + d J P E / F A J f 3 T 6 0 3 k 9 J Q G t P l A k M A 1 C x s 4 0 W B U W p / 3 v d f r 7 P E U W 4 x u U A V B a Y u N g A n b I V O y q 7 Q w l g l / 4 9 J 7 S 0 B O L e z t 3 d z 7 V V / 6 / K h 8 v X 7 9 5 8 f n v / 5 R W 9 f s S E l C q K y Z 3 + d 9 v H 7 9 4 i h w f u 0 j 6 x + P X b w j c 0 e M 3 l N X 7 / X / i q 9 N X v w 9 w 9 v 5 6 f P b i 5 V d v v i A F i T V D 9 4 c k 4 J 6 f v e Y B n X z 1 6 v f 6 K f z y + h X Q Y 2 y 2 d x 5 s 7 5 G X o h 8 9 J s k + + 0 l u 8 9 V L y i S + f v 3 7 f 0 H / H H 9 + a q G 8 / u o L z v X 9 / q + + / O 5 r c E 7 4 g f v + 5 M v n X 3 3 x I m x i P n v 8 F V H 8 9 z 8 + e X P 2 k 6 f 8 H i D 7 n 2 l D f P z i 9 z / 5 N j H i 7 / / l C 9 t l 9 y O / D b 3 5 m l O k n Y + o z e s 3 r 7 4 6 s S 9 x m / A j v w 2 / t B u 0 E T i v v 0 1 z 9 / R L y q W e v n g D + r w 5 Z r p 0 P j 5 W c o U f E 5 W l N W D u / v 7 K I B t C p 7 C h v L e n f 3 q A X p 8 9 / f 3 P X j w 9 / b 2 Z 3 N 3 P T C t K J u P D Z 2 e / N 0 b f / 9 C A d 2 + a Z v 5 n p l U E W v D h Y w w W s / D i c 1 l V O v 2 u n e u z F + R v n T 3 l X 1 + / + P I N p Y j f / D 4 s l 8 d E p N + H 5 u P V G S I 2 / 0 / 0 w U x 6 9 9 U p 8 f 1 r U g 3 E o V 8 9 p 5 9 f H P / e v z 9 j I b / w 3 7 + P + f v 3 4 T e k I f l 1 z 5 6 h n 1 c / w W w u 8 t O P a V S u + M f v / 5 N n p 9 + 1 j f m v 3 / + N m p C z F 8 9 o b p / 4 E Z b 9 6 P H n p y + + e n F G z u W G s N G 2 e U x 5 8 O c k Z V + c v U n f N c W j Z V F + 9 l F b r / O P 0 A + L z 9 m X r K z s 7 z S s 1 6 9 + / 9 e / N 3 M V j e w n z 5 6 e Q u f H P i R 1 T y H m y 9 8 f q w T 4 9 b G l 4 d O z L 8 R O / N 7 P k a r / w r M x X 7 1 4 + v r 3 P 3 n j G R n 8 V P 1 I Q n 3 8 5 D n H 1 e Z X m k u R l j d f v e I p P / 6 9 d Q l C V g s 4 u t K V A u K L n 3 x u L L H 8 o Y D 5 D 2 Y Y 0 m E e q 9 v V C 7 e g 8 e J L 6 l o Y i p q 9 f P X 6 B S / + u z / A q 6 Q B f / L 5 E f I q 9 o / H T t U w 0 5 2 d S h c / e f r q N V E W v 0 I f v v n S p J j o Z f 3 g M a 9 u H P 1 e B I 1 / o b + p t 4 B Y 8 s l j X v g 4 O s b f + I X + 1 o U f p p 7 + s c f 9 C 6 h v E 7 / j t 5 f 8 C c H Q 7 3 T 9 5 N s B A P u X Q P B p 8 v T U x D e M u H 7 w + O T L F 0 / J W B 3 J p + Y v f P z m + O z F 6 9 / / 9 / p 9 W D I + J 0 X / E n w m v + D v 4 z d v X p 0 J h V Q / k 1 9 w e g I m 9 D 4 D x D P z G Q j M 8 8 f T b Y l M B u l z q C j 3 h 6 G 5 + c b / U y f B f O X 9 5 S 9 Q 7 X x T C 1 S 0 n n b 8 j J B + / R J M 5 P 1 l v z l h H / L 1 y y 9 5 a Z x / 6 i I e y / j J / f t P n z 9 / 8 O L b Z z s / 8 d 0 v v t z 7 6 j s v P j 0 z a 3 j c 2 + d 7 R y m e H f r / L u N G n z x + 8 + 3 v v F F 0 P t / H L 2 9 4 N p m x S Y P J X 6 r O 9 I / H X 5 y 9 8 D 6 3 f 4 D w r 8 0 E 0 C h P X y v t X 4 M n m P D 4 7 f F r o j P 3 9 H u / e f 3 t Z 8 8 h x e Z X f P b F U / s Z / 4 r P n n 9 O v / w + / B n / S o q G Z O i E n Q S a a a a M Y Q v 7 y R e n X z w 5 f d V t R 1 i 8 I q o z b k / J g J 4 9 h 3 0 N m A p N i L G E F d 0 f 4 j B Z V T W k t 0 5 + / + N X p 8 f f n N 6 6 9 7 O h t 4 6 + g n D y b 5 7 + 2 v k 5 0 1 + G a D / S X z + v 9 d f Z s 7 1 P n z 8 9 / f Q n X r z + z q c / d T q o v + 7 / v 0 l / / T 7 / / 9 F f 5 E q e n D w 9 f f n 7 / / 7 8 2 8 n z b 1 C P f f r / d z 0 W I 9 6 P 9 N n P a 3 3 2 e / 3 E / u 7 v 9 e L k z e 6 3 f + r N 0 9 c / M a j P D v 7 f r s 9 + n 4 g + + 7 3 / v 6 L P P v f y Y R + q x Q 5 + f m g x k O x H u u v n t e 5 6 / u 3 X L 7 5 7 + u X J t / f 3 D l 7 v D c e S D 3 + k u 1 j M v m n d Z Z a 7 v j n d d f + H p 7 t + r j J h h m Q / 0 l 0 / r 3 X X d 3 6 f Z 8 8 O v r v 7 8 P l P / t 5 P f + r s 9 x n U X Q / + 3 6 S 7 f u + I 7 v q 9 I 7 r r / w N x J K e k v z n F t f v D U 1 w / N 0 6 X 0 u t H W u v n t d b 6 / C e / / L 1 / 7 6 9 e 3 f t J e u P 0 2 V e D W u v e j 7 Q W y 9 g 3 r r V O v v j i z e 9 / 9 u b 0 i 2 9 O d e 3 9 / 1 5 1 e U T 7 k f 7 6 e a 2 / v v 3 i 6 e / 1 8 I u 9 F 0 9 2 f + L e 6 5 d f D O q v / f 8 v 6 q / f + / 8 D + u v l V 7 / / F 6 f H r 0 k X f V 0 F 1 l d g + / + / V 2 A + 1 X 6 k w X 5 e a 7 D v f P o T r 3 / v / Z c / 8 e n D r 3 6 f 5 w 8 / H d R g n / 6 / X Y P 9 f z T n 5 W b i 4 N m n + y d n B 5 / e + / K 7 P 7 X 7 + f E m f Y Z f f T 8 M A w 3 + Z q W G T / n n z 0 V Y y d h + m D 5 j E F E F t o F o X 1 O d 6 W 8 / F 2 o M 0 x T 8 / U N Q a j u D S m 1 n W K l Z u / L D U G r + X 0 6 R 4 W d P h f V 4 Y E C F 7 a V 7 / y 9 S Y v o r F J b + C j 2 F X / 9 f q q l 4 m e z N y a u z D / K 0 o K d / G E o J v z n X a v f n x M / y K P Y 1 1 d K P v K y v 5 2 X t 7 n 7 z G u m D 3 K w v H n 7 7 + O D + T / 3 k d 3 9 i / 8 t P T w Z 1 1 O 7 O / 4 s 0 1 P 9 X l x b v 8 r / U C b B 5 x Z 9 T L 6 d O k 9 3 C 5 2 J 9 4 z V 8 + O l X P / H l w + + 8 / M 7 x T 5 0 + + w n i B G k g 7 W j w R 8 / z 6 3 S W p 7 9 x c r a 8 q P O m a t L T p i 0 W 2 S x L v 3 y l z d E u p v a + f f b 0 6 e k L k F F / A / I 8 U U e v a R 7 N 7 4 9 f H r 8 6 F c / q 6 a u z 5 8 9 f v y H m P 3 p O 4 3 V / P f 7 2 8 e u n p 8 + O v 3 r + 5 u m X J 1 8 x z P A T Y p 6 X L 4 6 / Y J I / O X 5 9 + h R U f v P 8 y 8 + / D D 6 x G t Z + c v L l F y / P n o a v q a q + 2 6 H z N 0 f 2 3 + c 7 T 3 d 2 f v L g 9 / m 9 d 9 + 8 + a m v 3 o f s U Z q 7 3 K R Q W r l R 6 P v s w 2 g t g v n / H d o e / 8 S D n 3 r y + t P X p 9 / Z f 3 j w 8 I s + b Y 8 X q 7 L I p k W 1 z J s o N e 9 t o u b P c 8 5 9 8 u 3 v P n / x n b M n X 9 3 / 9 M s v v n P a p + 7 W q 3 y 2 n g p 1 7 0 T J 6 / J Q P y J v l 7 w n D 5 8 / + K n j N z / 5 8 N X D / Z 0 3 n / b J + 0 U 1 K 8 6 L a T a r o r S 9 / y N F Y B s + 3 X 3 4 1 Z O 9 + 6 c v n z 7 5 z r O 9 3 6 d P y 6 f 5 Z b 6 8 I F I O m b J P f 2 T K b q b y 6 9 / n 8 y / e f P 7 7 7 P / U 0 9 / n z c l P b K B y l M Q P f s S w t u G z k y c v j 0 / 2 d 3 c e n L 1 5 / t 3 j P i l f 5 d N s P d v A s A c / Y t g b q X z 6 e 7 3 Y + 3 1 + r 9 f f / r 2 e f 3 7 6 4 I u z D V S O k v j h j x j W N v x 8 f + f J F / e e / V 7 P 3 j x / u P N p J H o 4 v s y W 0 1 w 8 W S X r t P h H / 9 Z l j L K I E f + / T t m 7 / O + J R H X P j j m v d / z m l S S e + B c l 5 c 6 z r 1 4 8 f f 3 7 n 7 x 5 5 a i r q Q d J r z w 9 f U l h u X 4 i X 7 2 R P i 0 n d u n l C / t Q i u h n I 7 k p I b + Q w w z z f c a L Z T v K V v 3 + Z 0 + / m R H v / X 9 i x M 9 O f v / X X z 3 Z / f k 3 5 L 2 f N 0 N + 8 h U l j V 6 d H n 8 z A 9 5 5 v w H / X A z Y z v G 9 b 2 b I / x + Y Y x g H s h B P T 7 + Z E f 9 / Y J K f f f H q l L L B 3 8 x 4 / z 8 w w z J e e A 7 / f x v y i W q n 7 p D Z A a H 0 9 T c z 3 v / 3 O C B D 4 / 3 / r w O y c Y a P T 8 6 + m f H + v 3 + G M d 7 n L 1 9 9 + f n P p w G f k C F + 9 v N l w O x 7 v P j / p U u 9 c Y 6 J q b + Z 8 f 6 / f 4 r F L H 3 1 4 u f L e B 1 L / / 8 u Z L p 5 y P + / i y A 2 c v W z s 5 8 3 X C 3 j p e / / / z X g s 9 c n L 0 + j 4 Q N 9 8 / u c H r / 6 Z o b 7 / x Z + 3 j h c + u b / Z + I 7 O N w X X 3 3 x 3 a f H v 8 / P k 9 E + p c z 6 s 1 d f f v H z a L h v v i H 3 6 v / 1 g y V O / v 8 d I 1 N W Z 0 B F / e T x q x d v f h 4 M l q 3 t q 2 8 o A / 3 / F l s 7 M K 3 0 M Z Y H f z 6 M F W 7 y 0 / 9 f B r s b R / v / u z h o Y L T / / 0 x G D q m n Z 9 9 Q k u r / A y P 9 e W F f T 7 5 6 / e b L L + B k f B N j 3 f l / 9 V i P X / 7 + X z 7 7 / e X L b 2 K 0 / 6 + e W e H h L 7 + h V M X / S 4 Z 6 8 s U X b 3 7 / s z e n X w y M 9 + X n p 9 / Q g H + 4 n P x 1 B g z b c 3 I G S 7 v / z Q z 5 / y N z f P L 5 N + Q h / 7 9 / i i U g O H n 1 / 6 + l v x s n + J t a + f t / / w T / / 9 R / v J X W + v 9 X N H S r I f / / K 9 F 6 o x x / U 3 r r / / 3 j d V P 8 / 6 + o d 9 O Q a b z f X A b n / / 3 j F f / y y 9 f f z H j / 3 2 + K H U v f / 2 a G / P + R K f 7 y y T f k f f y / f 4 p 5 v G / O f n 6 N 9 5 s z S / 9 f G f A 3 l Q P 4 / 8 h 4 3 / z / b Y J J E X 9 x e v z 6 q 1 e n M S v 8 6 o v f n z 4 j 6 D 9 v x i y Z r Z e n P 4 9 m + e n / / x a 3 N 4 7 3 + Z e f v / 5 9 / v / l a m 0 c 7 + e U A / j 8 5 R f / f 8 s D b B w z F g p f f o M h x P 8 X 5 l n G f H L 8 5 u f P k J + S 6 n r 2 6 s s v v p k R / 9 w w 9 l 3 + 9 + T 0 u Q y e f 5 F 2 u 0 d P v 7 P 7 5 O T + / a f P n z / 8 9 K u f + P L h d 1 5 + 5 / i n T p / 9 B G F q m m j b P R 5 m 9 D F t 9 4 4 e v / j q i 9 / / 9 c n x 8 1 O g 7 f 7 g z 1 + + O j 0 B C e z v j 0 + / e P n t 4 9 d n r 5 m U z 0 9 / 8 v Q 5 f j v 5 6 o u v + J f n x 5 9 / / u o I 8 O W 3 x y 8 o n n s F 0 s o v P g V 3 v y k K / l 5 n T / E C f g g N b y L c 8 U 8 8 + K k n r z 9 9 f f q d / Y c H D 7 / 4 / x r h 7 v 2 c E e 7 0 9 3 q x 9 / v 8 X q + / / X s 9 / / z 0 w R d n / 1 8 j 3 M O f M 8 I 9 + f Z 3 n 7 / 4 z t m T r + 5 / + u U X 3 z n 9 / x r h 9 n / O C P f s 5 M n L 4 5 P 9 3 Z 0 H Z 2 + e f / f 4 / 2 u E O / g 5 I 9 z J w + c P f u r 4 z U 8 + f P V w f + f N p / 9 f I 9 z 9 n z P C P f x 9 v v N 0 Z + c n D 3 6 f 3 3 v 3 z Z u f + u r / a 4 T b u x X h f j Y I 9 / T 1 7 / P 5 F 2 8 + / 3 3 2 f + r p 7 / P m 5 C f + v 0 a 4 B z 9 n h P t 8 f + f J F / e e / V 7 P 3 j x / u P P p B / t x w M F S S I n 4 j V N r 1 5 D k h 0 + u p 7 s P v 3 q y d / / 0 5 d M n 3 3 m 2 9 / t 8 K L l + 2 H z 2 6 c 8 u 4 e 7 y v 0 9 f n T 1 n z F 6 + e v n m 7 P S 1 E P T l q y 9 f n r 6 S v / G y P p h L A P n J 4 + d f M f f c 7 T b e 8 P L e 7 o e 8 v P c h L 9 / 7 g J f v f c i Y 9 z / o 5 Q 8 h 2 L 5 P M G Y 4 + e 3 9 g P i E + 5 p A d n d 8 G o D T v w 6 M D y D F 7 k 5 A i t 2 v h 8 A H s N D u z v 4 3 g M D 9 D 0 H g 0 w 9 5 + Y G P v d O u e w 9 f 3 v + J Z 6 T 5 X j / 9 z k 8 e 7 3 2 9 U R 1 8 C G I P P 5 y s u 6 G Y f D 0 Y H 8 I b u 9 8 A b + x 9 g J b Z / R C 1 v P f h s r 2 / 8 + E w 7 n 8 D M B 6 G M N 6 P E P S y T 8 W j 0 6 b N Z l V 6 v M z K o i 2 m V T r L 0 7 P l R Z 0 3 V Z O u q j p 9 U 6 y q l F c D v w 6 i A c 8 6 g T x 4 9 u n + y d n B p / e + / O 5 P 7 X 5 + / L V g B 6 z 0 N Q k Z c N T X g b G L / 8 f G + O z F t 7 / a / 7 1 2 v v v 6 y 9 / r 0 / t f P H n 1 1 d e D P U C / D 1 Z o g B 1 Y T F o P / P 2 / O N n 5 G l I N U I F m M K B + / 5 / A t 7 / / 1 8 T O N y J H x 0 9 / 8 s v n X / 7 U 8 Y s v v x 4 w 3 6 h 8 M L D A y O z t 3 t 3 Z v 7 u 3 s / v p 1 w P m W x U P W L p 7 / 9 H + / i P Y j a 8 D N T A 3 P 4 s i v t t x t I M R f P r o 3 v 4 j O L R f B 2 o g V B 8 4 Y 4 H l f C 9 1 i Z d v N J l 3 b T z y k 8 e v B B b / 8 p M v j r G u 8 / u f f H l C K 5 L 8 F 1 p Q 3 C P G k 3 9 7 / J M v j 1 + 9 p v D m J X 2 k v z 5 + f f b 5 i y O a D v 7 5 + M u X b 4 5 O K f W A n 4 + f f / n d o y + P f 2 / K 7 + M 3 / P n 7 n / 7 e b 9 x H / B e t / n z + b e C K n / i E 4 7 k v v / u G v v t i v S y m x a q o 0 i + z d 9 k 0 S 7 + z / k f / 4 j r / A b + N B t r w 9 3 9 O i 0 Y I C r w / G d 4 b A a e / 8 u c 7 W G V y f z 7 + 9 q v f x 7 T i 3 2 w j 9 9 f j n 0 R f r 6 t p k c + y G Y 2 d u / 5 J 8 z W U u / 3 j 8 b d P n 7 / 8 / Y 9 / 8 v i M w 7 8 v X n / + + 7 / g a N G s n Z 1 8 + Q X I / N R b O g M p T r 5 4 6 R E G f 8 n k x a b p 7 P d / d v b 6 h O b 0 3 s 1 T d b Z x q p 6 8 8 a a K r U M w U 7 u d a T p i 7 c S / 2 e k 6 0 k + k l U y A m 0 J D z Z / F i U G L r z k X j o z d q T C 0 u G E m X v 7 + z 3 6 f 0 + N X N 0 / D e 0 i M 6 O d g H u x H N 0 n M D 5 X w R 6 c / n d d T E t D q A 0 U C 0 y B k 7 E y D V W F x 2 v 9 e p 7 / P U 2 Q w v k E Z A K U l L g 4 m Y I d M x a 5 a z l A i + I V P 7 y k N P b G 4 t 3 N 3 5 1 N 9 5 f + r 8 v H y 9 Z s X n / / + T 2 l B v y 8 h A a W 6 Y n K X / / 3 2 8 Y u n y O + J 1 p A / H r 9 + Q + C O H r + h j N 7 v / x N f n b 7 6 f Y C z 9 9 f j s x c v v 3 r z B S l I Z I T d H 5 J 8 e 3 7 2 m g d 0 8 t W r 3 + u n 8 M v r V 0 C P s d n e e b C 9 R z 6 K f v S Y J P v s J 7 n N V y 8 p i / j 6 9 e / / B f 1 z / P m p h f L 6 q y 8 4 z / f 7 v / r y u 6 / B O e E H 7 v u T L 5 9 / 9 c W L s I n 5 7 P F X R P H f / / j k z d l P n v J 7 g O x / p g 3 x 8 Y v f / + T b x I i / / 5 c v b J f d j / w 2 9 O Z r T o 9 2 P q I 2 r 9 + 8 + u r E v s R t w o / 8 N v z S b t B G 4 L z + N s 3 d 0 y 8 p j 3 r 6 4 g 3 o 8 + a Y 6 d L 5 + F j J F X 5 M V J b W g L n 7 + y u D b A i c w o b y 3 p 7 + 6 Q F 6 f f b 0 9 z 9 7 8 f T 0 9 2 Z y d z 8 z r S i R j A + f n f 3 e G H 3 / Q w P e v W m a + Z + Z V h F o w Y e P M V j M w o v P J b 9 / + l 0 7 1 2 c v y N 8 6 e 8 q / v n 7 x 5 R t K D 7 / 5 f V g u j 4 l I v w / N x 6 s z x G v + n + i D m f T u q 1 P i + 9 e k G o h D v 3 p O P 7 8 4 / r 1 / f 8 Z C f u G / f x / z 9 + / D b 0 h D 8 u u e P U M / r 3 6 C 2 V z k p x / R q F z x j 9 / / J 8 9 O v 2 s b 8 1 + / / x s 1 I W c v n t H c P v H j K / v R 4 8 9 P X 3 z 1 4 o y c y w 1 B o 2 3 z m H L g z 0 n K v j h 7 k 7 5 r i k f L o v z s o 7 Z e 5 x + h H x a f s y 9 f Y H r t 7 z S s 1 6 9 + / 9 e / N 3 M V j e w n z 5 6 e Q p G 8 6 X z w 5 v c / I 2 U B N 1 i a 4 y + a j m y R H 2 E c p 8 9 P w Z y / P 5 l 0 / u x x 4 C l T W + M N / z 7 6 E n 9 G 9 u P U v H C 2 n O X v Q G 7 5 5 f F P Z u W 6 B 1 s + p D Y h x F g H r 0 6 J 0 V 7 9 / s e v X 5 9 + 8 e T 5 7 7 O 5 m y e n 7 4 5 n s 2 I 5 S n 8 y r 5 u i W n 7 2 4 N 7 O z p j / G 6 U n 6 7 J d 1 / l n y 3 z d 1 l k 5 S l + u J 2 U x / b 3 y 6 z f V 2 3 z 5 2 c O 9 T 7 N P 9 3 Y O p p P z + w e T b P J 1 8 D x 5 T p h u R n J a L c Z N t h p P i n H e j j M K 1 a 5 / k N f j D I i P a Q R n b b 5 4 k 7 9 r T 8 t 8 k S / b 9 8 K C x c z M 9 m Y 0 n r 7 k c P 3 2 s E 9 / b 2 L L W 8 w 1 D e E n P n / 9 + U / 8 3 n t P X n 7 1 5 M n L 3 / v e T 9 z 7 y e / + 5 L d f f P 7 t 3 + u 9 O n z 9 7 d P T N 5 v 7 G g 5 0 X 6 0 n d f V e 3 T 0 9 h V P z + 7 / + 9 v H L m 0 f 4 5 Z N P 9 1 / 8 X g 9 + r 5 + 4 / 3 v t H 3 z 1 + 3 z n q 6 + + f f b 0 8 2 8 / f f p e X b 6 C P t z c 1 + 9 2 / L v t P s I / 7 w X 4 6 d n r l 8 + P f 5 / f H 1 r y 7 I R U 8 P M 3 p 6 8 2 8 y U 7 i + 8 B + t m X r 7 4 4 f v P N w o S a + P 1 V T 2 y E n B / 9 w r I 9 / D 3 e L c r 0 U i X 9 o 9 3 x z k d p v p x W J E c X n 3 2 0 b s + 3 d z / 9 6 P f 4 h R f t 4 W + c o P n r v C 6 I X X 6 Q e 9 K V E o h l 8 4 i 0 7 G c f z d t 2 9 e j u 3 a u r q / H V v X F V X 5 D 7 S W 7 r 7 / 3 F 8 9 f T e b 7 I t o s l p V e W U 1 L D 5 q 3 Z z W 9 9 J A i k K V B 4 c 7 3 K 8 f e z o m z z G p / c N R + Z J m d P u Q H P 2 O 9 v f X t u K l + Z h k x h 8 z a G x G 2 C T 2 X c d 2 M D x 9 f v x V L H X 7 3 5 8 t n Z Z n l 8 3 / k + O X 4 J 6 / X e M O / 6 Z s l Y P j F l m + 3 a / s + i X d t / L 3 L + y K 6 9 D x b / L 7 F r P / m T r / d f 3 z t 7 / e m n b 7 5 z 9 h M v D r 4 4 e H D 2 3 a 9 e / T 7 3 3 6 v D / z f b t Y e 7 P / n w J 5 7 d f / r 6 2 2 9 O v v P m x d N X x y e / 9 / G z 7 3 7 7 9 L 2 6 v I 1 d e w K 7 9 u R H d q 1 D l / 9 v 2 7 W T i k G J K Y p b N k k v / M i e f S P 2 7 P 7 P o j 1 7 P 6 X 2 I 3 v 2 P l j 8 v 8 S e P X i w + / v s P 3 i y + + D J / s G T g 9 3 9 e z / x 5 c P f 5 z u f P / / / T 5 x 2 / 8 n T 7 3 7 7 0 0 / 3 z l 5 9 9 8 t v P / n q 9 O y r 3 a f P P j 9 9 / n 4 k v Y 0 9 O 4 U 9 O / 2 R P f v / l T 3 7 y Y x Q m Z T 5 B n t G q f q z 4 y f P T 3 9 / b 1 3 x J u t G q u x H x i 1 q 3 D 5 / R R n j X d P H N 2 T V D N D 3 I O D P T 3 P 2 e V 3 M 3 q v 7 9 7 N j 7 z c F b 4 5 f f X 4 q + e u B L n Y / t I v 3 M J W 7 3 3 7 2 e z 0 4 p n z 7 l 1 9 8 e / + n T v d + 6 t 4 X r 7 7 z E 5 8 + e D 9 D c g t T + W x N A p + n u + m L L 9 M n X 7 5 6 x c v j t + / h v a z j v W / / P r v 7 X 3 3 5 3 f 2 H O 1 + d n L 3 6 v U 8 / / c k n J 1 / 9 5 M 4 3 H + 1 x F v P b v 9 v u + 8 2 P 2 K 7 N o H / v 9 4 L 4 + s t X t A R y 8 u W L G 6 T l / a B + + + y U 5 u n k 2 7 / P z y Z o N r q 0 E E v r a a f f j D l / c f y T Z 5 8 f 3 6 j U 3 x P j b 9 L 2 g A G + e n 7 8 T a L 3 9 N U Z L a 4 9 / f K 7 L 2 Q d 9 8 V P f i O Y 0 r y c k j I + O f 3 9 f 6 / T 3 + c b 5 Y C T 5 2 c v s Y T / e 9 + g N 7 5 6 / v z 1 2 U + 9 n + g a 2 D c Y u K 8 F + / j p d 7 5 6 D Y 4 9 o 2 D y + N X p 5 l m 8 L Z 3 p z z e n J z f y 7 G 3 B P f 3 y 9 6 c l 5 9 / / K T m z b 0 5 / / x d f f f G E r O l t X O b 3 n E R e + z / 5 8 g t Z + q e V b D E 9 5 p N v Z C y v v 3 p J 6 u H 1 6 9 8 f q + v P z 1 5 8 D S 1 x V 3 + 9 v a + 2 9 7 P h q 7 2 f U f 2 R r 3 a r 7 t / P V 3 u / K f h / l 6 9 2 / + F P / O T u 6 7 2 D p z / x e 5 2 e H e / / P l 8 + 3 T 3 7 7 o v f + + m X 7 9 X h 7 X 2 1 v R + G r / Z 7 / 8 S b 0 8 9 P f u r p 3 u u z p / d O H z z Z + f z Z z u v f 5 + T 3 e v Z e X b 6 H r 7 b 3 6 X t B / p G v 9 i N f 7 Y f m q 3 0 Y p j / y 1 X p 8 8 C N f z V f 8 / 1 / 3 1 e 6 + 4 V / o 8 9 e / v 8 l P k r J 7 c 0 w d v T p 6 b H / 9 / b 9 9 / O L p 8 9 O U 0 q q P l k X 5 2 U d t v a a s K X X 2 5 v f + / b 9 8 8 h 2 a P L x P / 3 / + 1 e n r S L O 7 U f h v D J a M 2 q t X v 3 f w 9 9 n T o + P n z 4 n E t L j 8 + e 9 P C N A v X 7 6 k 4 T 2 l w a I j n i 7 + h Y b V e T k C j K S Z K P l t m q W z N 7 / / F 8 c n r 7 7 0 Y D G S t w B C f 5 5 g O s x o v j 4 6 X 5 w + f 2 P B v P 7 6 c F R 4 f v / v f v n q 9 3 r y 5 Z e / 1 9 c Y l K H M d 5 8 g 1 K W v X n x 9 d A w a v / 9 L 8 l 7 p j 6 d f A 5 8 3 3 z 6 F 9 / b e 7 7 1 + 8 / t Q f v 2 r l 1 g 4 / v 2 h A v 1 h 7 L z X M N 6 Q A / S a t P 8 H g v l x Z A 3 c y / z n e 7 3 + V f j 6 V + / 1 + o s v f / / v v j r 2 R e a 2 l L S z 2 B n + b d 9 n 1 U g f O E H 5 A A 6 3 y J z 5 z H T 0 + e u z e 6 9 / 8 v O v f u o n X v z k 7 / 0 T r 7 / a 3 7 n / 4 t 7 p / b 2 f e C / g L 8 m K k S 3 7 s G l W I P z G 1 6 E W K X n 4 s K / P X n x O D E w h j 0 r k 1 4 D 1 1 e t T k u A 3 Z 1 + Q a a f l w i 9 J d 9 5 W S d 0 N 9 T E g k S 1 j 8 0 O m + Q j K / P H d 7 q e P Z e y I t z b N i N d K 3 3 j z + 7 w 8 P f p u V b + d V N V b 0 4 A / f I x V T h H g I 2 J 4 7 y 8 0 + / z 0 6 P 8 B + j B l v N Z p A Q A = < / A p p l i c a t i o n > 
</file>

<file path=customXml/itemProps1.xml><?xml version="1.0" encoding="utf-8"?>
<ds:datastoreItem xmlns:ds="http://schemas.openxmlformats.org/officeDocument/2006/customXml" ds:itemID="{A1E344DF-1AA9-48FF-92AD-5844CFC80E0F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Analitico de Ingresos por Rubro</vt:lpstr>
      <vt:lpstr>Fuente 1 NO BORRAR</vt:lpstr>
      <vt:lpstr>Fuente 2 NO BORRAR</vt:lpstr>
      <vt:lpstr>'Analitico de Ingresos por Rubro'!Área_de_impresión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A) Por Rubro de Ingresos</dc:title>
  <dc:creator>oscar.lozano</dc:creator>
  <cp:lastModifiedBy>Administrador</cp:lastModifiedBy>
  <cp:lastPrinted>2015-04-07T16:31:32Z</cp:lastPrinted>
  <dcterms:created xsi:type="dcterms:W3CDTF">2014-12-17T17:30:23Z</dcterms:created>
  <dcterms:modified xsi:type="dcterms:W3CDTF">2016-07-29T16:37:04Z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Activesheet">
    <vt:lpwstr>Analitico de Ingresos por Rubro</vt:lpwstr>
  </property>
  <property fmtid="{D5CDD505-2E9C-101B-9397-08002B2CF9AE}" pid="3" name="BExAnalyzer_OldName">
    <vt:lpwstr>A) Oax - Por Rubro de Ingresos.xlsx</vt:lpwstr>
  </property>
</Properties>
</file>